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autoCompressPictures="0"/>
  <bookViews>
    <workbookView xWindow="120" yWindow="160" windowWidth="28200" windowHeight="17320"/>
  </bookViews>
  <sheets>
    <sheet name="Model" sheetId="4" r:id="rId1"/>
  </sheets>
  <definedNames>
    <definedName name="Annual_change_in_non_electricity_traded_emissions">Model!$C$31</definedName>
    <definedName name="Average_life_of_low_carbon_generation">Model!$C$24</definedName>
    <definedName name="CCS_by_2020">Model!$C$26</definedName>
    <definedName name="Demand">Model!$C$63:$AO$63</definedName>
    <definedName name="Electricity_demand_growth_rate">Model!$C$16</definedName>
    <definedName name="Electricity_demand_in_2012">Model!$C$34</definedName>
    <definedName name="Electricity_demand_in_2050">Model!$C$15</definedName>
    <definedName name="Electricity_emissions_absolute_2050">Model!$K$20</definedName>
    <definedName name="Electricity_emissions_during_CB4">Model!$K$15</definedName>
    <definedName name="Electrification_Start_year">Model!$C$17</definedName>
    <definedName name="Emissions">Model!$C$119:$AO$119</definedName>
    <definedName name="Emissions_factor">Model!$C$117:$AO$117</definedName>
    <definedName name="Emissions_factor_2020">Model!$K$17</definedName>
    <definedName name="Emissions_factor_2030">Model!$K$18</definedName>
    <definedName name="Emissions_factor_2050">Model!$K$19</definedName>
    <definedName name="High_carbon">Model!$C$111:$AO$111</definedName>
    <definedName name="High_carbon_EF">Model!$C$116:$AO$116</definedName>
    <definedName name="High_carbon_emissions_factor_2012">Model!$C$38</definedName>
    <definedName name="High_carbon_emissions_factor_2020">Model!$C$27</definedName>
    <definedName name="High_carbon_emissions_factor_2050">Model!$C$28</definedName>
    <definedName name="High_carbon_generation">Model!$C$111:$AO$111</definedName>
    <definedName name="High_carbon_generation_capacity">Model!$C$74:$AO$74</definedName>
    <definedName name="High_carbon_load_factor">Model!$C$108:$AO$108</definedName>
    <definedName name="Low_carbon_generation">Model!$C$110:$AO$110</definedName>
    <definedName name="Low_carbon_generation_capacity">Model!$C$61:$AO$61</definedName>
    <definedName name="Low_carbon_load_factor">Model!$C$97:$AO$97</definedName>
    <definedName name="Maximum_low_c">Model!$C$23</definedName>
    <definedName name="Maximum_low_carbon_build_rate">Model!$C$20</definedName>
    <definedName name="Maximum_low_carbon_build_rate_contraction">Model!$C$23</definedName>
    <definedName name="Maximum_low_carbon_build_rate_expansion">Model!$C$22</definedName>
    <definedName name="MaxMean2012">Model!$C$40</definedName>
    <definedName name="MaxMean2050">Model!$C$30</definedName>
    <definedName name="Mean_load_factor">Model!$C$81:$AO$81</definedName>
    <definedName name="Minimum_low_carbon_build_rate">Model!$C$21</definedName>
    <definedName name="MinMean2012">Model!$C$39</definedName>
    <definedName name="MinMean2050">Model!$C$29</definedName>
    <definedName name="Net_increase_in_zero_carbon">Model!$C$60:$AO$60</definedName>
    <definedName name="Non_electricity_traded_sector_emissions">Model!$C$120:$AO$120</definedName>
    <definedName name="Nuclear_change_2012_2020">Model!$C$25</definedName>
    <definedName name="Nuclear_in_2012">Model!$C$37</definedName>
    <definedName name="Renewable_electricity_in_2020">Model!$C$18</definedName>
    <definedName name="Renewables_in_2012">Model!$C$36</definedName>
    <definedName name="Required_high_carbon_construction">Model!$C$73:$AO$73</definedName>
    <definedName name="Traded_emissions">Model!$C$121:$AO$121</definedName>
    <definedName name="UK_share_of_EU_ETS_cap__alternative">Model!$C$123:$AO$123</definedName>
    <definedName name="UK_share_of_EU_ETS_cap__current">Model!$C$122:$AO$122</definedName>
    <definedName name="Year_second_wave_of_building_starts">Model!$C$19</definedName>
    <definedName name="Zero_carbon">Model!$C$110:$AO$110</definedName>
    <definedName name="Zero_carbon_built">Model!$C$58:$AO$58</definedName>
    <definedName name="Zero_carbon_decomissioned">Model!$C$59:$AO$59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23" i="4" l="1"/>
  <c r="Q123" i="4"/>
  <c r="P123" i="4"/>
  <c r="O123" i="4"/>
  <c r="R122" i="4"/>
  <c r="Q122" i="4"/>
  <c r="P122" i="4"/>
  <c r="O122" i="4"/>
  <c r="N123" i="4"/>
  <c r="N122" i="4"/>
  <c r="M123" i="4"/>
  <c r="L123" i="4"/>
  <c r="K123" i="4"/>
  <c r="J123" i="4"/>
  <c r="I123" i="4"/>
  <c r="M122" i="4"/>
  <c r="L122" i="4"/>
  <c r="K122" i="4"/>
  <c r="J122" i="4"/>
  <c r="I122" i="4"/>
  <c r="H123" i="4"/>
  <c r="G123" i="4"/>
  <c r="F123" i="4"/>
  <c r="E123" i="4"/>
  <c r="D123" i="4"/>
  <c r="H122" i="4"/>
  <c r="G122" i="4"/>
  <c r="F122" i="4"/>
  <c r="E122" i="4"/>
  <c r="D122" i="4"/>
  <c r="C123" i="4"/>
  <c r="C122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C116" i="4"/>
  <c r="C44" i="4"/>
  <c r="D116" i="4"/>
  <c r="E116" i="4"/>
  <c r="F116" i="4"/>
  <c r="G116" i="4"/>
  <c r="H116" i="4"/>
  <c r="I116" i="4"/>
  <c r="J116" i="4"/>
  <c r="K116" i="4"/>
  <c r="C45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C51" i="4"/>
  <c r="C63" i="4"/>
  <c r="D57" i="4"/>
  <c r="D63" i="4"/>
  <c r="E57" i="4"/>
  <c r="E63" i="4"/>
  <c r="F57" i="4"/>
  <c r="F63" i="4"/>
  <c r="G57" i="4"/>
  <c r="G63" i="4"/>
  <c r="H57" i="4"/>
  <c r="H63" i="4"/>
  <c r="I57" i="4"/>
  <c r="I63" i="4"/>
  <c r="J57" i="4"/>
  <c r="J63" i="4"/>
  <c r="K57" i="4"/>
  <c r="K63" i="4"/>
  <c r="C50" i="4"/>
  <c r="C52" i="4"/>
  <c r="C49" i="4"/>
  <c r="C53" i="4"/>
  <c r="C61" i="4"/>
  <c r="D60" i="4"/>
  <c r="D61" i="4"/>
  <c r="E60" i="4"/>
  <c r="E61" i="4"/>
  <c r="F60" i="4"/>
  <c r="F61" i="4"/>
  <c r="G60" i="4"/>
  <c r="G61" i="4"/>
  <c r="H60" i="4"/>
  <c r="H61" i="4"/>
  <c r="I60" i="4"/>
  <c r="I61" i="4"/>
  <c r="J60" i="4"/>
  <c r="J61" i="4"/>
  <c r="K60" i="4"/>
  <c r="K61" i="4"/>
  <c r="C65" i="4"/>
  <c r="C68" i="4"/>
  <c r="C76" i="4"/>
  <c r="C88" i="4"/>
  <c r="C77" i="4"/>
  <c r="C89" i="4"/>
  <c r="C66" i="4"/>
  <c r="C69" i="4"/>
  <c r="C78" i="4"/>
  <c r="C90" i="4"/>
  <c r="C95" i="4"/>
  <c r="C94" i="4"/>
  <c r="C74" i="4"/>
  <c r="C99" i="4"/>
  <c r="C100" i="4"/>
  <c r="C83" i="4"/>
  <c r="C105" i="4"/>
  <c r="C101" i="4"/>
  <c r="C106" i="4"/>
  <c r="C102" i="4"/>
  <c r="C104" i="4"/>
  <c r="B107" i="4"/>
  <c r="B106" i="4"/>
  <c r="B105" i="4"/>
  <c r="B104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C54" i="4"/>
  <c r="C46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J65" i="4"/>
  <c r="C47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O68" i="4"/>
  <c r="AO76" i="4"/>
  <c r="AO77" i="4"/>
  <c r="J66" i="4"/>
  <c r="C48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O69" i="4"/>
  <c r="AO78" i="4"/>
  <c r="AO83" i="4"/>
  <c r="AN68" i="4"/>
  <c r="AN76" i="4"/>
  <c r="AN77" i="4"/>
  <c r="AN69" i="4"/>
  <c r="AN78" i="4"/>
  <c r="AN83" i="4"/>
  <c r="AM68" i="4"/>
  <c r="AM76" i="4"/>
  <c r="AM77" i="4"/>
  <c r="AM69" i="4"/>
  <c r="AM78" i="4"/>
  <c r="AM83" i="4"/>
  <c r="AL68" i="4"/>
  <c r="AL76" i="4"/>
  <c r="AL77" i="4"/>
  <c r="AL69" i="4"/>
  <c r="AL78" i="4"/>
  <c r="AL83" i="4"/>
  <c r="AK68" i="4"/>
  <c r="AK76" i="4"/>
  <c r="AK77" i="4"/>
  <c r="AK69" i="4"/>
  <c r="AK78" i="4"/>
  <c r="AK83" i="4"/>
  <c r="AJ68" i="4"/>
  <c r="AJ76" i="4"/>
  <c r="AJ77" i="4"/>
  <c r="AJ69" i="4"/>
  <c r="AJ78" i="4"/>
  <c r="AJ83" i="4"/>
  <c r="AI68" i="4"/>
  <c r="AI76" i="4"/>
  <c r="AI77" i="4"/>
  <c r="AI69" i="4"/>
  <c r="AI78" i="4"/>
  <c r="AI83" i="4"/>
  <c r="AH68" i="4"/>
  <c r="AH76" i="4"/>
  <c r="AH77" i="4"/>
  <c r="AH69" i="4"/>
  <c r="AH78" i="4"/>
  <c r="AH83" i="4"/>
  <c r="AG68" i="4"/>
  <c r="AG76" i="4"/>
  <c r="AG77" i="4"/>
  <c r="AG69" i="4"/>
  <c r="AG78" i="4"/>
  <c r="AG83" i="4"/>
  <c r="AF68" i="4"/>
  <c r="AF76" i="4"/>
  <c r="AF77" i="4"/>
  <c r="AF69" i="4"/>
  <c r="AF78" i="4"/>
  <c r="AF83" i="4"/>
  <c r="AE68" i="4"/>
  <c r="AE76" i="4"/>
  <c r="AE77" i="4"/>
  <c r="AE69" i="4"/>
  <c r="AE78" i="4"/>
  <c r="AE83" i="4"/>
  <c r="AD68" i="4"/>
  <c r="AD76" i="4"/>
  <c r="AD77" i="4"/>
  <c r="AD69" i="4"/>
  <c r="AD78" i="4"/>
  <c r="AD83" i="4"/>
  <c r="AC68" i="4"/>
  <c r="AC76" i="4"/>
  <c r="AC77" i="4"/>
  <c r="AC69" i="4"/>
  <c r="AC78" i="4"/>
  <c r="AC83" i="4"/>
  <c r="AB68" i="4"/>
  <c r="AB76" i="4"/>
  <c r="AB77" i="4"/>
  <c r="AB69" i="4"/>
  <c r="AB78" i="4"/>
  <c r="AB83" i="4"/>
  <c r="AA68" i="4"/>
  <c r="AA76" i="4"/>
  <c r="AA77" i="4"/>
  <c r="AA69" i="4"/>
  <c r="AA78" i="4"/>
  <c r="AA83" i="4"/>
  <c r="Z68" i="4"/>
  <c r="Z76" i="4"/>
  <c r="Z77" i="4"/>
  <c r="Z69" i="4"/>
  <c r="Z78" i="4"/>
  <c r="Z83" i="4"/>
  <c r="Y68" i="4"/>
  <c r="Y76" i="4"/>
  <c r="Y77" i="4"/>
  <c r="Y69" i="4"/>
  <c r="Y78" i="4"/>
  <c r="Y83" i="4"/>
  <c r="X68" i="4"/>
  <c r="X76" i="4"/>
  <c r="X77" i="4"/>
  <c r="X69" i="4"/>
  <c r="X78" i="4"/>
  <c r="X83" i="4"/>
  <c r="W68" i="4"/>
  <c r="W76" i="4"/>
  <c r="W77" i="4"/>
  <c r="W69" i="4"/>
  <c r="W78" i="4"/>
  <c r="W83" i="4"/>
  <c r="V68" i="4"/>
  <c r="V76" i="4"/>
  <c r="V77" i="4"/>
  <c r="V69" i="4"/>
  <c r="V78" i="4"/>
  <c r="V83" i="4"/>
  <c r="U68" i="4"/>
  <c r="U76" i="4"/>
  <c r="U77" i="4"/>
  <c r="U69" i="4"/>
  <c r="U78" i="4"/>
  <c r="U83" i="4"/>
  <c r="T68" i="4"/>
  <c r="T76" i="4"/>
  <c r="T77" i="4"/>
  <c r="T69" i="4"/>
  <c r="T78" i="4"/>
  <c r="T83" i="4"/>
  <c r="S68" i="4"/>
  <c r="S76" i="4"/>
  <c r="S77" i="4"/>
  <c r="S69" i="4"/>
  <c r="S78" i="4"/>
  <c r="S83" i="4"/>
  <c r="R68" i="4"/>
  <c r="R76" i="4"/>
  <c r="R77" i="4"/>
  <c r="R69" i="4"/>
  <c r="R78" i="4"/>
  <c r="R83" i="4"/>
  <c r="Q68" i="4"/>
  <c r="Q76" i="4"/>
  <c r="Q77" i="4"/>
  <c r="Q69" i="4"/>
  <c r="Q78" i="4"/>
  <c r="Q83" i="4"/>
  <c r="P68" i="4"/>
  <c r="P76" i="4"/>
  <c r="P77" i="4"/>
  <c r="P69" i="4"/>
  <c r="P78" i="4"/>
  <c r="P83" i="4"/>
  <c r="O68" i="4"/>
  <c r="O76" i="4"/>
  <c r="O77" i="4"/>
  <c r="O69" i="4"/>
  <c r="O78" i="4"/>
  <c r="N68" i="4"/>
  <c r="N76" i="4"/>
  <c r="N77" i="4"/>
  <c r="N69" i="4"/>
  <c r="N78" i="4"/>
  <c r="M68" i="4"/>
  <c r="M76" i="4"/>
  <c r="M77" i="4"/>
  <c r="M69" i="4"/>
  <c r="M78" i="4"/>
  <c r="L68" i="4"/>
  <c r="L76" i="4"/>
  <c r="L77" i="4"/>
  <c r="L69" i="4"/>
  <c r="L78" i="4"/>
  <c r="K68" i="4"/>
  <c r="K76" i="4"/>
  <c r="K77" i="4"/>
  <c r="K69" i="4"/>
  <c r="K78" i="4"/>
  <c r="J68" i="4"/>
  <c r="J76" i="4"/>
  <c r="J77" i="4"/>
  <c r="J69" i="4"/>
  <c r="J78" i="4"/>
  <c r="I65" i="4"/>
  <c r="I68" i="4"/>
  <c r="I76" i="4"/>
  <c r="I77" i="4"/>
  <c r="I66" i="4"/>
  <c r="I69" i="4"/>
  <c r="I78" i="4"/>
  <c r="H65" i="4"/>
  <c r="H68" i="4"/>
  <c r="H76" i="4"/>
  <c r="H77" i="4"/>
  <c r="H66" i="4"/>
  <c r="H69" i="4"/>
  <c r="H78" i="4"/>
  <c r="G65" i="4"/>
  <c r="G68" i="4"/>
  <c r="G76" i="4"/>
  <c r="G77" i="4"/>
  <c r="G66" i="4"/>
  <c r="G69" i="4"/>
  <c r="G78" i="4"/>
  <c r="F65" i="4"/>
  <c r="F68" i="4"/>
  <c r="F76" i="4"/>
  <c r="F77" i="4"/>
  <c r="F66" i="4"/>
  <c r="F69" i="4"/>
  <c r="F78" i="4"/>
  <c r="E65" i="4"/>
  <c r="E68" i="4"/>
  <c r="E76" i="4"/>
  <c r="E77" i="4"/>
  <c r="E66" i="4"/>
  <c r="E69" i="4"/>
  <c r="E78" i="4"/>
  <c r="D65" i="4"/>
  <c r="D68" i="4"/>
  <c r="D76" i="4"/>
  <c r="D77" i="4"/>
  <c r="D66" i="4"/>
  <c r="D69" i="4"/>
  <c r="D78" i="4"/>
  <c r="O83" i="4"/>
  <c r="N83" i="4"/>
  <c r="M83" i="4"/>
  <c r="L83" i="4"/>
  <c r="K83" i="4"/>
  <c r="C93" i="4"/>
  <c r="AN85" i="4"/>
  <c r="AN86" i="4"/>
  <c r="AM85" i="4"/>
  <c r="AM86" i="4"/>
  <c r="AL85" i="4"/>
  <c r="AL86" i="4"/>
  <c r="AK85" i="4"/>
  <c r="AK86" i="4"/>
  <c r="AJ85" i="4"/>
  <c r="AJ86" i="4"/>
  <c r="AI85" i="4"/>
  <c r="AI86" i="4"/>
  <c r="AH85" i="4"/>
  <c r="AH86" i="4"/>
  <c r="AG85" i="4"/>
  <c r="AG86" i="4"/>
  <c r="AF85" i="4"/>
  <c r="AF86" i="4"/>
  <c r="AE85" i="4"/>
  <c r="AE86" i="4"/>
  <c r="AD85" i="4"/>
  <c r="AD86" i="4"/>
  <c r="AC85" i="4"/>
  <c r="AC86" i="4"/>
  <c r="AB85" i="4"/>
  <c r="AB86" i="4"/>
  <c r="AA85" i="4"/>
  <c r="AA86" i="4"/>
  <c r="Z85" i="4"/>
  <c r="Z86" i="4"/>
  <c r="Y85" i="4"/>
  <c r="Y86" i="4"/>
  <c r="X85" i="4"/>
  <c r="X86" i="4"/>
  <c r="W85" i="4"/>
  <c r="W86" i="4"/>
  <c r="V85" i="4"/>
  <c r="V86" i="4"/>
  <c r="U85" i="4"/>
  <c r="U86" i="4"/>
  <c r="T85" i="4"/>
  <c r="T86" i="4"/>
  <c r="S85" i="4"/>
  <c r="S86" i="4"/>
  <c r="R85" i="4"/>
  <c r="R86" i="4"/>
  <c r="Q85" i="4"/>
  <c r="Q86" i="4"/>
  <c r="P85" i="4"/>
  <c r="P86" i="4"/>
  <c r="O85" i="4"/>
  <c r="O86" i="4"/>
  <c r="N85" i="4"/>
  <c r="N86" i="4"/>
  <c r="M85" i="4"/>
  <c r="M86" i="4"/>
  <c r="L85" i="4"/>
  <c r="L86" i="4"/>
  <c r="K85" i="4"/>
  <c r="K86" i="4"/>
  <c r="J83" i="4"/>
  <c r="J85" i="4"/>
  <c r="J86" i="4"/>
  <c r="I83" i="4"/>
  <c r="I85" i="4"/>
  <c r="I86" i="4"/>
  <c r="H83" i="4"/>
  <c r="H85" i="4"/>
  <c r="H86" i="4"/>
  <c r="G83" i="4"/>
  <c r="G85" i="4"/>
  <c r="G86" i="4"/>
  <c r="F83" i="4"/>
  <c r="F85" i="4"/>
  <c r="F86" i="4"/>
  <c r="E83" i="4"/>
  <c r="E85" i="4"/>
  <c r="E86" i="4"/>
  <c r="D83" i="4"/>
  <c r="D85" i="4"/>
  <c r="D86" i="4"/>
  <c r="C85" i="4"/>
  <c r="C86" i="4"/>
  <c r="AO85" i="4"/>
  <c r="AO86" i="4"/>
  <c r="AO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B96" i="4"/>
  <c r="B95" i="4"/>
  <c r="B94" i="4"/>
  <c r="B93" i="4"/>
  <c r="D71" i="4"/>
  <c r="C91" i="4"/>
  <c r="C81" i="4"/>
  <c r="D59" i="4"/>
  <c r="C72" i="4"/>
  <c r="K59" i="4"/>
  <c r="K58" i="4"/>
  <c r="L58" i="4"/>
  <c r="L59" i="4"/>
  <c r="L60" i="4"/>
  <c r="L61" i="4"/>
  <c r="M58" i="4"/>
  <c r="M59" i="4"/>
  <c r="M60" i="4"/>
  <c r="M61" i="4"/>
  <c r="N58" i="4"/>
  <c r="N59" i="4"/>
  <c r="N60" i="4"/>
  <c r="N61" i="4"/>
  <c r="O58" i="4"/>
  <c r="O59" i="4"/>
  <c r="O60" i="4"/>
  <c r="O61" i="4"/>
  <c r="P58" i="4"/>
  <c r="P59" i="4"/>
  <c r="P60" i="4"/>
  <c r="P61" i="4"/>
  <c r="Q58" i="4"/>
  <c r="Q59" i="4"/>
  <c r="Q60" i="4"/>
  <c r="Q61" i="4"/>
  <c r="R58" i="4"/>
  <c r="R59" i="4"/>
  <c r="R60" i="4"/>
  <c r="R61" i="4"/>
  <c r="S58" i="4"/>
  <c r="S59" i="4"/>
  <c r="S60" i="4"/>
  <c r="S61" i="4"/>
  <c r="T58" i="4"/>
  <c r="T59" i="4"/>
  <c r="T60" i="4"/>
  <c r="T61" i="4"/>
  <c r="U58" i="4"/>
  <c r="U59" i="4"/>
  <c r="U60" i="4"/>
  <c r="U61" i="4"/>
  <c r="V58" i="4"/>
  <c r="V59" i="4"/>
  <c r="V60" i="4"/>
  <c r="V61" i="4"/>
  <c r="W58" i="4"/>
  <c r="W59" i="4"/>
  <c r="W60" i="4"/>
  <c r="W61" i="4"/>
  <c r="X58" i="4"/>
  <c r="X59" i="4"/>
  <c r="X60" i="4"/>
  <c r="X61" i="4"/>
  <c r="Y58" i="4"/>
  <c r="Y59" i="4"/>
  <c r="Y60" i="4"/>
  <c r="Y61" i="4"/>
  <c r="Z58" i="4"/>
  <c r="Z59" i="4"/>
  <c r="Z60" i="4"/>
  <c r="Z61" i="4"/>
  <c r="AA58" i="4"/>
  <c r="AA59" i="4"/>
  <c r="AA60" i="4"/>
  <c r="AA61" i="4"/>
  <c r="AB58" i="4"/>
  <c r="AB59" i="4"/>
  <c r="AB60" i="4"/>
  <c r="AB61" i="4"/>
  <c r="AC58" i="4"/>
  <c r="AC59" i="4"/>
  <c r="AC60" i="4"/>
  <c r="AC61" i="4"/>
  <c r="AD58" i="4"/>
  <c r="AD59" i="4"/>
  <c r="AD60" i="4"/>
  <c r="AD61" i="4"/>
  <c r="AE58" i="4"/>
  <c r="AE59" i="4"/>
  <c r="AE60" i="4"/>
  <c r="AE61" i="4"/>
  <c r="AF58" i="4"/>
  <c r="AF59" i="4"/>
  <c r="AF60" i="4"/>
  <c r="AF61" i="4"/>
  <c r="AG58" i="4"/>
  <c r="AG59" i="4"/>
  <c r="AG60" i="4"/>
  <c r="AG61" i="4"/>
  <c r="AH58" i="4"/>
  <c r="AH59" i="4"/>
  <c r="AH60" i="4"/>
  <c r="AH61" i="4"/>
  <c r="AI58" i="4"/>
  <c r="AI59" i="4"/>
  <c r="AI60" i="4"/>
  <c r="AI61" i="4"/>
  <c r="AJ58" i="4"/>
  <c r="AJ59" i="4"/>
  <c r="AJ60" i="4"/>
  <c r="AJ61" i="4"/>
  <c r="AK58" i="4"/>
  <c r="AK59" i="4"/>
  <c r="AK60" i="4"/>
  <c r="AK61" i="4"/>
  <c r="AL58" i="4"/>
  <c r="AL59" i="4"/>
  <c r="AL60" i="4"/>
  <c r="AL61" i="4"/>
  <c r="AM58" i="4"/>
  <c r="AM59" i="4"/>
  <c r="AM60" i="4"/>
  <c r="AM61" i="4"/>
  <c r="AN58" i="4"/>
  <c r="AN59" i="4"/>
  <c r="AN60" i="4"/>
  <c r="AN61" i="4"/>
  <c r="AO58" i="4"/>
  <c r="AO59" i="4"/>
  <c r="AO60" i="4"/>
  <c r="AO61" i="4"/>
  <c r="J59" i="4"/>
  <c r="J58" i="4"/>
  <c r="I59" i="4"/>
  <c r="I58" i="4"/>
  <c r="H59" i="4"/>
  <c r="H58" i="4"/>
  <c r="G59" i="4"/>
  <c r="G58" i="4"/>
  <c r="F59" i="4"/>
  <c r="F58" i="4"/>
  <c r="E59" i="4"/>
  <c r="E58" i="4"/>
  <c r="D58" i="4"/>
  <c r="C58" i="4"/>
  <c r="AO88" i="4"/>
  <c r="AO89" i="4"/>
  <c r="AO90" i="4"/>
  <c r="AO91" i="4"/>
  <c r="D88" i="4"/>
  <c r="D89" i="4"/>
  <c r="D90" i="4"/>
  <c r="D91" i="4"/>
  <c r="E88" i="4"/>
  <c r="E89" i="4"/>
  <c r="E90" i="4"/>
  <c r="E91" i="4"/>
  <c r="F88" i="4"/>
  <c r="F89" i="4"/>
  <c r="F90" i="4"/>
  <c r="F91" i="4"/>
  <c r="G88" i="4"/>
  <c r="G89" i="4"/>
  <c r="G90" i="4"/>
  <c r="G91" i="4"/>
  <c r="H88" i="4"/>
  <c r="H89" i="4"/>
  <c r="H90" i="4"/>
  <c r="H91" i="4"/>
  <c r="I88" i="4"/>
  <c r="I89" i="4"/>
  <c r="I90" i="4"/>
  <c r="I91" i="4"/>
  <c r="J88" i="4"/>
  <c r="J89" i="4"/>
  <c r="J90" i="4"/>
  <c r="J91" i="4"/>
  <c r="K88" i="4"/>
  <c r="K89" i="4"/>
  <c r="K90" i="4"/>
  <c r="K91" i="4"/>
  <c r="L88" i="4"/>
  <c r="L89" i="4"/>
  <c r="L90" i="4"/>
  <c r="L91" i="4"/>
  <c r="M88" i="4"/>
  <c r="M89" i="4"/>
  <c r="M90" i="4"/>
  <c r="M91" i="4"/>
  <c r="N88" i="4"/>
  <c r="N89" i="4"/>
  <c r="N90" i="4"/>
  <c r="N91" i="4"/>
  <c r="O88" i="4"/>
  <c r="O89" i="4"/>
  <c r="O90" i="4"/>
  <c r="O91" i="4"/>
  <c r="P88" i="4"/>
  <c r="P89" i="4"/>
  <c r="P90" i="4"/>
  <c r="P91" i="4"/>
  <c r="Q88" i="4"/>
  <c r="Q89" i="4"/>
  <c r="Q90" i="4"/>
  <c r="Q91" i="4"/>
  <c r="R88" i="4"/>
  <c r="R89" i="4"/>
  <c r="R90" i="4"/>
  <c r="R91" i="4"/>
  <c r="S88" i="4"/>
  <c r="S89" i="4"/>
  <c r="S90" i="4"/>
  <c r="S91" i="4"/>
  <c r="T88" i="4"/>
  <c r="T89" i="4"/>
  <c r="T90" i="4"/>
  <c r="T91" i="4"/>
  <c r="U88" i="4"/>
  <c r="U89" i="4"/>
  <c r="U90" i="4"/>
  <c r="U91" i="4"/>
  <c r="V88" i="4"/>
  <c r="V89" i="4"/>
  <c r="V90" i="4"/>
  <c r="V91" i="4"/>
  <c r="W88" i="4"/>
  <c r="W89" i="4"/>
  <c r="W90" i="4"/>
  <c r="W91" i="4"/>
  <c r="X88" i="4"/>
  <c r="X89" i="4"/>
  <c r="X90" i="4"/>
  <c r="X91" i="4"/>
  <c r="Y88" i="4"/>
  <c r="Y89" i="4"/>
  <c r="Y90" i="4"/>
  <c r="Y91" i="4"/>
  <c r="Z88" i="4"/>
  <c r="Z89" i="4"/>
  <c r="Z90" i="4"/>
  <c r="Z91" i="4"/>
  <c r="AA88" i="4"/>
  <c r="AA89" i="4"/>
  <c r="AA90" i="4"/>
  <c r="AA91" i="4"/>
  <c r="AB88" i="4"/>
  <c r="AB89" i="4"/>
  <c r="AB90" i="4"/>
  <c r="AB91" i="4"/>
  <c r="AC88" i="4"/>
  <c r="AC89" i="4"/>
  <c r="AC90" i="4"/>
  <c r="AC91" i="4"/>
  <c r="AD88" i="4"/>
  <c r="AD89" i="4"/>
  <c r="AD90" i="4"/>
  <c r="AD91" i="4"/>
  <c r="AE88" i="4"/>
  <c r="AE89" i="4"/>
  <c r="AE90" i="4"/>
  <c r="AE91" i="4"/>
  <c r="AF88" i="4"/>
  <c r="AF89" i="4"/>
  <c r="AF90" i="4"/>
  <c r="AF91" i="4"/>
  <c r="AG88" i="4"/>
  <c r="AG89" i="4"/>
  <c r="AG90" i="4"/>
  <c r="AG91" i="4"/>
  <c r="AH88" i="4"/>
  <c r="AH89" i="4"/>
  <c r="AH90" i="4"/>
  <c r="AH91" i="4"/>
  <c r="AI88" i="4"/>
  <c r="AI89" i="4"/>
  <c r="AI90" i="4"/>
  <c r="AI91" i="4"/>
  <c r="AJ88" i="4"/>
  <c r="AJ89" i="4"/>
  <c r="AJ90" i="4"/>
  <c r="AJ91" i="4"/>
  <c r="AK88" i="4"/>
  <c r="AK89" i="4"/>
  <c r="AK90" i="4"/>
  <c r="AK91" i="4"/>
  <c r="AL88" i="4"/>
  <c r="AL89" i="4"/>
  <c r="AL90" i="4"/>
  <c r="AL91" i="4"/>
  <c r="AM88" i="4"/>
  <c r="AM89" i="4"/>
  <c r="AM90" i="4"/>
  <c r="AM91" i="4"/>
  <c r="AN88" i="4"/>
  <c r="AN89" i="4"/>
  <c r="AN90" i="4"/>
  <c r="AN91" i="4"/>
  <c r="D72" i="4"/>
  <c r="D73" i="4"/>
  <c r="D74" i="4"/>
  <c r="D99" i="4"/>
  <c r="D104" i="4"/>
  <c r="D100" i="4"/>
  <c r="D101" i="4"/>
  <c r="D102" i="4"/>
  <c r="D95" i="4"/>
  <c r="D106" i="4"/>
  <c r="D94" i="4"/>
  <c r="D105" i="4"/>
  <c r="E71" i="4"/>
  <c r="E72" i="4"/>
  <c r="E73" i="4"/>
  <c r="E74" i="4"/>
  <c r="E99" i="4"/>
  <c r="E104" i="4"/>
  <c r="E100" i="4"/>
  <c r="E101" i="4"/>
  <c r="E102" i="4"/>
  <c r="E95" i="4"/>
  <c r="E106" i="4"/>
  <c r="E94" i="4"/>
  <c r="E105" i="4"/>
  <c r="F71" i="4"/>
  <c r="F72" i="4"/>
  <c r="F73" i="4"/>
  <c r="F74" i="4"/>
  <c r="F99" i="4"/>
  <c r="F104" i="4"/>
  <c r="F100" i="4"/>
  <c r="F101" i="4"/>
  <c r="F102" i="4"/>
  <c r="F95" i="4"/>
  <c r="F106" i="4"/>
  <c r="F94" i="4"/>
  <c r="F105" i="4"/>
  <c r="G71" i="4"/>
  <c r="G72" i="4"/>
  <c r="G73" i="4"/>
  <c r="G74" i="4"/>
  <c r="G99" i="4"/>
  <c r="G104" i="4"/>
  <c r="G100" i="4"/>
  <c r="G101" i="4"/>
  <c r="G102" i="4"/>
  <c r="G95" i="4"/>
  <c r="G106" i="4"/>
  <c r="G94" i="4"/>
  <c r="G105" i="4"/>
  <c r="H71" i="4"/>
  <c r="H72" i="4"/>
  <c r="H73" i="4"/>
  <c r="H74" i="4"/>
  <c r="H99" i="4"/>
  <c r="H104" i="4"/>
  <c r="H100" i="4"/>
  <c r="H101" i="4"/>
  <c r="H102" i="4"/>
  <c r="H95" i="4"/>
  <c r="H106" i="4"/>
  <c r="H94" i="4"/>
  <c r="H105" i="4"/>
  <c r="I71" i="4"/>
  <c r="I72" i="4"/>
  <c r="I73" i="4"/>
  <c r="I74" i="4"/>
  <c r="I99" i="4"/>
  <c r="I104" i="4"/>
  <c r="I100" i="4"/>
  <c r="I101" i="4"/>
  <c r="I102" i="4"/>
  <c r="I95" i="4"/>
  <c r="I106" i="4"/>
  <c r="I94" i="4"/>
  <c r="I105" i="4"/>
  <c r="J71" i="4"/>
  <c r="J72" i="4"/>
  <c r="J73" i="4"/>
  <c r="J74" i="4"/>
  <c r="J99" i="4"/>
  <c r="J104" i="4"/>
  <c r="J100" i="4"/>
  <c r="J101" i="4"/>
  <c r="J102" i="4"/>
  <c r="J95" i="4"/>
  <c r="J106" i="4"/>
  <c r="J94" i="4"/>
  <c r="J105" i="4"/>
  <c r="K71" i="4"/>
  <c r="K72" i="4"/>
  <c r="K73" i="4"/>
  <c r="K74" i="4"/>
  <c r="K99" i="4"/>
  <c r="K104" i="4"/>
  <c r="K100" i="4"/>
  <c r="K101" i="4"/>
  <c r="K102" i="4"/>
  <c r="K95" i="4"/>
  <c r="K106" i="4"/>
  <c r="K94" i="4"/>
  <c r="K105" i="4"/>
  <c r="L71" i="4"/>
  <c r="L72" i="4"/>
  <c r="L73" i="4"/>
  <c r="L74" i="4"/>
  <c r="L99" i="4"/>
  <c r="L104" i="4"/>
  <c r="L100" i="4"/>
  <c r="L101" i="4"/>
  <c r="L102" i="4"/>
  <c r="L95" i="4"/>
  <c r="L106" i="4"/>
  <c r="L94" i="4"/>
  <c r="L105" i="4"/>
  <c r="M71" i="4"/>
  <c r="M72" i="4"/>
  <c r="M73" i="4"/>
  <c r="M74" i="4"/>
  <c r="M99" i="4"/>
  <c r="M104" i="4"/>
  <c r="M100" i="4"/>
  <c r="M101" i="4"/>
  <c r="M102" i="4"/>
  <c r="M95" i="4"/>
  <c r="M106" i="4"/>
  <c r="M94" i="4"/>
  <c r="M105" i="4"/>
  <c r="N71" i="4"/>
  <c r="N72" i="4"/>
  <c r="N73" i="4"/>
  <c r="N74" i="4"/>
  <c r="N99" i="4"/>
  <c r="N104" i="4"/>
  <c r="N100" i="4"/>
  <c r="N101" i="4"/>
  <c r="N102" i="4"/>
  <c r="N95" i="4"/>
  <c r="N106" i="4"/>
  <c r="N94" i="4"/>
  <c r="N105" i="4"/>
  <c r="O71" i="4"/>
  <c r="O72" i="4"/>
  <c r="O73" i="4"/>
  <c r="O74" i="4"/>
  <c r="O99" i="4"/>
  <c r="O104" i="4"/>
  <c r="O100" i="4"/>
  <c r="O101" i="4"/>
  <c r="O102" i="4"/>
  <c r="O95" i="4"/>
  <c r="O106" i="4"/>
  <c r="O94" i="4"/>
  <c r="O105" i="4"/>
  <c r="P71" i="4"/>
  <c r="P72" i="4"/>
  <c r="P73" i="4"/>
  <c r="P74" i="4"/>
  <c r="P99" i="4"/>
  <c r="P104" i="4"/>
  <c r="P100" i="4"/>
  <c r="P101" i="4"/>
  <c r="P102" i="4"/>
  <c r="P95" i="4"/>
  <c r="P106" i="4"/>
  <c r="P94" i="4"/>
  <c r="P105" i="4"/>
  <c r="Q71" i="4"/>
  <c r="Q72" i="4"/>
  <c r="Q73" i="4"/>
  <c r="Q74" i="4"/>
  <c r="Q99" i="4"/>
  <c r="Q104" i="4"/>
  <c r="Q100" i="4"/>
  <c r="Q101" i="4"/>
  <c r="Q102" i="4"/>
  <c r="Q95" i="4"/>
  <c r="Q106" i="4"/>
  <c r="Q94" i="4"/>
  <c r="Q105" i="4"/>
  <c r="R71" i="4"/>
  <c r="R72" i="4"/>
  <c r="R73" i="4"/>
  <c r="R74" i="4"/>
  <c r="R99" i="4"/>
  <c r="R104" i="4"/>
  <c r="R100" i="4"/>
  <c r="R101" i="4"/>
  <c r="R102" i="4"/>
  <c r="R94" i="4"/>
  <c r="R105" i="4"/>
  <c r="R95" i="4"/>
  <c r="R106" i="4"/>
  <c r="S71" i="4"/>
  <c r="S72" i="4"/>
  <c r="S73" i="4"/>
  <c r="S74" i="4"/>
  <c r="S99" i="4"/>
  <c r="S104" i="4"/>
  <c r="S100" i="4"/>
  <c r="S101" i="4"/>
  <c r="S102" i="4"/>
  <c r="S95" i="4"/>
  <c r="S106" i="4"/>
  <c r="S94" i="4"/>
  <c r="S105" i="4"/>
  <c r="T71" i="4"/>
  <c r="T72" i="4"/>
  <c r="T73" i="4"/>
  <c r="T74" i="4"/>
  <c r="T99" i="4"/>
  <c r="T104" i="4"/>
  <c r="T100" i="4"/>
  <c r="T101" i="4"/>
  <c r="T102" i="4"/>
  <c r="T95" i="4"/>
  <c r="T106" i="4"/>
  <c r="T94" i="4"/>
  <c r="T105" i="4"/>
  <c r="U71" i="4"/>
  <c r="U72" i="4"/>
  <c r="U73" i="4"/>
  <c r="U74" i="4"/>
  <c r="U99" i="4"/>
  <c r="U104" i="4"/>
  <c r="U100" i="4"/>
  <c r="U101" i="4"/>
  <c r="U102" i="4"/>
  <c r="U95" i="4"/>
  <c r="U106" i="4"/>
  <c r="U94" i="4"/>
  <c r="U105" i="4"/>
  <c r="V71" i="4"/>
  <c r="V72" i="4"/>
  <c r="V73" i="4"/>
  <c r="V74" i="4"/>
  <c r="V99" i="4"/>
  <c r="V104" i="4"/>
  <c r="V100" i="4"/>
  <c r="V101" i="4"/>
  <c r="V102" i="4"/>
  <c r="V95" i="4"/>
  <c r="V106" i="4"/>
  <c r="V94" i="4"/>
  <c r="V105" i="4"/>
  <c r="W71" i="4"/>
  <c r="W72" i="4"/>
  <c r="W73" i="4"/>
  <c r="W74" i="4"/>
  <c r="W99" i="4"/>
  <c r="W104" i="4"/>
  <c r="W100" i="4"/>
  <c r="W101" i="4"/>
  <c r="W102" i="4"/>
  <c r="W95" i="4"/>
  <c r="W106" i="4"/>
  <c r="W94" i="4"/>
  <c r="W105" i="4"/>
  <c r="X71" i="4"/>
  <c r="X72" i="4"/>
  <c r="X73" i="4"/>
  <c r="X74" i="4"/>
  <c r="X99" i="4"/>
  <c r="X104" i="4"/>
  <c r="X100" i="4"/>
  <c r="X101" i="4"/>
  <c r="X102" i="4"/>
  <c r="X95" i="4"/>
  <c r="X106" i="4"/>
  <c r="X94" i="4"/>
  <c r="X105" i="4"/>
  <c r="Y71" i="4"/>
  <c r="Y72" i="4"/>
  <c r="Y73" i="4"/>
  <c r="Y74" i="4"/>
  <c r="Y99" i="4"/>
  <c r="Y104" i="4"/>
  <c r="Y100" i="4"/>
  <c r="Y101" i="4"/>
  <c r="Y102" i="4"/>
  <c r="Y95" i="4"/>
  <c r="Y106" i="4"/>
  <c r="Y94" i="4"/>
  <c r="Y105" i="4"/>
  <c r="Z71" i="4"/>
  <c r="Z72" i="4"/>
  <c r="Z73" i="4"/>
  <c r="Z74" i="4"/>
  <c r="Z99" i="4"/>
  <c r="Z104" i="4"/>
  <c r="Z100" i="4"/>
  <c r="Z101" i="4"/>
  <c r="Z102" i="4"/>
  <c r="Z95" i="4"/>
  <c r="Z106" i="4"/>
  <c r="Z94" i="4"/>
  <c r="Z105" i="4"/>
  <c r="AA71" i="4"/>
  <c r="AA72" i="4"/>
  <c r="AA73" i="4"/>
  <c r="AA74" i="4"/>
  <c r="AA99" i="4"/>
  <c r="AA104" i="4"/>
  <c r="AA100" i="4"/>
  <c r="AA101" i="4"/>
  <c r="AA102" i="4"/>
  <c r="AA95" i="4"/>
  <c r="AA106" i="4"/>
  <c r="AA94" i="4"/>
  <c r="AA105" i="4"/>
  <c r="AB71" i="4"/>
  <c r="AB72" i="4"/>
  <c r="AB73" i="4"/>
  <c r="AB74" i="4"/>
  <c r="AB99" i="4"/>
  <c r="AB104" i="4"/>
  <c r="AB100" i="4"/>
  <c r="AB101" i="4"/>
  <c r="AB102" i="4"/>
  <c r="AB95" i="4"/>
  <c r="AB106" i="4"/>
  <c r="AB94" i="4"/>
  <c r="AB105" i="4"/>
  <c r="AC71" i="4"/>
  <c r="AC72" i="4"/>
  <c r="AC73" i="4"/>
  <c r="AC74" i="4"/>
  <c r="AC99" i="4"/>
  <c r="AC104" i="4"/>
  <c r="AC100" i="4"/>
  <c r="AC101" i="4"/>
  <c r="AC102" i="4"/>
  <c r="AC95" i="4"/>
  <c r="AC106" i="4"/>
  <c r="AC94" i="4"/>
  <c r="AC105" i="4"/>
  <c r="AD71" i="4"/>
  <c r="AD72" i="4"/>
  <c r="AD73" i="4"/>
  <c r="AD74" i="4"/>
  <c r="AD99" i="4"/>
  <c r="AD104" i="4"/>
  <c r="AD100" i="4"/>
  <c r="AD101" i="4"/>
  <c r="AD102" i="4"/>
  <c r="AD95" i="4"/>
  <c r="AD106" i="4"/>
  <c r="AD94" i="4"/>
  <c r="AD105" i="4"/>
  <c r="AE71" i="4"/>
  <c r="AE72" i="4"/>
  <c r="AE73" i="4"/>
  <c r="AE74" i="4"/>
  <c r="AE99" i="4"/>
  <c r="AE104" i="4"/>
  <c r="AE100" i="4"/>
  <c r="AE101" i="4"/>
  <c r="AE102" i="4"/>
  <c r="AE95" i="4"/>
  <c r="AE106" i="4"/>
  <c r="AE94" i="4"/>
  <c r="AE105" i="4"/>
  <c r="AF71" i="4"/>
  <c r="AF72" i="4"/>
  <c r="AF73" i="4"/>
  <c r="AF74" i="4"/>
  <c r="AF99" i="4"/>
  <c r="AF104" i="4"/>
  <c r="AF100" i="4"/>
  <c r="AF101" i="4"/>
  <c r="AF102" i="4"/>
  <c r="AF95" i="4"/>
  <c r="AF106" i="4"/>
  <c r="AF94" i="4"/>
  <c r="AF105" i="4"/>
  <c r="AG71" i="4"/>
  <c r="AG72" i="4"/>
  <c r="AG73" i="4"/>
  <c r="AG74" i="4"/>
  <c r="AG99" i="4"/>
  <c r="AG104" i="4"/>
  <c r="AG100" i="4"/>
  <c r="AG101" i="4"/>
  <c r="AG102" i="4"/>
  <c r="AG95" i="4"/>
  <c r="AG106" i="4"/>
  <c r="AG94" i="4"/>
  <c r="AG105" i="4"/>
  <c r="AH71" i="4"/>
  <c r="AH72" i="4"/>
  <c r="AH73" i="4"/>
  <c r="AH74" i="4"/>
  <c r="AH99" i="4"/>
  <c r="AH104" i="4"/>
  <c r="AH100" i="4"/>
  <c r="AH101" i="4"/>
  <c r="AH102" i="4"/>
  <c r="AH95" i="4"/>
  <c r="AH106" i="4"/>
  <c r="AH94" i="4"/>
  <c r="AH105" i="4"/>
  <c r="AI71" i="4"/>
  <c r="AI72" i="4"/>
  <c r="AI73" i="4"/>
  <c r="AI74" i="4"/>
  <c r="AI99" i="4"/>
  <c r="AI104" i="4"/>
  <c r="AI100" i="4"/>
  <c r="AI101" i="4"/>
  <c r="AI102" i="4"/>
  <c r="AI95" i="4"/>
  <c r="AI106" i="4"/>
  <c r="AI94" i="4"/>
  <c r="AI105" i="4"/>
  <c r="AJ71" i="4"/>
  <c r="AJ72" i="4"/>
  <c r="AJ73" i="4"/>
  <c r="AJ74" i="4"/>
  <c r="AJ99" i="4"/>
  <c r="AJ104" i="4"/>
  <c r="AJ100" i="4"/>
  <c r="AJ101" i="4"/>
  <c r="AJ102" i="4"/>
  <c r="AJ95" i="4"/>
  <c r="AJ106" i="4"/>
  <c r="AJ94" i="4"/>
  <c r="AJ105" i="4"/>
  <c r="AK71" i="4"/>
  <c r="AK72" i="4"/>
  <c r="AK73" i="4"/>
  <c r="AK74" i="4"/>
  <c r="AK99" i="4"/>
  <c r="AK104" i="4"/>
  <c r="AK100" i="4"/>
  <c r="AK101" i="4"/>
  <c r="AK102" i="4"/>
  <c r="AK95" i="4"/>
  <c r="AK106" i="4"/>
  <c r="AK94" i="4"/>
  <c r="AK105" i="4"/>
  <c r="AL71" i="4"/>
  <c r="AL72" i="4"/>
  <c r="AL73" i="4"/>
  <c r="AL74" i="4"/>
  <c r="AL99" i="4"/>
  <c r="AL104" i="4"/>
  <c r="AL100" i="4"/>
  <c r="AL101" i="4"/>
  <c r="AL102" i="4"/>
  <c r="AL95" i="4"/>
  <c r="AL106" i="4"/>
  <c r="AL94" i="4"/>
  <c r="AL105" i="4"/>
  <c r="AM71" i="4"/>
  <c r="AM72" i="4"/>
  <c r="AM73" i="4"/>
  <c r="AM74" i="4"/>
  <c r="AM99" i="4"/>
  <c r="AM104" i="4"/>
  <c r="AM100" i="4"/>
  <c r="AM101" i="4"/>
  <c r="AM102" i="4"/>
  <c r="AM95" i="4"/>
  <c r="AM106" i="4"/>
  <c r="AM94" i="4"/>
  <c r="AM105" i="4"/>
  <c r="AN71" i="4"/>
  <c r="AN72" i="4"/>
  <c r="AN73" i="4"/>
  <c r="AN74" i="4"/>
  <c r="AN99" i="4"/>
  <c r="AN104" i="4"/>
  <c r="AN100" i="4"/>
  <c r="AN101" i="4"/>
  <c r="AN102" i="4"/>
  <c r="AN95" i="4"/>
  <c r="AN106" i="4"/>
  <c r="AN94" i="4"/>
  <c r="AN105" i="4"/>
  <c r="AO71" i="4"/>
  <c r="AO72" i="4"/>
  <c r="AO73" i="4"/>
  <c r="AO74" i="4"/>
  <c r="AO99" i="4"/>
  <c r="AO104" i="4"/>
  <c r="AO100" i="4"/>
  <c r="AO101" i="4"/>
  <c r="AO102" i="4"/>
  <c r="AO95" i="4"/>
  <c r="AO106" i="4"/>
  <c r="AO94" i="4"/>
  <c r="AO105" i="4"/>
  <c r="C108" i="4"/>
  <c r="C111" i="4"/>
  <c r="C97" i="4"/>
  <c r="C110" i="4"/>
  <c r="C112" i="4"/>
  <c r="C113" i="4"/>
  <c r="AN97" i="4"/>
  <c r="AN110" i="4"/>
  <c r="AN108" i="4"/>
  <c r="AN111" i="4"/>
  <c r="AN112" i="4"/>
  <c r="AN113" i="4"/>
  <c r="AM97" i="4"/>
  <c r="AM110" i="4"/>
  <c r="AM108" i="4"/>
  <c r="AM111" i="4"/>
  <c r="AM112" i="4"/>
  <c r="AM113" i="4"/>
  <c r="AL97" i="4"/>
  <c r="AL110" i="4"/>
  <c r="AL108" i="4"/>
  <c r="AL111" i="4"/>
  <c r="AL112" i="4"/>
  <c r="AL113" i="4"/>
  <c r="AK97" i="4"/>
  <c r="AK110" i="4"/>
  <c r="AK108" i="4"/>
  <c r="AK111" i="4"/>
  <c r="AK112" i="4"/>
  <c r="AK113" i="4"/>
  <c r="AJ97" i="4"/>
  <c r="AJ110" i="4"/>
  <c r="AJ108" i="4"/>
  <c r="AJ111" i="4"/>
  <c r="AJ112" i="4"/>
  <c r="AJ113" i="4"/>
  <c r="AI97" i="4"/>
  <c r="AI110" i="4"/>
  <c r="AI108" i="4"/>
  <c r="AI111" i="4"/>
  <c r="AI112" i="4"/>
  <c r="AI113" i="4"/>
  <c r="AH97" i="4"/>
  <c r="AH110" i="4"/>
  <c r="AH108" i="4"/>
  <c r="AH111" i="4"/>
  <c r="AH112" i="4"/>
  <c r="AH113" i="4"/>
  <c r="AG97" i="4"/>
  <c r="AG110" i="4"/>
  <c r="AG108" i="4"/>
  <c r="AG111" i="4"/>
  <c r="AG112" i="4"/>
  <c r="AG113" i="4"/>
  <c r="AF97" i="4"/>
  <c r="AF110" i="4"/>
  <c r="AF108" i="4"/>
  <c r="AF111" i="4"/>
  <c r="AF112" i="4"/>
  <c r="AF113" i="4"/>
  <c r="AE97" i="4"/>
  <c r="AE110" i="4"/>
  <c r="AE108" i="4"/>
  <c r="AE111" i="4"/>
  <c r="AE112" i="4"/>
  <c r="AE113" i="4"/>
  <c r="AD97" i="4"/>
  <c r="AD110" i="4"/>
  <c r="AD108" i="4"/>
  <c r="AD111" i="4"/>
  <c r="AD112" i="4"/>
  <c r="AD113" i="4"/>
  <c r="AC97" i="4"/>
  <c r="AC110" i="4"/>
  <c r="AC108" i="4"/>
  <c r="AC111" i="4"/>
  <c r="AC112" i="4"/>
  <c r="AC113" i="4"/>
  <c r="AB97" i="4"/>
  <c r="AB110" i="4"/>
  <c r="AB108" i="4"/>
  <c r="AB111" i="4"/>
  <c r="AB112" i="4"/>
  <c r="AB113" i="4"/>
  <c r="AA97" i="4"/>
  <c r="AA110" i="4"/>
  <c r="AA108" i="4"/>
  <c r="AA111" i="4"/>
  <c r="AA112" i="4"/>
  <c r="AA113" i="4"/>
  <c r="Z97" i="4"/>
  <c r="Z110" i="4"/>
  <c r="Z108" i="4"/>
  <c r="Z111" i="4"/>
  <c r="Z112" i="4"/>
  <c r="Z113" i="4"/>
  <c r="Y97" i="4"/>
  <c r="Y110" i="4"/>
  <c r="Y108" i="4"/>
  <c r="Y111" i="4"/>
  <c r="Y112" i="4"/>
  <c r="Y113" i="4"/>
  <c r="X97" i="4"/>
  <c r="X110" i="4"/>
  <c r="X108" i="4"/>
  <c r="X111" i="4"/>
  <c r="X112" i="4"/>
  <c r="X113" i="4"/>
  <c r="W97" i="4"/>
  <c r="W110" i="4"/>
  <c r="W108" i="4"/>
  <c r="W111" i="4"/>
  <c r="W112" i="4"/>
  <c r="W113" i="4"/>
  <c r="V97" i="4"/>
  <c r="V110" i="4"/>
  <c r="V108" i="4"/>
  <c r="V111" i="4"/>
  <c r="V112" i="4"/>
  <c r="V113" i="4"/>
  <c r="U97" i="4"/>
  <c r="U110" i="4"/>
  <c r="U108" i="4"/>
  <c r="U111" i="4"/>
  <c r="U112" i="4"/>
  <c r="U113" i="4"/>
  <c r="T97" i="4"/>
  <c r="T110" i="4"/>
  <c r="T108" i="4"/>
  <c r="T111" i="4"/>
  <c r="T112" i="4"/>
  <c r="T113" i="4"/>
  <c r="S97" i="4"/>
  <c r="S110" i="4"/>
  <c r="S108" i="4"/>
  <c r="S111" i="4"/>
  <c r="S112" i="4"/>
  <c r="S113" i="4"/>
  <c r="R97" i="4"/>
  <c r="R110" i="4"/>
  <c r="R108" i="4"/>
  <c r="R111" i="4"/>
  <c r="R112" i="4"/>
  <c r="R113" i="4"/>
  <c r="Q97" i="4"/>
  <c r="Q110" i="4"/>
  <c r="Q108" i="4"/>
  <c r="Q111" i="4"/>
  <c r="Q112" i="4"/>
  <c r="Q113" i="4"/>
  <c r="P97" i="4"/>
  <c r="P110" i="4"/>
  <c r="P108" i="4"/>
  <c r="P111" i="4"/>
  <c r="P112" i="4"/>
  <c r="P113" i="4"/>
  <c r="O97" i="4"/>
  <c r="O110" i="4"/>
  <c r="O108" i="4"/>
  <c r="O111" i="4"/>
  <c r="O112" i="4"/>
  <c r="O113" i="4"/>
  <c r="N97" i="4"/>
  <c r="N110" i="4"/>
  <c r="N108" i="4"/>
  <c r="N111" i="4"/>
  <c r="N112" i="4"/>
  <c r="N113" i="4"/>
  <c r="M97" i="4"/>
  <c r="M110" i="4"/>
  <c r="M108" i="4"/>
  <c r="M111" i="4"/>
  <c r="M112" i="4"/>
  <c r="M113" i="4"/>
  <c r="L97" i="4"/>
  <c r="L110" i="4"/>
  <c r="L108" i="4"/>
  <c r="L111" i="4"/>
  <c r="L112" i="4"/>
  <c r="L113" i="4"/>
  <c r="AO97" i="4"/>
  <c r="AO110" i="4"/>
  <c r="AO108" i="4"/>
  <c r="AO111" i="4"/>
  <c r="AO112" i="4"/>
  <c r="AO113" i="4"/>
  <c r="K97" i="4"/>
  <c r="K110" i="4"/>
  <c r="K108" i="4"/>
  <c r="K111" i="4"/>
  <c r="K112" i="4"/>
  <c r="K113" i="4"/>
  <c r="J97" i="4"/>
  <c r="J110" i="4"/>
  <c r="J108" i="4"/>
  <c r="J111" i="4"/>
  <c r="J112" i="4"/>
  <c r="J113" i="4"/>
  <c r="I97" i="4"/>
  <c r="I110" i="4"/>
  <c r="I108" i="4"/>
  <c r="I111" i="4"/>
  <c r="I112" i="4"/>
  <c r="I113" i="4"/>
  <c r="H97" i="4"/>
  <c r="H110" i="4"/>
  <c r="H108" i="4"/>
  <c r="H111" i="4"/>
  <c r="H112" i="4"/>
  <c r="H113" i="4"/>
  <c r="G97" i="4"/>
  <c r="G110" i="4"/>
  <c r="G108" i="4"/>
  <c r="G111" i="4"/>
  <c r="G112" i="4"/>
  <c r="G113" i="4"/>
  <c r="F97" i="4"/>
  <c r="F110" i="4"/>
  <c r="F108" i="4"/>
  <c r="F111" i="4"/>
  <c r="F112" i="4"/>
  <c r="F113" i="4"/>
  <c r="E97" i="4"/>
  <c r="E110" i="4"/>
  <c r="E108" i="4"/>
  <c r="E111" i="4"/>
  <c r="E112" i="4"/>
  <c r="E113" i="4"/>
  <c r="D97" i="4"/>
  <c r="D110" i="4"/>
  <c r="D108" i="4"/>
  <c r="D111" i="4"/>
  <c r="D112" i="4"/>
  <c r="D113" i="4"/>
  <c r="C117" i="4"/>
  <c r="C119" i="4"/>
  <c r="D117" i="4"/>
  <c r="D119" i="4"/>
  <c r="E117" i="4"/>
  <c r="E119" i="4"/>
  <c r="F117" i="4"/>
  <c r="F119" i="4"/>
  <c r="G117" i="4"/>
  <c r="G119" i="4"/>
  <c r="H117" i="4"/>
  <c r="H119" i="4"/>
  <c r="I117" i="4"/>
  <c r="I119" i="4"/>
  <c r="J117" i="4"/>
  <c r="J119" i="4"/>
  <c r="K117" i="4"/>
  <c r="K119" i="4"/>
  <c r="L117" i="4"/>
  <c r="L119" i="4"/>
  <c r="M117" i="4"/>
  <c r="M119" i="4"/>
  <c r="N117" i="4"/>
  <c r="N119" i="4"/>
  <c r="O117" i="4"/>
  <c r="O119" i="4"/>
  <c r="P117" i="4"/>
  <c r="P119" i="4"/>
  <c r="Q117" i="4"/>
  <c r="Q119" i="4"/>
  <c r="R117" i="4"/>
  <c r="R119" i="4"/>
  <c r="S117" i="4"/>
  <c r="S119" i="4"/>
  <c r="T117" i="4"/>
  <c r="T119" i="4"/>
  <c r="U117" i="4"/>
  <c r="U119" i="4"/>
  <c r="V117" i="4"/>
  <c r="V119" i="4"/>
  <c r="W117" i="4"/>
  <c r="W119" i="4"/>
  <c r="X117" i="4"/>
  <c r="X119" i="4"/>
  <c r="Y117" i="4"/>
  <c r="Y119" i="4"/>
  <c r="Z117" i="4"/>
  <c r="Z119" i="4"/>
  <c r="AA117" i="4"/>
  <c r="AA119" i="4"/>
  <c r="AB117" i="4"/>
  <c r="AB119" i="4"/>
  <c r="AC117" i="4"/>
  <c r="AC119" i="4"/>
  <c r="AD117" i="4"/>
  <c r="AD119" i="4"/>
  <c r="AE117" i="4"/>
  <c r="AE119" i="4"/>
  <c r="AF117" i="4"/>
  <c r="AF119" i="4"/>
  <c r="AG117" i="4"/>
  <c r="AG119" i="4"/>
  <c r="AH117" i="4"/>
  <c r="AH119" i="4"/>
  <c r="AI117" i="4"/>
  <c r="AI119" i="4"/>
  <c r="AJ117" i="4"/>
  <c r="AJ119" i="4"/>
  <c r="AK117" i="4"/>
  <c r="AK119" i="4"/>
  <c r="AL117" i="4"/>
  <c r="AL119" i="4"/>
  <c r="AM117" i="4"/>
  <c r="AM119" i="4"/>
  <c r="AN117" i="4"/>
  <c r="AN119" i="4"/>
  <c r="K17" i="4"/>
  <c r="K18" i="4"/>
  <c r="C121" i="4"/>
  <c r="D121" i="4"/>
  <c r="E121" i="4"/>
  <c r="F121" i="4"/>
  <c r="G121" i="4"/>
  <c r="H121" i="4"/>
  <c r="I121" i="4"/>
  <c r="J121" i="4"/>
  <c r="K121" i="4"/>
  <c r="L121" i="4"/>
  <c r="M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N121" i="4"/>
  <c r="O121" i="4"/>
  <c r="P121" i="4"/>
  <c r="Q121" i="4"/>
  <c r="R121" i="4"/>
  <c r="K15" i="4"/>
  <c r="AO117" i="4"/>
  <c r="AO119" i="4"/>
  <c r="AO121" i="4"/>
  <c r="K19" i="4"/>
  <c r="K21" i="4"/>
  <c r="K20" i="4"/>
</calcChain>
</file>

<file path=xl/sharedStrings.xml><?xml version="1.0" encoding="utf-8"?>
<sst xmlns="http://schemas.openxmlformats.org/spreadsheetml/2006/main" count="198" uniqueCount="122">
  <si>
    <t>TWh/yr</t>
  </si>
  <si>
    <t>gCO2/kWh</t>
  </si>
  <si>
    <t>Emissions</t>
  </si>
  <si>
    <t>TWh/yr/yr</t>
  </si>
  <si>
    <t>MtCO2</t>
  </si>
  <si>
    <t>of electricity</t>
  </si>
  <si>
    <t>% pa</t>
  </si>
  <si>
    <t>Year second build starts</t>
  </si>
  <si>
    <t>Based on 2012-2020 projection</t>
  </si>
  <si>
    <t>Average life</t>
  </si>
  <si>
    <t>years</t>
  </si>
  <si>
    <t>This means that every year, 1/number of years falls down.</t>
  </si>
  <si>
    <t>Could be +10</t>
  </si>
  <si>
    <t>Could be 0</t>
  </si>
  <si>
    <t>gCO2/kWh/yr</t>
  </si>
  <si>
    <t>CB4</t>
  </si>
  <si>
    <t>Electricity</t>
  </si>
  <si>
    <t>Maximum industry expansion</t>
  </si>
  <si>
    <t>Maximum industry contraction</t>
  </si>
  <si>
    <t>Minimum build rate</t>
  </si>
  <si>
    <t>2010-2050</t>
  </si>
  <si>
    <t>of previous year's capacity</t>
  </si>
  <si>
    <t>Year</t>
  </si>
  <si>
    <t>Low carbon load factor</t>
  </si>
  <si>
    <t>High carbon load factor</t>
  </si>
  <si>
    <t>MtCO2/CB4 period</t>
  </si>
  <si>
    <t>Build rate target in second build</t>
  </si>
  <si>
    <t xml:space="preserve">Inputs </t>
  </si>
  <si>
    <t>Year electricity demand starts to increase</t>
  </si>
  <si>
    <t>Fixed data</t>
  </si>
  <si>
    <t>Proportion of mean electricity demand</t>
  </si>
  <si>
    <t>Derived assumptions</t>
  </si>
  <si>
    <t>Annual change in minimum electricity demand</t>
  </si>
  <si>
    <t>Annual change in maximum electricity demand</t>
  </si>
  <si>
    <t>per year, starting with the year that electricity demand starts to increase</t>
  </si>
  <si>
    <t>2012 Electricity demand</t>
  </si>
  <si>
    <t>2012 Renewables</t>
  </si>
  <si>
    <t>2012 Nuclear</t>
  </si>
  <si>
    <t>2012 Fossil fuel emissions factor</t>
  </si>
  <si>
    <t>2012 Minimum electricity demand</t>
  </si>
  <si>
    <t>2012 Maximum electricity demand</t>
  </si>
  <si>
    <t>2012 onwards electricity demand growth rate</t>
  </si>
  <si>
    <t>2012-2020 increase in nuclear</t>
  </si>
  <si>
    <t>2020 Fossil fuel emissions factor</t>
  </si>
  <si>
    <t>2050 Fossil fuel emissions factor</t>
  </si>
  <si>
    <t>2020 Renewable electricity</t>
  </si>
  <si>
    <t>2050 Electricity demand</t>
  </si>
  <si>
    <t>2020 CCS</t>
  </si>
  <si>
    <t>2050 Minimum electricity demand</t>
  </si>
  <si>
    <t>2050 Maximum electricity demand</t>
  </si>
  <si>
    <t>2012 low carbon generation</t>
  </si>
  <si>
    <t>Minimum electricity demand</t>
  </si>
  <si>
    <t>Annual change in electricity demand</t>
  </si>
  <si>
    <t>2020 Renewables</t>
  </si>
  <si>
    <t>2020 Nuclear</t>
  </si>
  <si>
    <t>2020 low carbon generation</t>
  </si>
  <si>
    <t>2012-2020 Annual change in low carbon generation</t>
  </si>
  <si>
    <t>2012-2020 annual change in fossil fuel emissions factor</t>
  </si>
  <si>
    <t xml:space="preserve">2020-2050 annual change in fossil fuel emissions factor </t>
  </si>
  <si>
    <t>Annual calculations</t>
  </si>
  <si>
    <t>Outputs</t>
  </si>
  <si>
    <t>Electricity demand</t>
  </si>
  <si>
    <t>Minimum demand</t>
  </si>
  <si>
    <t>Maximum demand</t>
  </si>
  <si>
    <t>1/mean</t>
  </si>
  <si>
    <t>TWh/yr-instant</t>
  </si>
  <si>
    <t>Low carbon generation constucted</t>
  </si>
  <si>
    <t>Low carbon generation at end of life</t>
  </si>
  <si>
    <t>Net increase in low carbon generation</t>
  </si>
  <si>
    <t>Low carbon generation capacity</t>
  </si>
  <si>
    <t>Required high carbon generation capacity to cover maximum</t>
  </si>
  <si>
    <t>High carbon generation capacity</t>
  </si>
  <si>
    <t>High carbon generation at end of life</t>
  </si>
  <si>
    <t>2012 High carbon generation capacity</t>
  </si>
  <si>
    <t>Required high carbon construction</t>
  </si>
  <si>
    <t>Low carbon operating as mid-merit plant</t>
  </si>
  <si>
    <t>Low carbon operating as low-merit plant</t>
  </si>
  <si>
    <t>High carbon operating as mid-merit plant</t>
  </si>
  <si>
    <t>High carbon operating as low-merit plant</t>
  </si>
  <si>
    <t>Low carbon operating as reserve</t>
  </si>
  <si>
    <t>Demand for mid-merit plant (min&gt;c&lt;mean)</t>
  </si>
  <si>
    <t>Demand for baseload plant (c&lt;min)</t>
  </si>
  <si>
    <t>Demand for low-merit plant (mean&gt;c&lt;max)</t>
  </si>
  <si>
    <t>Demand for reserve plant (c&gt;max)</t>
  </si>
  <si>
    <t>Low carbon operating as baseload plant</t>
  </si>
  <si>
    <t>High carbon operating as baseload plant</t>
  </si>
  <si>
    <t>Notes &amp; worries</t>
  </si>
  <si>
    <t>Need to document and visualise my simple load curve example to check it is correct</t>
  </si>
  <si>
    <t>Need to offset the build rates by a year, so avaialble at the start of any given year?</t>
  </si>
  <si>
    <t>Possibly need to include a FID decision' year.</t>
  </si>
  <si>
    <t>Need to deal with intermittent renewables</t>
  </si>
  <si>
    <t>TWh/yr-max</t>
  </si>
  <si>
    <t>Mean load factor</t>
  </si>
  <si>
    <t>Load factor at mid-merit to low-merit boundary</t>
  </si>
  <si>
    <t>Load factor at baseload to mid-merit boundary</t>
  </si>
  <si>
    <t>Load factor at low-merit to reserve boundary</t>
  </si>
  <si>
    <t>x-check calculated demand</t>
  </si>
  <si>
    <t>x-check error</t>
  </si>
  <si>
    <t>% capacity</t>
  </si>
  <si>
    <t>Need to think of a way of dealing with failiures and reserve</t>
  </si>
  <si>
    <t>High carbon operating as reserve</t>
  </si>
  <si>
    <t>Validate assumption for min and max as proportion of mean</t>
  </si>
  <si>
    <t>Low carbon generation</t>
  </si>
  <si>
    <t>High carbon generation</t>
  </si>
  <si>
    <t>x-check calculate total generation</t>
  </si>
  <si>
    <t>Emissions factor for high carbon plant</t>
  </si>
  <si>
    <t>Emissions factor for low carbon plant</t>
  </si>
  <si>
    <t>Combined emissions factor</t>
  </si>
  <si>
    <t>Annual change in non-electricity traded emissions</t>
  </si>
  <si>
    <t>Continuous from 2012 to 2050</t>
  </si>
  <si>
    <t>2012 Non-electricity traded emissions</t>
  </si>
  <si>
    <t>MtCO2e</t>
  </si>
  <si>
    <t>Electricity generation emissions</t>
  </si>
  <si>
    <t>Non-electricity traded sector emissions</t>
  </si>
  <si>
    <t>Traded emissions</t>
  </si>
  <si>
    <t>MtCO2/yr</t>
  </si>
  <si>
    <t>UK share of EU ETS cap (current)</t>
  </si>
  <si>
    <t>UK share of EU ETS cap (alternative)</t>
  </si>
  <si>
    <t>Electricity build rate reckoner</t>
  </si>
  <si>
    <t>This is a super simple ready reckoner to explore the implications of different build rates of low carbon generation.</t>
  </si>
  <si>
    <t xml:space="preserve">It is currently ALPHA. Do not trust. </t>
  </si>
  <si>
    <t>tom.counsell@decc.gsi.gov.uk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</si>
</sst>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_-* #,##0.0_-;\-* #,##0.0_-;_-* &quot;-&quot;??_-;_-@_-"/>
    <numFmt numFmtId="167" formatCode="_-* #,##0_-;\-* #,##0_-;_-* &quot;-&quot;?_-;_-@_-"/>
  </numFmts>
  <fonts count="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40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2" fillId="0" borderId="0" xfId="0" applyFont="1"/>
    <xf numFmtId="9" fontId="0" fillId="0" borderId="0" xfId="0" applyNumberFormat="1"/>
    <xf numFmtId="0" fontId="0" fillId="2" borderId="0" xfId="0" applyFill="1"/>
    <xf numFmtId="9" fontId="0" fillId="2" borderId="0" xfId="0" applyNumberFormat="1" applyFill="1"/>
    <xf numFmtId="1" fontId="0" fillId="2" borderId="0" xfId="0" applyNumberFormat="1" applyFill="1"/>
    <xf numFmtId="9" fontId="0" fillId="0" borderId="0" xfId="2" applyFont="1"/>
    <xf numFmtId="0" fontId="3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164" fontId="0" fillId="3" borderId="0" xfId="0" applyNumberFormat="1" applyFill="1"/>
    <xf numFmtId="0" fontId="0" fillId="0" borderId="0" xfId="0" applyFill="1"/>
    <xf numFmtId="9" fontId="0" fillId="2" borderId="0" xfId="2" applyFont="1" applyFill="1"/>
    <xf numFmtId="166" fontId="0" fillId="0" borderId="0" xfId="1" applyNumberFormat="1" applyFont="1"/>
    <xf numFmtId="165" fontId="0" fillId="2" borderId="0" xfId="2" applyNumberFormat="1" applyFont="1" applyFill="1"/>
    <xf numFmtId="9" fontId="0" fillId="0" borderId="0" xfId="2" applyNumberFormat="1" applyFont="1"/>
    <xf numFmtId="0" fontId="0" fillId="0" borderId="0" xfId="0" applyAlignment="1">
      <alignment horizontal="left"/>
    </xf>
    <xf numFmtId="167" fontId="0" fillId="0" borderId="0" xfId="0" applyNumberFormat="1"/>
    <xf numFmtId="1" fontId="0" fillId="0" borderId="0" xfId="1" applyNumberFormat="1" applyFont="1"/>
    <xf numFmtId="164" fontId="0" fillId="0" borderId="0" xfId="2" applyNumberFormat="1" applyFont="1"/>
    <xf numFmtId="0" fontId="4" fillId="0" borderId="0" xfId="405"/>
  </cellXfs>
  <cellStyles count="406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Generation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9355007672823"/>
          <c:y val="0.234742309930924"/>
          <c:w val="0.788338178564439"/>
          <c:h val="0.625499511305857"/>
        </c:manualLayout>
      </c:layout>
      <c:areaChart>
        <c:grouping val="stacked"/>
        <c:varyColors val="0"/>
        <c:ser>
          <c:idx val="0"/>
          <c:order val="0"/>
          <c:tx>
            <c:strRef>
              <c:f>Model!$B$110</c:f>
              <c:strCache>
                <c:ptCount val="1"/>
                <c:pt idx="0">
                  <c:v>Low carbon generation</c:v>
                </c:pt>
              </c:strCache>
            </c:strRef>
          </c:tx>
          <c:cat>
            <c:numRef>
              <c:f>Model!$C$57:$AO$57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Model!$C$110:$AO$110</c:f>
              <c:numCache>
                <c:formatCode>_-* #,##0_-;\-* #,##0_-;_-* "-"??_-;_-@_-</c:formatCode>
                <c:ptCount val="39"/>
                <c:pt idx="0">
                  <c:v>97.7</c:v>
                </c:pt>
                <c:pt idx="1">
                  <c:v>107.3530665293694</c:v>
                </c:pt>
                <c:pt idx="2">
                  <c:v>117.0061330587389</c:v>
                </c:pt>
                <c:pt idx="3">
                  <c:v>126.6591995881083</c:v>
                </c:pt>
                <c:pt idx="4">
                  <c:v>136.3122661174778</c:v>
                </c:pt>
                <c:pt idx="5">
                  <c:v>145.9653326468472</c:v>
                </c:pt>
                <c:pt idx="6">
                  <c:v>155.6183991762167</c:v>
                </c:pt>
                <c:pt idx="7">
                  <c:v>165.2714657055861</c:v>
                </c:pt>
                <c:pt idx="8">
                  <c:v>174.8420225886546</c:v>
                </c:pt>
                <c:pt idx="9">
                  <c:v>191.1725937871348</c:v>
                </c:pt>
                <c:pt idx="10">
                  <c:v>216.477073033151</c:v>
                </c:pt>
                <c:pt idx="11">
                  <c:v>252.4682691018464</c:v>
                </c:pt>
                <c:pt idx="12">
                  <c:v>285.246571914097</c:v>
                </c:pt>
                <c:pt idx="13">
                  <c:v>312.1392546146324</c:v>
                </c:pt>
                <c:pt idx="14">
                  <c:v>334.0631599959324</c:v>
                </c:pt>
                <c:pt idx="15">
                  <c:v>352.6127822367623</c:v>
                </c:pt>
                <c:pt idx="16">
                  <c:v>368.6050046020716</c:v>
                </c:pt>
                <c:pt idx="17">
                  <c:v>382.6292202067271</c:v>
                </c:pt>
                <c:pt idx="18">
                  <c:v>395.1618818673476</c:v>
                </c:pt>
                <c:pt idx="19">
                  <c:v>406.5860298133284</c:v>
                </c:pt>
                <c:pt idx="20">
                  <c:v>417.2076028549933</c:v>
                </c:pt>
                <c:pt idx="21">
                  <c:v>427.2690585383986</c:v>
                </c:pt>
                <c:pt idx="22">
                  <c:v>436.9607404360559</c:v>
                </c:pt>
                <c:pt idx="23">
                  <c:v>446.4303583783986</c:v>
                </c:pt>
                <c:pt idx="24">
                  <c:v>455.790887415814</c:v>
                </c:pt>
                <c:pt idx="25">
                  <c:v>465.1271414218905</c:v>
                </c:pt>
                <c:pt idx="26">
                  <c:v>474.5012357217384</c:v>
                </c:pt>
                <c:pt idx="27">
                  <c:v>483.9571185007045</c:v>
                </c:pt>
                <c:pt idx="28">
                  <c:v>493.524321829677</c:v>
                </c:pt>
                <c:pt idx="29">
                  <c:v>503.2210589589445</c:v>
                </c:pt>
                <c:pt idx="30">
                  <c:v>513.0567742824604</c:v>
                </c:pt>
                <c:pt idx="31">
                  <c:v>523.0342353988184</c:v>
                </c:pt>
                <c:pt idx="32">
                  <c:v>533.1512424498018</c:v>
                </c:pt>
                <c:pt idx="33">
                  <c:v>543.4020179516571</c:v>
                </c:pt>
                <c:pt idx="34">
                  <c:v>553.778330274929</c:v>
                </c:pt>
                <c:pt idx="35">
                  <c:v>564.2703954657785</c:v>
                </c:pt>
                <c:pt idx="36">
                  <c:v>574.8675949772571</c:v>
                </c:pt>
                <c:pt idx="37">
                  <c:v>585.5590408781008</c:v>
                </c:pt>
                <c:pt idx="38">
                  <c:v>596.3340150498244</c:v>
                </c:pt>
              </c:numCache>
            </c:numRef>
          </c:val>
        </c:ser>
        <c:ser>
          <c:idx val="1"/>
          <c:order val="1"/>
          <c:tx>
            <c:strRef>
              <c:f>Model!$B$111</c:f>
              <c:strCache>
                <c:ptCount val="1"/>
                <c:pt idx="0">
                  <c:v>High carbon generation</c:v>
                </c:pt>
              </c:strCache>
            </c:strRef>
          </c:tx>
          <c:cat>
            <c:numRef>
              <c:f>Model!$C$57:$AO$57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Model!$C$111:$AO$111</c:f>
              <c:numCache>
                <c:formatCode>_-* #,##0_-;\-* #,##0_-;_-* "-"??_-;_-@_-</c:formatCode>
                <c:ptCount val="39"/>
                <c:pt idx="0">
                  <c:v>248.3</c:v>
                </c:pt>
                <c:pt idx="1">
                  <c:v>237.2629334706305</c:v>
                </c:pt>
                <c:pt idx="2">
                  <c:v>226.2314029412611</c:v>
                </c:pt>
                <c:pt idx="3">
                  <c:v>215.2053862678917</c:v>
                </c:pt>
                <c:pt idx="4">
                  <c:v>204.1848613950982</c:v>
                </c:pt>
                <c:pt idx="5">
                  <c:v>193.1698063556784</c:v>
                </c:pt>
                <c:pt idx="6">
                  <c:v>182.1601992702989</c:v>
                </c:pt>
                <c:pt idx="7">
                  <c:v>171.1560183471433</c:v>
                </c:pt>
                <c:pt idx="8">
                  <c:v>160.2397515278639</c:v>
                </c:pt>
                <c:pt idx="9">
                  <c:v>150.4795532718607</c:v>
                </c:pt>
                <c:pt idx="10">
                  <c:v>131.8742805962232</c:v>
                </c:pt>
                <c:pt idx="11">
                  <c:v>102.7136509300018</c:v>
                </c:pt>
                <c:pt idx="12">
                  <c:v>76.89985009100021</c:v>
                </c:pt>
                <c:pt idx="13">
                  <c:v>57.1082311789408</c:v>
                </c:pt>
                <c:pt idx="14">
                  <c:v>42.42462914189881</c:v>
                </c:pt>
                <c:pt idx="15">
                  <c:v>31.25728004751577</c:v>
                </c:pt>
                <c:pt idx="16">
                  <c:v>22.79208441265028</c:v>
                </c:pt>
                <c:pt idx="17">
                  <c:v>16.44248748938062</c:v>
                </c:pt>
                <c:pt idx="18">
                  <c:v>11.7349304834907</c:v>
                </c:pt>
                <c:pt idx="19">
                  <c:v>8.28932393475241</c:v>
                </c:pt>
                <c:pt idx="20">
                  <c:v>5.802737661478695</c:v>
                </c:pt>
                <c:pt idx="21">
                  <c:v>4.035781740244644</c:v>
                </c:pt>
                <c:pt idx="22">
                  <c:v>2.801240371933751</c:v>
                </c:pt>
                <c:pt idx="23">
                  <c:v>1.95459282972422</c:v>
                </c:pt>
                <c:pt idx="24">
                  <c:v>1.386115699636036</c:v>
                </c:pt>
                <c:pt idx="25">
                  <c:v>1.014310503442857</c:v>
                </c:pt>
                <c:pt idx="26">
                  <c:v>0.780442320554925</c:v>
                </c:pt>
                <c:pt idx="27">
                  <c:v>0.64400965402092</c:v>
                </c:pt>
                <c:pt idx="28">
                  <c:v>0.578994704934573</c:v>
                </c:pt>
                <c:pt idx="29">
                  <c:v>0.570767403773203</c:v>
                </c:pt>
                <c:pt idx="30">
                  <c:v>0.613536797315007</c:v>
                </c:pt>
                <c:pt idx="31">
                  <c:v>0.708260365339981</c:v>
                </c:pt>
                <c:pt idx="32">
                  <c:v>0.860936086770039</c:v>
                </c:pt>
                <c:pt idx="33">
                  <c:v>1.08121404062959</c:v>
                </c:pt>
                <c:pt idx="34">
                  <c:v>1.381274386527437</c:v>
                </c:pt>
                <c:pt idx="35">
                  <c:v>1.774927032290122</c:v>
                </c:pt>
                <c:pt idx="36">
                  <c:v>2.276895420834762</c:v>
                </c:pt>
                <c:pt idx="37">
                  <c:v>2.902252869291175</c:v>
                </c:pt>
                <c:pt idx="38">
                  <c:v>3.665984950174277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204696"/>
        <c:axId val="600703512"/>
      </c:areaChart>
      <c:catAx>
        <c:axId val="61520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0703512"/>
        <c:crosses val="autoZero"/>
        <c:auto val="1"/>
        <c:lblAlgn val="ctr"/>
        <c:lblOffset val="100"/>
        <c:tickLblSkip val="5"/>
        <c:noMultiLvlLbl val="0"/>
      </c:catAx>
      <c:valAx>
        <c:axId val="60070351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TWh/yr</a:t>
                </a:r>
              </a:p>
            </c:rich>
          </c:tx>
          <c:layout/>
          <c:overlay val="0"/>
        </c:title>
        <c:numFmt formatCode="_-* #,##0_-;\-* #,##0_-;_-* &quot;-&quot;??_-;_-@_-" sourceLinked="1"/>
        <c:majorTickMark val="none"/>
        <c:minorTickMark val="none"/>
        <c:tickLblPos val="nextTo"/>
        <c:crossAx val="615204696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Traded Sector Emissions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Model!$B$119</c:f>
              <c:strCache>
                <c:ptCount val="1"/>
                <c:pt idx="0">
                  <c:v>Electricity generation emissions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</c:spPr>
          <c:cat>
            <c:numRef>
              <c:f>Model!$C$57:$AO$57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Model!$C$119:$AO$119</c:f>
              <c:numCache>
                <c:formatCode>0</c:formatCode>
                <c:ptCount val="39"/>
                <c:pt idx="0">
                  <c:v>161.395</c:v>
                </c:pt>
                <c:pt idx="1">
                  <c:v>145.9167040844378</c:v>
                </c:pt>
                <c:pt idx="2">
                  <c:v>131.2142137059314</c:v>
                </c:pt>
                <c:pt idx="3">
                  <c:v>117.286935516001</c:v>
                </c:pt>
                <c:pt idx="4">
                  <c:v>104.1342793115001</c:v>
                </c:pt>
                <c:pt idx="5">
                  <c:v>91.75565801894723</c:v>
                </c:pt>
                <c:pt idx="6">
                  <c:v>80.1504876789315</c:v>
                </c:pt>
                <c:pt idx="7">
                  <c:v>69.31818743059306</c:v>
                </c:pt>
                <c:pt idx="8">
                  <c:v>59.28870806530965</c:v>
                </c:pt>
                <c:pt idx="9">
                  <c:v>55.57711500840723</c:v>
                </c:pt>
                <c:pt idx="10">
                  <c:v>48.61765144647428</c:v>
                </c:pt>
                <c:pt idx="11">
                  <c:v>37.79862354224066</c:v>
                </c:pt>
                <c:pt idx="12">
                  <c:v>28.24787826676074</c:v>
                </c:pt>
                <c:pt idx="13">
                  <c:v>20.93968476561162</c:v>
                </c:pt>
                <c:pt idx="14">
                  <c:v>15.52741426593496</c:v>
                </c:pt>
                <c:pt idx="15">
                  <c:v>11.41932631069242</c:v>
                </c:pt>
                <c:pt idx="16">
                  <c:v>8.311513449146463</c:v>
                </c:pt>
                <c:pt idx="17">
                  <c:v>5.985065446134544</c:v>
                </c:pt>
                <c:pt idx="18">
                  <c:v>4.263691409001618</c:v>
                </c:pt>
                <c:pt idx="19">
                  <c:v>3.006261480336872</c:v>
                </c:pt>
                <c:pt idx="20">
                  <c:v>2.100591033455286</c:v>
                </c:pt>
                <c:pt idx="21">
                  <c:v>1.458262468808397</c:v>
                </c:pt>
                <c:pt idx="22">
                  <c:v>1.010314027477439</c:v>
                </c:pt>
                <c:pt idx="23">
                  <c:v>0.703653418700719</c:v>
                </c:pt>
                <c:pt idx="24">
                  <c:v>0.498077574735882</c:v>
                </c:pt>
                <c:pt idx="25">
                  <c:v>0.363799367234838</c:v>
                </c:pt>
                <c:pt idx="26">
                  <c:v>0.279398350758663</c:v>
                </c:pt>
                <c:pt idx="27">
                  <c:v>0.230126116370142</c:v>
                </c:pt>
                <c:pt idx="28">
                  <c:v>0.206508111426664</c:v>
                </c:pt>
                <c:pt idx="29">
                  <c:v>0.20319319574326</c:v>
                </c:pt>
                <c:pt idx="30">
                  <c:v>0.218010075312599</c:v>
                </c:pt>
                <c:pt idx="31">
                  <c:v>0.251196342907246</c:v>
                </c:pt>
                <c:pt idx="32">
                  <c:v>0.304771374716593</c:v>
                </c:pt>
                <c:pt idx="33">
                  <c:v>0.382028961022454</c:v>
                </c:pt>
                <c:pt idx="34">
                  <c:v>0.487129433648675</c:v>
                </c:pt>
                <c:pt idx="35">
                  <c:v>0.624774315366122</c:v>
                </c:pt>
                <c:pt idx="36">
                  <c:v>0.799949257853279</c:v>
                </c:pt>
                <c:pt idx="37">
                  <c:v>1.017723339498104</c:v>
                </c:pt>
                <c:pt idx="38">
                  <c:v>1.283094732560995</c:v>
                </c:pt>
              </c:numCache>
            </c:numRef>
          </c:val>
        </c:ser>
        <c:ser>
          <c:idx val="1"/>
          <c:order val="1"/>
          <c:tx>
            <c:strRef>
              <c:f>Model!$B$120</c:f>
              <c:strCache>
                <c:ptCount val="1"/>
                <c:pt idx="0">
                  <c:v>Non-electricity traded sector emissions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 w="25400">
              <a:noFill/>
            </a:ln>
          </c:spPr>
          <c:cat>
            <c:numRef>
              <c:f>Model!$C$57:$AO$57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Model!$C$120:$AO$120</c:f>
              <c:numCache>
                <c:formatCode>0</c:formatCode>
                <c:ptCount val="39"/>
                <c:pt idx="0">
                  <c:v>90.0</c:v>
                </c:pt>
                <c:pt idx="1">
                  <c:v>89.1</c:v>
                </c:pt>
                <c:pt idx="2">
                  <c:v>88.20899999999998</c:v>
                </c:pt>
                <c:pt idx="3">
                  <c:v>87.32690999999998</c:v>
                </c:pt>
                <c:pt idx="4">
                  <c:v>86.45364089999998</c:v>
                </c:pt>
                <c:pt idx="5">
                  <c:v>85.58910449099998</c:v>
                </c:pt>
                <c:pt idx="6">
                  <c:v>84.73321344609</c:v>
                </c:pt>
                <c:pt idx="7">
                  <c:v>83.88588131162909</c:v>
                </c:pt>
                <c:pt idx="8">
                  <c:v>83.0470224985128</c:v>
                </c:pt>
                <c:pt idx="9">
                  <c:v>82.21655227352767</c:v>
                </c:pt>
                <c:pt idx="10">
                  <c:v>81.39438675079239</c:v>
                </c:pt>
                <c:pt idx="11">
                  <c:v>80.58044288328446</c:v>
                </c:pt>
                <c:pt idx="12">
                  <c:v>79.77463845445162</c:v>
                </c:pt>
                <c:pt idx="13">
                  <c:v>78.9768920699071</c:v>
                </c:pt>
                <c:pt idx="14">
                  <c:v>78.18712314920803</c:v>
                </c:pt>
                <c:pt idx="15">
                  <c:v>77.40525191771595</c:v>
                </c:pt>
                <c:pt idx="16">
                  <c:v>76.6311993985388</c:v>
                </c:pt>
                <c:pt idx="17">
                  <c:v>75.86488740455341</c:v>
                </c:pt>
                <c:pt idx="18">
                  <c:v>75.10623853050788</c:v>
                </c:pt>
                <c:pt idx="19">
                  <c:v>74.3551761452028</c:v>
                </c:pt>
                <c:pt idx="20">
                  <c:v>73.61162438375077</c:v>
                </c:pt>
                <c:pt idx="21">
                  <c:v>72.87550813991326</c:v>
                </c:pt>
                <c:pt idx="22">
                  <c:v>72.14675305851414</c:v>
                </c:pt>
                <c:pt idx="23">
                  <c:v>71.42528552792899</c:v>
                </c:pt>
                <c:pt idx="24">
                  <c:v>70.71103267264971</c:v>
                </c:pt>
                <c:pt idx="25">
                  <c:v>70.00392234592321</c:v>
                </c:pt>
                <c:pt idx="26">
                  <c:v>69.30388312246399</c:v>
                </c:pt>
                <c:pt idx="27">
                  <c:v>68.61084429123934</c:v>
                </c:pt>
                <c:pt idx="28">
                  <c:v>67.92473584832695</c:v>
                </c:pt>
                <c:pt idx="29">
                  <c:v>67.24548848984368</c:v>
                </c:pt>
                <c:pt idx="30">
                  <c:v>66.57303360494523</c:v>
                </c:pt>
                <c:pt idx="31">
                  <c:v>65.90730326889578</c:v>
                </c:pt>
                <c:pt idx="32">
                  <c:v>65.24823023620682</c:v>
                </c:pt>
                <c:pt idx="33">
                  <c:v>64.59574793384475</c:v>
                </c:pt>
                <c:pt idx="34">
                  <c:v>63.9497904545063</c:v>
                </c:pt>
                <c:pt idx="35">
                  <c:v>63.31029254996123</c:v>
                </c:pt>
                <c:pt idx="36">
                  <c:v>62.67718962446162</c:v>
                </c:pt>
                <c:pt idx="37">
                  <c:v>62.050417728217</c:v>
                </c:pt>
                <c:pt idx="38">
                  <c:v>61.42991355093482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051640"/>
        <c:axId val="600632776"/>
      </c:areaChart>
      <c:lineChart>
        <c:grouping val="standard"/>
        <c:varyColors val="0"/>
        <c:ser>
          <c:idx val="2"/>
          <c:order val="2"/>
          <c:tx>
            <c:strRef>
              <c:f>Model!$B$122</c:f>
              <c:strCache>
                <c:ptCount val="1"/>
                <c:pt idx="0">
                  <c:v>UK share of EU ETS cap (current)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Model!$C$57:$AO$57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Model!$C$122:$AO$122</c:f>
              <c:numCache>
                <c:formatCode>0</c:formatCode>
                <c:ptCount val="39"/>
                <c:pt idx="0">
                  <c:v>246.6</c:v>
                </c:pt>
                <c:pt idx="1">
                  <c:v>214.6</c:v>
                </c:pt>
                <c:pt idx="2">
                  <c:v>214.6</c:v>
                </c:pt>
                <c:pt idx="3">
                  <c:v>214.6</c:v>
                </c:pt>
                <c:pt idx="4">
                  <c:v>214.6</c:v>
                </c:pt>
                <c:pt idx="5">
                  <c:v>214.6</c:v>
                </c:pt>
                <c:pt idx="6">
                  <c:v>196.6</c:v>
                </c:pt>
                <c:pt idx="7">
                  <c:v>196.6</c:v>
                </c:pt>
                <c:pt idx="8">
                  <c:v>196.6</c:v>
                </c:pt>
                <c:pt idx="9">
                  <c:v>196.6</c:v>
                </c:pt>
                <c:pt idx="10">
                  <c:v>196.6</c:v>
                </c:pt>
                <c:pt idx="11">
                  <c:v>138.0</c:v>
                </c:pt>
                <c:pt idx="12">
                  <c:v>138.0</c:v>
                </c:pt>
                <c:pt idx="13">
                  <c:v>138.0</c:v>
                </c:pt>
                <c:pt idx="14">
                  <c:v>138.0</c:v>
                </c:pt>
                <c:pt idx="15">
                  <c:v>138.0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Model!$B$123</c:f>
              <c:strCache>
                <c:ptCount val="1"/>
                <c:pt idx="0">
                  <c:v>UK share of EU ETS cap (alternative)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Model!$C$57:$AO$57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Model!$C$123:$AO$123</c:f>
              <c:numCache>
                <c:formatCode>0</c:formatCode>
                <c:ptCount val="39"/>
                <c:pt idx="0">
                  <c:v>246.6</c:v>
                </c:pt>
                <c:pt idx="1">
                  <c:v>214.6</c:v>
                </c:pt>
                <c:pt idx="2">
                  <c:v>214.6</c:v>
                </c:pt>
                <c:pt idx="3">
                  <c:v>214.6</c:v>
                </c:pt>
                <c:pt idx="4">
                  <c:v>214.6</c:v>
                </c:pt>
                <c:pt idx="5">
                  <c:v>214.6</c:v>
                </c:pt>
                <c:pt idx="6">
                  <c:v>196.6</c:v>
                </c:pt>
                <c:pt idx="7">
                  <c:v>196.6</c:v>
                </c:pt>
                <c:pt idx="8">
                  <c:v>196.6</c:v>
                </c:pt>
                <c:pt idx="9">
                  <c:v>196.6</c:v>
                </c:pt>
                <c:pt idx="10">
                  <c:v>196.6</c:v>
                </c:pt>
                <c:pt idx="11">
                  <c:v>172.0</c:v>
                </c:pt>
                <c:pt idx="12">
                  <c:v>172.0</c:v>
                </c:pt>
                <c:pt idx="13">
                  <c:v>172.0</c:v>
                </c:pt>
                <c:pt idx="14">
                  <c:v>172.0</c:v>
                </c:pt>
                <c:pt idx="15">
                  <c:v>172.0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051640"/>
        <c:axId val="600632776"/>
      </c:lineChart>
      <c:catAx>
        <c:axId val="6150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0632776"/>
        <c:crosses val="autoZero"/>
        <c:auto val="1"/>
        <c:lblAlgn val="ctr"/>
        <c:lblOffset val="100"/>
        <c:tickLblSkip val="5"/>
        <c:noMultiLvlLbl val="0"/>
      </c:catAx>
      <c:valAx>
        <c:axId val="60063277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MtCO2/yr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615051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Emissions Factor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Model!$B$117</c:f>
              <c:strCache>
                <c:ptCount val="1"/>
                <c:pt idx="0">
                  <c:v>Combined emissions factor</c:v>
                </c:pt>
              </c:strCache>
            </c:strRef>
          </c:tx>
          <c:marker>
            <c:symbol val="none"/>
          </c:marker>
          <c:cat>
            <c:numRef>
              <c:f>Model!$C$57:$AO$57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Model!$C$117:$AO$117</c:f>
              <c:numCache>
                <c:formatCode>0</c:formatCode>
                <c:ptCount val="39"/>
                <c:pt idx="0">
                  <c:v>466.4595375722544</c:v>
                </c:pt>
                <c:pt idx="1">
                  <c:v>423.4182512838573</c:v>
                </c:pt>
                <c:pt idx="2">
                  <c:v>382.2839868712128</c:v>
                </c:pt>
                <c:pt idx="3">
                  <c:v>343.0800977010368</c:v>
                </c:pt>
                <c:pt idx="4">
                  <c:v>305.8301257112777</c:v>
                </c:pt>
                <c:pt idx="5">
                  <c:v>270.5578026766017</c:v>
                </c:pt>
                <c:pt idx="6">
                  <c:v>237.2870514815126</c:v>
                </c:pt>
                <c:pt idx="7">
                  <c:v>206.0419874011499</c:v>
                </c:pt>
                <c:pt idx="8">
                  <c:v>176.9380272073321</c:v>
                </c:pt>
                <c:pt idx="9">
                  <c:v>162.6716398150144</c:v>
                </c:pt>
                <c:pt idx="10">
                  <c:v>139.5649850070646</c:v>
                </c:pt>
                <c:pt idx="11">
                  <c:v>106.4204606440873</c:v>
                </c:pt>
                <c:pt idx="12">
                  <c:v>78.00126288797947</c:v>
                </c:pt>
                <c:pt idx="13">
                  <c:v>56.7090787919891</c:v>
                </c:pt>
                <c:pt idx="14">
                  <c:v>41.2428097641446</c:v>
                </c:pt>
                <c:pt idx="15">
                  <c:v>29.74789501098356</c:v>
                </c:pt>
                <c:pt idx="16">
                  <c:v>21.23550144450317</c:v>
                </c:pt>
                <c:pt idx="17">
                  <c:v>14.99746870227182</c:v>
                </c:pt>
                <c:pt idx="18">
                  <c:v>10.47855692053281</c:v>
                </c:pt>
                <c:pt idx="19">
                  <c:v>7.246179974726396</c:v>
                </c:pt>
                <c:pt idx="20">
                  <c:v>4.965814856654762</c:v>
                </c:pt>
                <c:pt idx="21">
                  <c:v>3.381048234622851</c:v>
                </c:pt>
                <c:pt idx="22">
                  <c:v>2.297411034990234</c:v>
                </c:pt>
                <c:pt idx="23">
                  <c:v>1.569306500596872</c:v>
                </c:pt>
                <c:pt idx="24">
                  <c:v>1.089463318018434</c:v>
                </c:pt>
                <c:pt idx="25">
                  <c:v>0.780448436268035</c:v>
                </c:pt>
                <c:pt idx="26">
                  <c:v>0.587858450402543</c:v>
                </c:pt>
                <c:pt idx="27">
                  <c:v>0.474877384719307</c:v>
                </c:pt>
                <c:pt idx="28">
                  <c:v>0.417945204001071</c:v>
                </c:pt>
                <c:pt idx="29">
                  <c:v>0.40332769431826</c:v>
                </c:pt>
                <c:pt idx="30">
                  <c:v>0.424416343732859</c:v>
                </c:pt>
                <c:pt idx="31">
                  <c:v>0.479618027826332</c:v>
                </c:pt>
                <c:pt idx="32">
                  <c:v>0.57071989547467</c:v>
                </c:pt>
                <c:pt idx="33">
                  <c:v>0.701635860528881</c:v>
                </c:pt>
                <c:pt idx="34">
                  <c:v>0.877458355324201</c:v>
                </c:pt>
                <c:pt idx="35">
                  <c:v>1.103753163454953</c:v>
                </c:pt>
                <c:pt idx="36">
                  <c:v>1.386046771929685</c:v>
                </c:pt>
                <c:pt idx="37">
                  <c:v>1.72946521769872</c:v>
                </c:pt>
                <c:pt idx="38">
                  <c:v>2.138491220934996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191368"/>
        <c:axId val="609160904"/>
      </c:lineChart>
      <c:catAx>
        <c:axId val="61519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160904"/>
        <c:crosses val="autoZero"/>
        <c:auto val="1"/>
        <c:lblAlgn val="ctr"/>
        <c:lblOffset val="100"/>
        <c:tickLblSkip val="5"/>
        <c:noMultiLvlLbl val="0"/>
      </c:catAx>
      <c:valAx>
        <c:axId val="60916090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gCO2/kWh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61519136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Build Rate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Model!$B$58</c:f>
              <c:strCache>
                <c:ptCount val="1"/>
                <c:pt idx="0">
                  <c:v>Low carbon generation constucted</c:v>
                </c:pt>
              </c:strCache>
            </c:strRef>
          </c:tx>
          <c:marker>
            <c:symbol val="none"/>
          </c:marker>
          <c:cat>
            <c:numRef>
              <c:f>Model!$C$57:$AO$57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Model!$C$58:$AO$58</c:f>
              <c:numCache>
                <c:formatCode>_-* #,##0_-;\-* #,##0_-;_-* "-"??_-;_-@_-</c:formatCode>
                <c:ptCount val="39"/>
                <c:pt idx="0">
                  <c:v>12.90973319603611</c:v>
                </c:pt>
                <c:pt idx="1">
                  <c:v>12.90973319603611</c:v>
                </c:pt>
                <c:pt idx="2">
                  <c:v>13.23150208034843</c:v>
                </c:pt>
                <c:pt idx="3">
                  <c:v>13.55327096466074</c:v>
                </c:pt>
                <c:pt idx="4">
                  <c:v>13.87503984897306</c:v>
                </c:pt>
                <c:pt idx="5">
                  <c:v>14.19680873328537</c:v>
                </c:pt>
                <c:pt idx="6">
                  <c:v>14.51857761759769</c:v>
                </c:pt>
                <c:pt idx="7">
                  <c:v>14.84034650191</c:v>
                </c:pt>
                <c:pt idx="8">
                  <c:v>15.16211538622232</c:v>
                </c:pt>
                <c:pt idx="9">
                  <c:v>22.74317307933347</c:v>
                </c:pt>
                <c:pt idx="10">
                  <c:v>34.11475961900021</c:v>
                </c:pt>
                <c:pt idx="11">
                  <c:v>51.17213942850031</c:v>
                </c:pt>
                <c:pt idx="12">
                  <c:v>55.0</c:v>
                </c:pt>
                <c:pt idx="13">
                  <c:v>55.0</c:v>
                </c:pt>
                <c:pt idx="14">
                  <c:v>55.0</c:v>
                </c:pt>
                <c:pt idx="15">
                  <c:v>55.0</c:v>
                </c:pt>
                <c:pt idx="16">
                  <c:v>55.0</c:v>
                </c:pt>
                <c:pt idx="17">
                  <c:v>55.0</c:v>
                </c:pt>
                <c:pt idx="18">
                  <c:v>55.0</c:v>
                </c:pt>
                <c:pt idx="19">
                  <c:v>55.0</c:v>
                </c:pt>
                <c:pt idx="20">
                  <c:v>55.0</c:v>
                </c:pt>
                <c:pt idx="21">
                  <c:v>55.0</c:v>
                </c:pt>
                <c:pt idx="22">
                  <c:v>55.0</c:v>
                </c:pt>
                <c:pt idx="23">
                  <c:v>55.0</c:v>
                </c:pt>
                <c:pt idx="24">
                  <c:v>55.0</c:v>
                </c:pt>
                <c:pt idx="25">
                  <c:v>55.0</c:v>
                </c:pt>
                <c:pt idx="26">
                  <c:v>55.0</c:v>
                </c:pt>
                <c:pt idx="27">
                  <c:v>55.0</c:v>
                </c:pt>
                <c:pt idx="28">
                  <c:v>55.0</c:v>
                </c:pt>
                <c:pt idx="29">
                  <c:v>55.0</c:v>
                </c:pt>
                <c:pt idx="30">
                  <c:v>55.0</c:v>
                </c:pt>
                <c:pt idx="31">
                  <c:v>55.0</c:v>
                </c:pt>
                <c:pt idx="32">
                  <c:v>55.0</c:v>
                </c:pt>
                <c:pt idx="33">
                  <c:v>55.0</c:v>
                </c:pt>
                <c:pt idx="34">
                  <c:v>55.0</c:v>
                </c:pt>
                <c:pt idx="35">
                  <c:v>55.0</c:v>
                </c:pt>
                <c:pt idx="36">
                  <c:v>55.0</c:v>
                </c:pt>
                <c:pt idx="37">
                  <c:v>55.0</c:v>
                </c:pt>
                <c:pt idx="38">
                  <c:v>55.0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Model!$B$73</c:f>
              <c:strCache>
                <c:ptCount val="1"/>
                <c:pt idx="0">
                  <c:v>Required high carbon construction</c:v>
                </c:pt>
              </c:strCache>
            </c:strRef>
          </c:tx>
          <c:marker>
            <c:symbol val="none"/>
          </c:marker>
          <c:cat>
            <c:numRef>
              <c:f>Model!$C$57:$AO$57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Model!$C$73:$AO$73</c:f>
              <c:numCache>
                <c:formatCode>_-* #,##0_-;\-* #,##0_-;_-* "-"??_-;_-@_-</c:formatCode>
                <c:ptCount val="39"/>
                <c:pt idx="1">
                  <c:v>2.604266803963867</c:v>
                </c:pt>
                <c:pt idx="2">
                  <c:v>1.931601919651541</c:v>
                </c:pt>
                <c:pt idx="3">
                  <c:v>1.549180619339381</c:v>
                </c:pt>
                <c:pt idx="4">
                  <c:v>1.167001928690865</c:v>
                </c:pt>
                <c:pt idx="5">
                  <c:v>0.785064877267985</c:v>
                </c:pt>
                <c:pt idx="6">
                  <c:v>0.403368498513373</c:v>
                </c:pt>
                <c:pt idx="7">
                  <c:v>0.0219118297367231</c:v>
                </c:pt>
                <c:pt idx="8">
                  <c:v>4.4837286652334</c:v>
                </c:pt>
                <c:pt idx="9">
                  <c:v>9.10845154447594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341368"/>
        <c:axId val="615278104"/>
      </c:lineChart>
      <c:catAx>
        <c:axId val="61534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15278104"/>
        <c:crosses val="autoZero"/>
        <c:auto val="1"/>
        <c:lblAlgn val="ctr"/>
        <c:lblOffset val="100"/>
        <c:tickLblSkip val="5"/>
        <c:noMultiLvlLbl val="0"/>
      </c:catAx>
      <c:valAx>
        <c:axId val="61527810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TWh/yr/yr</a:t>
                </a:r>
              </a:p>
            </c:rich>
          </c:tx>
          <c:layout/>
          <c:overlay val="0"/>
        </c:title>
        <c:numFmt formatCode="_-* #,##0_-;\-* #,##0_-;_-* &quot;-&quot;??_-;_-@_-" sourceLinked="1"/>
        <c:majorTickMark val="none"/>
        <c:minorTickMark val="none"/>
        <c:tickLblPos val="nextTo"/>
        <c:crossAx val="61534136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Capacity</a:t>
            </a:r>
          </a:p>
        </c:rich>
      </c:tx>
      <c:layout>
        <c:manualLayout>
          <c:xMode val="edge"/>
          <c:yMode val="edge"/>
          <c:x val="0.378770146831922"/>
          <c:y val="0.0586376218058079"/>
        </c:manualLayout>
      </c:layout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Model!$B$61</c:f>
              <c:strCache>
                <c:ptCount val="1"/>
                <c:pt idx="0">
                  <c:v>Low carbon generation capacity</c:v>
                </c:pt>
              </c:strCache>
            </c:strRef>
          </c:tx>
          <c:cat>
            <c:numRef>
              <c:f>Model!$C$57:$AO$57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Model!$C$61:$AO$61</c:f>
              <c:numCache>
                <c:formatCode>_-* #,##0_-;\-* #,##0_-;_-* "-"??_-;_-@_-</c:formatCode>
                <c:ptCount val="39"/>
                <c:pt idx="0">
                  <c:v>97.7</c:v>
                </c:pt>
                <c:pt idx="1">
                  <c:v>107.3530665293694</c:v>
                </c:pt>
                <c:pt idx="2">
                  <c:v>117.0061330587389</c:v>
                </c:pt>
                <c:pt idx="3">
                  <c:v>126.6591995881083</c:v>
                </c:pt>
                <c:pt idx="4">
                  <c:v>136.3122661174778</c:v>
                </c:pt>
                <c:pt idx="5">
                  <c:v>145.9653326468472</c:v>
                </c:pt>
                <c:pt idx="6">
                  <c:v>155.6183991762167</c:v>
                </c:pt>
                <c:pt idx="7">
                  <c:v>165.2714657055861</c:v>
                </c:pt>
                <c:pt idx="8">
                  <c:v>174.9245322349556</c:v>
                </c:pt>
                <c:pt idx="9">
                  <c:v>191.8368875731239</c:v>
                </c:pt>
                <c:pt idx="10">
                  <c:v>219.55708427302</c:v>
                </c:pt>
                <c:pt idx="11">
                  <c:v>263.410654225753</c:v>
                </c:pt>
                <c:pt idx="12">
                  <c:v>309.6302990848945</c:v>
                </c:pt>
                <c:pt idx="13">
                  <c:v>354.309289115398</c:v>
                </c:pt>
                <c:pt idx="14">
                  <c:v>397.4989794782181</c:v>
                </c:pt>
                <c:pt idx="15">
                  <c:v>439.2490134956109</c:v>
                </c:pt>
                <c:pt idx="16">
                  <c:v>479.6073797124238</c:v>
                </c:pt>
                <c:pt idx="17">
                  <c:v>518.6204670553431</c:v>
                </c:pt>
                <c:pt idx="18">
                  <c:v>556.3331181534983</c:v>
                </c:pt>
                <c:pt idx="19">
                  <c:v>592.788680881715</c:v>
                </c:pt>
                <c:pt idx="20">
                  <c:v>628.0290581856578</c:v>
                </c:pt>
                <c:pt idx="21">
                  <c:v>662.094756246136</c:v>
                </c:pt>
                <c:pt idx="22">
                  <c:v>695.0249310379314</c:v>
                </c:pt>
                <c:pt idx="23">
                  <c:v>726.857433336667</c:v>
                </c:pt>
                <c:pt idx="24">
                  <c:v>757.628852225445</c:v>
                </c:pt>
                <c:pt idx="25">
                  <c:v>787.3745571512634</c:v>
                </c:pt>
                <c:pt idx="26">
                  <c:v>816.1287385795545</c:v>
                </c:pt>
                <c:pt idx="27">
                  <c:v>843.9244472935694</c:v>
                </c:pt>
                <c:pt idx="28">
                  <c:v>870.7936323837838</c:v>
                </c:pt>
                <c:pt idx="29">
                  <c:v>896.767177970991</c:v>
                </c:pt>
                <c:pt idx="30">
                  <c:v>921.8749387052913</c:v>
                </c:pt>
                <c:pt idx="31">
                  <c:v>946.1457740817816</c:v>
                </c:pt>
                <c:pt idx="32">
                  <c:v>969.607581612389</c:v>
                </c:pt>
                <c:pt idx="33">
                  <c:v>992.2873288919759</c:v>
                </c:pt>
                <c:pt idx="34">
                  <c:v>1014.211084595577</c:v>
                </c:pt>
                <c:pt idx="35">
                  <c:v>1035.404048442391</c:v>
                </c:pt>
                <c:pt idx="36">
                  <c:v>1055.890580160978</c:v>
                </c:pt>
                <c:pt idx="37">
                  <c:v>1075.694227488945</c:v>
                </c:pt>
                <c:pt idx="38">
                  <c:v>1094.837753239314</c:v>
                </c:pt>
              </c:numCache>
            </c:numRef>
          </c:val>
        </c:ser>
        <c:ser>
          <c:idx val="1"/>
          <c:order val="1"/>
          <c:tx>
            <c:strRef>
              <c:f>Model!$B$74</c:f>
              <c:strCache>
                <c:ptCount val="1"/>
                <c:pt idx="0">
                  <c:v>High carbon generation capacity</c:v>
                </c:pt>
              </c:strCache>
            </c:strRef>
          </c:tx>
          <c:cat>
            <c:numRef>
              <c:f>Model!$C$57:$AO$57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Model!$C$74:$AO$74</c:f>
              <c:numCache>
                <c:formatCode>_-* #,##0_-;\-* #,##0_-;_-* "-"?_-;_-@_-</c:formatCode>
                <c:ptCount val="39"/>
                <c:pt idx="0" formatCode="_-* #,##0_-;\-* #,##0_-;_-* &quot;-&quot;??_-;_-@_-">
                  <c:v>421.0</c:v>
                </c:pt>
                <c:pt idx="1">
                  <c:v>409.5709334706305</c:v>
                </c:pt>
                <c:pt idx="2">
                  <c:v>397.850170941261</c:v>
                </c:pt>
                <c:pt idx="3">
                  <c:v>386.1376791958916</c:v>
                </c:pt>
                <c:pt idx="4">
                  <c:v>374.4334251513861</c:v>
                </c:pt>
                <c:pt idx="5">
                  <c:v>362.7373758569412</c:v>
                </c:pt>
                <c:pt idx="6">
                  <c:v>351.0494984935565</c:v>
                </c:pt>
                <c:pt idx="7">
                  <c:v>339.369760373508</c:v>
                </c:pt>
                <c:pt idx="8">
                  <c:v>332.5411636929579</c:v>
                </c:pt>
                <c:pt idx="9">
                  <c:v>330.5649097810019</c:v>
                </c:pt>
                <c:pt idx="10">
                  <c:v>319.5460794549684</c:v>
                </c:pt>
                <c:pt idx="11">
                  <c:v>308.8945434731361</c:v>
                </c:pt>
                <c:pt idx="12">
                  <c:v>298.5980586906983</c:v>
                </c:pt>
                <c:pt idx="13">
                  <c:v>288.644790067675</c:v>
                </c:pt>
                <c:pt idx="14">
                  <c:v>279.0232970654192</c:v>
                </c:pt>
                <c:pt idx="15">
                  <c:v>269.7225204965719</c:v>
                </c:pt>
                <c:pt idx="16">
                  <c:v>260.7317698133528</c:v>
                </c:pt>
                <c:pt idx="17">
                  <c:v>252.0407108195744</c:v>
                </c:pt>
                <c:pt idx="18">
                  <c:v>243.6393537922552</c:v>
                </c:pt>
                <c:pt idx="19">
                  <c:v>235.5180419991801</c:v>
                </c:pt>
                <c:pt idx="20">
                  <c:v>227.6674405992074</c:v>
                </c:pt>
                <c:pt idx="21">
                  <c:v>220.0785259125672</c:v>
                </c:pt>
                <c:pt idx="22">
                  <c:v>212.7425750488149</c:v>
                </c:pt>
                <c:pt idx="23">
                  <c:v>205.6511558805211</c:v>
                </c:pt>
                <c:pt idx="24">
                  <c:v>198.7961173511704</c:v>
                </c:pt>
                <c:pt idx="25">
                  <c:v>192.1695801061314</c:v>
                </c:pt>
                <c:pt idx="26">
                  <c:v>185.763927435927</c:v>
                </c:pt>
                <c:pt idx="27">
                  <c:v>179.5717965213961</c:v>
                </c:pt>
                <c:pt idx="28">
                  <c:v>173.5860699706829</c:v>
                </c:pt>
                <c:pt idx="29">
                  <c:v>167.7998676383268</c:v>
                </c:pt>
                <c:pt idx="30">
                  <c:v>162.2065387170493</c:v>
                </c:pt>
                <c:pt idx="31">
                  <c:v>156.7996540931476</c:v>
                </c:pt>
                <c:pt idx="32">
                  <c:v>151.5729989567093</c:v>
                </c:pt>
                <c:pt idx="33">
                  <c:v>146.5205656581523</c:v>
                </c:pt>
                <c:pt idx="34">
                  <c:v>141.6365468028806</c:v>
                </c:pt>
                <c:pt idx="35">
                  <c:v>136.9153285761179</c:v>
                </c:pt>
                <c:pt idx="36">
                  <c:v>132.3514842902473</c:v>
                </c:pt>
                <c:pt idx="37">
                  <c:v>127.9397681472391</c:v>
                </c:pt>
                <c:pt idx="38">
                  <c:v>123.6751092089978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38952"/>
        <c:axId val="599959832"/>
      </c:areaChart>
      <c:lineChart>
        <c:grouping val="standard"/>
        <c:varyColors val="0"/>
        <c:ser>
          <c:idx val="2"/>
          <c:order val="2"/>
          <c:tx>
            <c:strRef>
              <c:f>Model!$B$69</c:f>
              <c:strCache>
                <c:ptCount val="1"/>
                <c:pt idx="0">
                  <c:v>Maximum demand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Ref>
              <c:f>Model!$C$57:$AO$57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Model!$C$69:$AO$69</c:f>
              <c:numCache>
                <c:formatCode>_-* #,##0_-;\-* #,##0_-;_-* "-"?_-;_-@_-</c:formatCode>
                <c:ptCount val="39"/>
                <c:pt idx="0">
                  <c:v>519.0</c:v>
                </c:pt>
                <c:pt idx="1">
                  <c:v>516.924</c:v>
                </c:pt>
                <c:pt idx="2">
                  <c:v>514.8563039999999</c:v>
                </c:pt>
                <c:pt idx="3">
                  <c:v>512.796878784</c:v>
                </c:pt>
                <c:pt idx="4">
                  <c:v>510.745691268864</c:v>
                </c:pt>
                <c:pt idx="5">
                  <c:v>508.7027085037885</c:v>
                </c:pt>
                <c:pt idx="6">
                  <c:v>506.6678976697733</c:v>
                </c:pt>
                <c:pt idx="7">
                  <c:v>504.6412260790942</c:v>
                </c:pt>
                <c:pt idx="8">
                  <c:v>507.4656959279135</c:v>
                </c:pt>
                <c:pt idx="9">
                  <c:v>522.4017973541257</c:v>
                </c:pt>
                <c:pt idx="10">
                  <c:v>537.7775090389312</c:v>
                </c:pt>
                <c:pt idx="11">
                  <c:v>553.6057699129083</c:v>
                </c:pt>
                <c:pt idx="12">
                  <c:v>569.8998997347005</c:v>
                </c:pt>
                <c:pt idx="13">
                  <c:v>586.6736102998277</c:v>
                </c:pt>
                <c:pt idx="14">
                  <c:v>603.9410169794018</c:v>
                </c:pt>
                <c:pt idx="15">
                  <c:v>621.7166505984582</c:v>
                </c:pt>
                <c:pt idx="16">
                  <c:v>640.0154696639003</c:v>
                </c:pt>
                <c:pt idx="17">
                  <c:v>658.852872952344</c:v>
                </c:pt>
                <c:pt idx="18">
                  <c:v>678.2447124684587</c:v>
                </c:pt>
                <c:pt idx="19">
                  <c:v>698.207306784706</c:v>
                </c:pt>
                <c:pt idx="20">
                  <c:v>718.7574547737049</c:v>
                </c:pt>
                <c:pt idx="21">
                  <c:v>739.9124497447762</c:v>
                </c:pt>
                <c:pt idx="22">
                  <c:v>761.6900939965662</c:v>
                </c:pt>
                <c:pt idx="23">
                  <c:v>784.108713797992</c:v>
                </c:pt>
                <c:pt idx="24">
                  <c:v>807.1871748101178</c:v>
                </c:pt>
                <c:pt idx="25">
                  <c:v>830.9448979619392</c:v>
                </c:pt>
                <c:pt idx="26">
                  <c:v>855.401875793434</c:v>
                </c:pt>
                <c:pt idx="27">
                  <c:v>880.5786892796363</c:v>
                </c:pt>
                <c:pt idx="28">
                  <c:v>906.4965251498861</c:v>
                </c:pt>
                <c:pt idx="29">
                  <c:v>933.1771937168327</c:v>
                </c:pt>
                <c:pt idx="30">
                  <c:v>960.6431472301964</c:v>
                </c:pt>
                <c:pt idx="31">
                  <c:v>988.9174987707273</c:v>
                </c:pt>
                <c:pt idx="32">
                  <c:v>1018.024041700269</c:v>
                </c:pt>
                <c:pt idx="33">
                  <c:v>1047.98726968429</c:v>
                </c:pt>
                <c:pt idx="34">
                  <c:v>1078.832397303729</c:v>
                </c:pt>
                <c:pt idx="35">
                  <c:v>1110.585381273509</c:v>
                </c:pt>
                <c:pt idx="36">
                  <c:v>1143.272942285566</c:v>
                </c:pt>
                <c:pt idx="37">
                  <c:v>1176.92258749478</c:v>
                </c:pt>
                <c:pt idx="38">
                  <c:v>1211.562633666727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038952"/>
        <c:axId val="599959832"/>
      </c:lineChart>
      <c:catAx>
        <c:axId val="60003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99959832"/>
        <c:crosses val="autoZero"/>
        <c:auto val="1"/>
        <c:lblAlgn val="ctr"/>
        <c:lblOffset val="100"/>
        <c:tickLblSkip val="5"/>
        <c:noMultiLvlLbl val="0"/>
      </c:catAx>
      <c:valAx>
        <c:axId val="59995983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TWh/yr-max</a:t>
                </a:r>
              </a:p>
            </c:rich>
          </c:tx>
          <c:layout/>
          <c:overlay val="0"/>
        </c:title>
        <c:numFmt formatCode="_-* #,##0_-;\-* #,##0_-;_-* &quot;-&quot;??_-;_-@_-" sourceLinked="1"/>
        <c:majorTickMark val="none"/>
        <c:minorTickMark val="none"/>
        <c:tickLblPos val="nextTo"/>
        <c:crossAx val="60003895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Load Factor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Model!$B$97</c:f>
              <c:strCache>
                <c:ptCount val="1"/>
                <c:pt idx="0">
                  <c:v>Low carbon load factor</c:v>
                </c:pt>
              </c:strCache>
            </c:strRef>
          </c:tx>
          <c:marker>
            <c:symbol val="none"/>
          </c:marker>
          <c:cat>
            <c:numRef>
              <c:f>Model!$C$57:$AO$57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Model!$C$97:$AO$97</c:f>
              <c:numCache>
                <c:formatCode>0%</c:formatCode>
                <c:ptCount val="3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0.999528312894442</c:v>
                </c:pt>
                <c:pt idx="9">
                  <c:v>0.996537194726244</c:v>
                </c:pt>
                <c:pt idx="10">
                  <c:v>0.985971706401243</c:v>
                </c:pt>
                <c:pt idx="11">
                  <c:v>0.958458836237776</c:v>
                </c:pt>
                <c:pt idx="12">
                  <c:v>0.921248898305937</c:v>
                </c:pt>
                <c:pt idx="13">
                  <c:v>0.880979596651131</c:v>
                </c:pt>
                <c:pt idx="14">
                  <c:v>0.840412623032251</c:v>
                </c:pt>
                <c:pt idx="15">
                  <c:v>0.802762832477678</c:v>
                </c:pt>
                <c:pt idx="16">
                  <c:v>0.768555739953563</c:v>
                </c:pt>
                <c:pt idx="17">
                  <c:v>0.737782722651198</c:v>
                </c:pt>
                <c:pt idx="18">
                  <c:v>0.710297246331322</c:v>
                </c:pt>
                <c:pt idx="19">
                  <c:v>0.68588696600713</c:v>
                </c:pt>
                <c:pt idx="20">
                  <c:v>0.664312578243248</c:v>
                </c:pt>
                <c:pt idx="21">
                  <c:v>0.645329168533031</c:v>
                </c:pt>
                <c:pt idx="22">
                  <c:v>0.62869793718552</c:v>
                </c:pt>
                <c:pt idx="23">
                  <c:v>0.614192464578704</c:v>
                </c:pt>
                <c:pt idx="24">
                  <c:v>0.601601808163697</c:v>
                </c:pt>
                <c:pt idx="25">
                  <c:v>0.590731739040095</c:v>
                </c:pt>
                <c:pt idx="26">
                  <c:v>0.5814048853954</c:v>
                </c:pt>
                <c:pt idx="27">
                  <c:v>0.573460242860288</c:v>
                </c:pt>
                <c:pt idx="28">
                  <c:v>0.566752331983253</c:v>
                </c:pt>
                <c:pt idx="29">
                  <c:v>0.5611501751185</c:v>
                </c:pt>
                <c:pt idx="30">
                  <c:v>0.556536198937149</c:v>
                </c:pt>
                <c:pt idx="31">
                  <c:v>0.552805127631008</c:v>
                </c:pt>
                <c:pt idx="32">
                  <c:v>0.549862905943051</c:v>
                </c:pt>
                <c:pt idx="33">
                  <c:v>0.547625674670702</c:v>
                </c:pt>
                <c:pt idx="34">
                  <c:v>0.54601881076438</c:v>
                </c:pt>
                <c:pt idx="35">
                  <c:v>0.544976037436437</c:v>
                </c:pt>
                <c:pt idx="36">
                  <c:v>0.544438605456272</c:v>
                </c:pt>
                <c:pt idx="37">
                  <c:v>0.544354544176559</c:v>
                </c:pt>
                <c:pt idx="38">
                  <c:v>0.54467797925806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Model!$B$108</c:f>
              <c:strCache>
                <c:ptCount val="1"/>
                <c:pt idx="0">
                  <c:v>High carbon load factor</c:v>
                </c:pt>
              </c:strCache>
            </c:strRef>
          </c:tx>
          <c:marker>
            <c:symbol val="none"/>
          </c:marker>
          <c:cat>
            <c:numRef>
              <c:f>Model!$C$57:$AO$57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Model!$C$108:$AO$108</c:f>
              <c:numCache>
                <c:formatCode>0%</c:formatCode>
                <c:ptCount val="39"/>
                <c:pt idx="0">
                  <c:v>0.58978622327791</c:v>
                </c:pt>
                <c:pt idx="1">
                  <c:v>0.579296317392709</c:v>
                </c:pt>
                <c:pt idx="2">
                  <c:v>0.568634675727366</c:v>
                </c:pt>
                <c:pt idx="3">
                  <c:v>0.557328118602784</c:v>
                </c:pt>
                <c:pt idx="4">
                  <c:v>0.545316864573575</c:v>
                </c:pt>
                <c:pt idx="5">
                  <c:v>0.532533505540554</c:v>
                </c:pt>
                <c:pt idx="6">
                  <c:v>0.518901750471073</c:v>
                </c:pt>
                <c:pt idx="7">
                  <c:v>0.504334912335059</c:v>
                </c:pt>
                <c:pt idx="8">
                  <c:v>0.481864409651903</c:v>
                </c:pt>
                <c:pt idx="9">
                  <c:v>0.45521937997458</c:v>
                </c:pt>
                <c:pt idx="10">
                  <c:v>0.412692531922637</c:v>
                </c:pt>
                <c:pt idx="11">
                  <c:v>0.332520120864273</c:v>
                </c:pt>
                <c:pt idx="12">
                  <c:v>0.257536336398813</c:v>
                </c:pt>
                <c:pt idx="13">
                  <c:v>0.197849513118014</c:v>
                </c:pt>
                <c:pt idx="14">
                  <c:v>0.152046906434311</c:v>
                </c:pt>
                <c:pt idx="15">
                  <c:v>0.115886800961112</c:v>
                </c:pt>
                <c:pt idx="16">
                  <c:v>0.0874158313310503</c:v>
                </c:pt>
                <c:pt idx="17">
                  <c:v>0.0652374270645155</c:v>
                </c:pt>
                <c:pt idx="18">
                  <c:v>0.0481651683147081</c:v>
                </c:pt>
                <c:pt idx="19">
                  <c:v>0.0351961313213587</c:v>
                </c:pt>
                <c:pt idx="20">
                  <c:v>0.025487780098051</c:v>
                </c:pt>
                <c:pt idx="21">
                  <c:v>0.018337916993537</c:v>
                </c:pt>
                <c:pt idx="22">
                  <c:v>0.0131672767958693</c:v>
                </c:pt>
                <c:pt idx="23">
                  <c:v>0.00950440964630316</c:v>
                </c:pt>
                <c:pt idx="24">
                  <c:v>0.0069725491528966</c:v>
                </c:pt>
                <c:pt idx="25">
                  <c:v>0.00527820533761209</c:v>
                </c:pt>
                <c:pt idx="26">
                  <c:v>0.00420125872297846</c:v>
                </c:pt>
                <c:pt idx="27">
                  <c:v>0.00358636303972258</c:v>
                </c:pt>
                <c:pt idx="28">
                  <c:v>0.00333549060147718</c:v>
                </c:pt>
                <c:pt idx="29">
                  <c:v>0.00340147707984744</c:v>
                </c:pt>
                <c:pt idx="30">
                  <c:v>0.00378244183106115</c:v>
                </c:pt>
                <c:pt idx="31">
                  <c:v>0.00451697658031335</c:v>
                </c:pt>
                <c:pt idx="32">
                  <c:v>0.00568000958413398</c:v>
                </c:pt>
                <c:pt idx="33">
                  <c:v>0.00737926471804766</c:v>
                </c:pt>
                <c:pt idx="34">
                  <c:v>0.0097522455729579</c:v>
                </c:pt>
                <c:pt idx="35">
                  <c:v>0.0129636838383903</c:v>
                </c:pt>
                <c:pt idx="36">
                  <c:v>0.0172033992141828</c:v>
                </c:pt>
                <c:pt idx="37">
                  <c:v>0.0226845250020394</c:v>
                </c:pt>
                <c:pt idx="38">
                  <c:v>0.0296420595350286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Model!$B$81</c:f>
              <c:strCache>
                <c:ptCount val="1"/>
                <c:pt idx="0">
                  <c:v>Mean load factor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Model!$C$57:$AO$57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Model!$C$81:$AO$81</c:f>
              <c:numCache>
                <c:formatCode>0%</c:formatCode>
                <c:ptCount val="39"/>
                <c:pt idx="0">
                  <c:v>0.666666666666667</c:v>
                </c:pt>
                <c:pt idx="1">
                  <c:v>0.666666666666667</c:v>
                </c:pt>
                <c:pt idx="2">
                  <c:v>0.666666666666667</c:v>
                </c:pt>
                <c:pt idx="3">
                  <c:v>0.666666666666667</c:v>
                </c:pt>
                <c:pt idx="4">
                  <c:v>0.666666666666667</c:v>
                </c:pt>
                <c:pt idx="5">
                  <c:v>0.666666666666667</c:v>
                </c:pt>
                <c:pt idx="6">
                  <c:v>0.666666666666667</c:v>
                </c:pt>
                <c:pt idx="7">
                  <c:v>0.666666666666667</c:v>
                </c:pt>
                <c:pt idx="8">
                  <c:v>0.660304286191825</c:v>
                </c:pt>
                <c:pt idx="9">
                  <c:v>0.654002625544943</c:v>
                </c:pt>
                <c:pt idx="10">
                  <c:v>0.647761105242049</c:v>
                </c:pt>
                <c:pt idx="11">
                  <c:v>0.641579151329518</c:v>
                </c:pt>
                <c:pt idx="12">
                  <c:v>0.635456195331291</c:v>
                </c:pt>
                <c:pt idx="13">
                  <c:v>0.629391674196602</c:v>
                </c:pt>
                <c:pt idx="14">
                  <c:v>0.623385030248197</c:v>
                </c:pt>
                <c:pt idx="15">
                  <c:v>0.617435711131057</c:v>
                </c:pt>
                <c:pt idx="16">
                  <c:v>0.611543169761602</c:v>
                </c:pt>
                <c:pt idx="17">
                  <c:v>0.605706864277381</c:v>
                </c:pt>
                <c:pt idx="18">
                  <c:v>0.599926257987246</c:v>
                </c:pt>
                <c:pt idx="19">
                  <c:v>0.594200819322002</c:v>
                </c:pt>
                <c:pt idx="20">
                  <c:v>0.588530021785518</c:v>
                </c:pt>
                <c:pt idx="21">
                  <c:v>0.582913343906318</c:v>
                </c:pt>
                <c:pt idx="22">
                  <c:v>0.577350269189627</c:v>
                </c:pt>
                <c:pt idx="23">
                  <c:v>0.571840286069872</c:v>
                </c:pt>
                <c:pt idx="24">
                  <c:v>0.566382887863643</c:v>
                </c:pt>
                <c:pt idx="25">
                  <c:v>0.560977572723101</c:v>
                </c:pt>
                <c:pt idx="26">
                  <c:v>0.555623843589824</c:v>
                </c:pt>
                <c:pt idx="27">
                  <c:v>0.550321208149106</c:v>
                </c:pt>
                <c:pt idx="28">
                  <c:v>0.545069178784677</c:v>
                </c:pt>
                <c:pt idx="29">
                  <c:v>0.53986727253387</c:v>
                </c:pt>
                <c:pt idx="30">
                  <c:v>0.534715011043207</c:v>
                </c:pt>
                <c:pt idx="31">
                  <c:v>0.529611920524408</c:v>
                </c:pt>
                <c:pt idx="32">
                  <c:v>0.524557531710826</c:v>
                </c:pt>
                <c:pt idx="33">
                  <c:v>0.519551379814293</c:v>
                </c:pt>
                <c:pt idx="34">
                  <c:v>0.514593004482382</c:v>
                </c:pt>
                <c:pt idx="35">
                  <c:v>0.509681949756069</c:v>
                </c:pt>
                <c:pt idx="36">
                  <c:v>0.504817764027808</c:v>
                </c:pt>
                <c:pt idx="37">
                  <c:v>0.500000000000002</c:v>
                </c:pt>
                <c:pt idx="38">
                  <c:v>0.49522821464387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780328"/>
        <c:axId val="726378504"/>
      </c:lineChart>
      <c:catAx>
        <c:axId val="72578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26378504"/>
        <c:crosses val="autoZero"/>
        <c:auto val="1"/>
        <c:lblAlgn val="ctr"/>
        <c:lblOffset val="100"/>
        <c:tickLblSkip val="5"/>
        <c:noMultiLvlLbl val="0"/>
      </c:catAx>
      <c:valAx>
        <c:axId val="726378504"/>
        <c:scaling>
          <c:orientation val="minMax"/>
          <c:max val="1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%</a:t>
                </a:r>
                <a:r>
                  <a:rPr lang="en-GB" baseline="0"/>
                  <a:t> peak</a:t>
                </a:r>
                <a:endParaRPr lang="en-GB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crossAx val="72578032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114300</xdr:colOff>
      <xdr:row>13</xdr:row>
      <xdr:rowOff>22225</xdr:rowOff>
    </xdr:from>
    <xdr:to>
      <xdr:col>23</xdr:col>
      <xdr:colOff>263525</xdr:colOff>
      <xdr:row>28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104775</xdr:colOff>
      <xdr:row>43</xdr:row>
      <xdr:rowOff>98426</xdr:rowOff>
    </xdr:from>
    <xdr:to>
      <xdr:col>23</xdr:col>
      <xdr:colOff>298450</xdr:colOff>
      <xdr:row>58</xdr:row>
      <xdr:rowOff>130671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158751</xdr:colOff>
      <xdr:row>28</xdr:row>
      <xdr:rowOff>123825</xdr:rowOff>
    </xdr:from>
    <xdr:to>
      <xdr:col>23</xdr:col>
      <xdr:colOff>234951</xdr:colOff>
      <xdr:row>43</xdr:row>
      <xdr:rowOff>3670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568325</xdr:colOff>
      <xdr:row>13</xdr:row>
      <xdr:rowOff>88900</xdr:rowOff>
    </xdr:from>
    <xdr:to>
      <xdr:col>17</xdr:col>
      <xdr:colOff>654050</xdr:colOff>
      <xdr:row>27</xdr:row>
      <xdr:rowOff>121145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596900</xdr:colOff>
      <xdr:row>28</xdr:row>
      <xdr:rowOff>25400</xdr:rowOff>
    </xdr:from>
    <xdr:to>
      <xdr:col>18</xdr:col>
      <xdr:colOff>9525</xdr:colOff>
      <xdr:row>42</xdr:row>
      <xdr:rowOff>57645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596900</xdr:colOff>
      <xdr:row>42</xdr:row>
      <xdr:rowOff>139700</xdr:rowOff>
    </xdr:from>
    <xdr:to>
      <xdr:col>18</xdr:col>
      <xdr:colOff>9525</xdr:colOff>
      <xdr:row>57</xdr:row>
      <xdr:rowOff>19545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om.counsell@decc.gsi.gov.uk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3"/>
  <sheetViews>
    <sheetView tabSelected="1" topLeftCell="A18" workbookViewId="0">
      <pane xSplit="2" topLeftCell="C1" activePane="topRight" state="frozen"/>
      <selection pane="topRight" activeCell="C33" sqref="C33"/>
    </sheetView>
  </sheetViews>
  <sheetFormatPr baseColWidth="10" defaultColWidth="8.83203125" defaultRowHeight="12" x14ac:dyDescent="0"/>
  <cols>
    <col min="1" max="1" width="12.1640625" bestFit="1" customWidth="1"/>
    <col min="2" max="2" width="45" bestFit="1" customWidth="1"/>
    <col min="5" max="5" width="10.5" customWidth="1"/>
    <col min="43" max="43" width="19.1640625" bestFit="1" customWidth="1"/>
  </cols>
  <sheetData>
    <row r="1" spans="2:12">
      <c r="B1" s="3" t="s">
        <v>118</v>
      </c>
    </row>
    <row r="2" spans="2:12">
      <c r="B2" t="s">
        <v>119</v>
      </c>
    </row>
    <row r="3" spans="2:12">
      <c r="B3" t="s">
        <v>120</v>
      </c>
    </row>
    <row r="4" spans="2:12">
      <c r="B4" s="22" t="s">
        <v>121</v>
      </c>
    </row>
    <row r="6" spans="2:12">
      <c r="B6" s="3" t="s">
        <v>86</v>
      </c>
    </row>
    <row r="7" spans="2:12">
      <c r="B7" t="s">
        <v>87</v>
      </c>
    </row>
    <row r="8" spans="2:12">
      <c r="B8" t="s">
        <v>88</v>
      </c>
    </row>
    <row r="9" spans="2:12">
      <c r="B9" t="s">
        <v>89</v>
      </c>
    </row>
    <row r="10" spans="2:12">
      <c r="B10" t="s">
        <v>90</v>
      </c>
    </row>
    <row r="11" spans="2:12">
      <c r="B11" t="s">
        <v>99</v>
      </c>
    </row>
    <row r="12" spans="2:12">
      <c r="B12" t="s">
        <v>101</v>
      </c>
    </row>
    <row r="14" spans="2:12">
      <c r="B14" s="3" t="s">
        <v>27</v>
      </c>
      <c r="J14" s="3" t="s">
        <v>60</v>
      </c>
    </row>
    <row r="15" spans="2:12">
      <c r="B15" t="s">
        <v>46</v>
      </c>
      <c r="C15" s="5">
        <v>600</v>
      </c>
      <c r="D15" t="s">
        <v>0</v>
      </c>
      <c r="J15" t="s">
        <v>15</v>
      </c>
      <c r="K15" s="12">
        <f>SUM(N121:R121)</f>
        <v>508.85727562580763</v>
      </c>
      <c r="L15" t="s">
        <v>25</v>
      </c>
    </row>
    <row r="16" spans="2:12">
      <c r="B16" t="s">
        <v>41</v>
      </c>
      <c r="C16" s="16">
        <v>-4.0000000000000001E-3</v>
      </c>
      <c r="D16" t="s">
        <v>6</v>
      </c>
      <c r="E16" s="9" t="s">
        <v>8</v>
      </c>
      <c r="J16" t="s">
        <v>16</v>
      </c>
    </row>
    <row r="17" spans="2:13">
      <c r="B17" t="s">
        <v>28</v>
      </c>
      <c r="C17" s="5">
        <v>2020</v>
      </c>
      <c r="J17">
        <v>2020</v>
      </c>
      <c r="K17" s="12">
        <f>K117</f>
        <v>176.93802720733206</v>
      </c>
      <c r="L17" t="s">
        <v>1</v>
      </c>
    </row>
    <row r="18" spans="2:13">
      <c r="B18" t="s">
        <v>45</v>
      </c>
      <c r="C18" s="6">
        <v>0.3</v>
      </c>
      <c r="D18" t="s">
        <v>5</v>
      </c>
      <c r="J18">
        <v>2030</v>
      </c>
      <c r="K18" s="12">
        <f>U117</f>
        <v>10.478556920532814</v>
      </c>
      <c r="L18" t="s">
        <v>1</v>
      </c>
      <c r="M18" s="10"/>
    </row>
    <row r="19" spans="2:13">
      <c r="B19" t="s">
        <v>7</v>
      </c>
      <c r="C19" s="5">
        <v>2020</v>
      </c>
      <c r="J19">
        <v>2050</v>
      </c>
      <c r="K19" s="12">
        <f>AO117</f>
        <v>2.1384912209349962</v>
      </c>
      <c r="L19" t="s">
        <v>1</v>
      </c>
    </row>
    <row r="20" spans="2:13">
      <c r="B20" t="s">
        <v>26</v>
      </c>
      <c r="C20" s="7">
        <v>55</v>
      </c>
      <c r="D20" t="s">
        <v>3</v>
      </c>
      <c r="J20">
        <v>2050</v>
      </c>
      <c r="K20" s="11">
        <f>AO119</f>
        <v>1.2830947325609949</v>
      </c>
      <c r="L20" t="s">
        <v>115</v>
      </c>
      <c r="M20" s="10"/>
    </row>
    <row r="21" spans="2:13">
      <c r="B21" t="s">
        <v>19</v>
      </c>
      <c r="C21" s="7">
        <v>0.4</v>
      </c>
      <c r="D21" t="s">
        <v>3</v>
      </c>
      <c r="J21" t="s">
        <v>2</v>
      </c>
      <c r="K21" s="2">
        <f>SUM(C119:AO119)</f>
        <v>1212.577000699991</v>
      </c>
      <c r="L21" t="s">
        <v>20</v>
      </c>
    </row>
    <row r="22" spans="2:13">
      <c r="B22" t="s">
        <v>17</v>
      </c>
      <c r="C22" s="14">
        <v>0.5</v>
      </c>
      <c r="D22" t="s">
        <v>21</v>
      </c>
    </row>
    <row r="23" spans="2:13">
      <c r="B23" t="s">
        <v>18</v>
      </c>
      <c r="C23" s="14">
        <v>1</v>
      </c>
      <c r="D23" t="s">
        <v>21</v>
      </c>
    </row>
    <row r="24" spans="2:13">
      <c r="B24" t="s">
        <v>9</v>
      </c>
      <c r="C24" s="5">
        <v>30</v>
      </c>
      <c r="D24" t="s">
        <v>10</v>
      </c>
      <c r="E24" s="9" t="s">
        <v>11</v>
      </c>
    </row>
    <row r="25" spans="2:13">
      <c r="B25" t="s">
        <v>42</v>
      </c>
      <c r="C25" s="5">
        <v>10</v>
      </c>
      <c r="D25" t="s">
        <v>0</v>
      </c>
      <c r="E25" s="9" t="s">
        <v>12</v>
      </c>
    </row>
    <row r="26" spans="2:13">
      <c r="B26" t="s">
        <v>47</v>
      </c>
      <c r="C26" s="5">
        <v>5.4</v>
      </c>
      <c r="D26" t="s">
        <v>0</v>
      </c>
      <c r="E26" s="9" t="s">
        <v>13</v>
      </c>
    </row>
    <row r="27" spans="2:13">
      <c r="B27" t="s">
        <v>43</v>
      </c>
      <c r="C27" s="5">
        <v>370</v>
      </c>
      <c r="D27" t="s">
        <v>1</v>
      </c>
      <c r="E27" s="9"/>
    </row>
    <row r="28" spans="2:13">
      <c r="B28" t="s">
        <v>44</v>
      </c>
      <c r="C28" s="5">
        <v>350</v>
      </c>
      <c r="D28" t="s">
        <v>1</v>
      </c>
    </row>
    <row r="29" spans="2:13">
      <c r="B29" t="s">
        <v>48</v>
      </c>
      <c r="C29" s="5">
        <v>0.5</v>
      </c>
      <c r="D29" t="s">
        <v>30</v>
      </c>
    </row>
    <row r="30" spans="2:13">
      <c r="B30" t="s">
        <v>49</v>
      </c>
      <c r="C30" s="5">
        <v>2</v>
      </c>
      <c r="D30" t="s">
        <v>30</v>
      </c>
    </row>
    <row r="31" spans="2:13">
      <c r="B31" t="s">
        <v>108</v>
      </c>
      <c r="C31" s="6">
        <v>-0.01</v>
      </c>
      <c r="D31" t="s">
        <v>109</v>
      </c>
    </row>
    <row r="33" spans="2:4">
      <c r="B33" s="3" t="s">
        <v>29</v>
      </c>
      <c r="C33" s="13"/>
    </row>
    <row r="34" spans="2:4">
      <c r="B34" t="s">
        <v>35</v>
      </c>
      <c r="C34" s="13">
        <v>346</v>
      </c>
      <c r="D34" t="s">
        <v>0</v>
      </c>
    </row>
    <row r="35" spans="2:4">
      <c r="B35" t="s">
        <v>73</v>
      </c>
      <c r="C35" s="13">
        <v>421</v>
      </c>
      <c r="D35" t="s">
        <v>91</v>
      </c>
    </row>
    <row r="36" spans="2:4">
      <c r="B36" t="s">
        <v>36</v>
      </c>
      <c r="C36" s="13">
        <v>38.700000000000003</v>
      </c>
      <c r="D36" t="s">
        <v>0</v>
      </c>
    </row>
    <row r="37" spans="2:4">
      <c r="B37" t="s">
        <v>37</v>
      </c>
      <c r="C37" s="13">
        <v>59</v>
      </c>
      <c r="D37" t="s">
        <v>0</v>
      </c>
    </row>
    <row r="38" spans="2:4">
      <c r="B38" t="s">
        <v>38</v>
      </c>
      <c r="C38" s="13">
        <v>650</v>
      </c>
      <c r="D38" t="s">
        <v>1</v>
      </c>
    </row>
    <row r="39" spans="2:4">
      <c r="B39" t="s">
        <v>39</v>
      </c>
      <c r="C39" s="13">
        <v>0.5</v>
      </c>
      <c r="D39" t="s">
        <v>30</v>
      </c>
    </row>
    <row r="40" spans="2:4">
      <c r="B40" t="s">
        <v>40</v>
      </c>
      <c r="C40" s="13">
        <v>1.5</v>
      </c>
      <c r="D40" t="s">
        <v>30</v>
      </c>
    </row>
    <row r="41" spans="2:4">
      <c r="B41" t="s">
        <v>110</v>
      </c>
      <c r="C41" s="13">
        <v>78</v>
      </c>
      <c r="D41" t="s">
        <v>111</v>
      </c>
    </row>
    <row r="43" spans="2:4">
      <c r="B43" s="3" t="s">
        <v>31</v>
      </c>
    </row>
    <row r="44" spans="2:4">
      <c r="B44" t="s">
        <v>57</v>
      </c>
      <c r="C44" s="15">
        <f>(C27-C38)/(2020-2012)</f>
        <v>-35</v>
      </c>
      <c r="D44" t="s">
        <v>14</v>
      </c>
    </row>
    <row r="45" spans="2:4">
      <c r="B45" t="s">
        <v>58</v>
      </c>
      <c r="C45" s="15">
        <f>(C28-C27)/(2050-2020)</f>
        <v>-0.66666666666666663</v>
      </c>
      <c r="D45" t="s">
        <v>14</v>
      </c>
    </row>
    <row r="46" spans="2:4">
      <c r="B46" t="s">
        <v>52</v>
      </c>
      <c r="C46" s="8">
        <f>((C15/C54)^(1/(2050-C17)))-1</f>
        <v>1.9608267145536207E-2</v>
      </c>
      <c r="D46" t="s">
        <v>34</v>
      </c>
    </row>
    <row r="47" spans="2:4">
      <c r="B47" t="s">
        <v>32</v>
      </c>
      <c r="C47" s="17">
        <f>((C29/C39)^(1/(2050-C17)))-1</f>
        <v>0</v>
      </c>
      <c r="D47" t="s">
        <v>34</v>
      </c>
    </row>
    <row r="48" spans="2:4">
      <c r="B48" t="s">
        <v>33</v>
      </c>
      <c r="C48" s="17">
        <f>((C30/C40)^(1/(2050-C17)))-1</f>
        <v>9.6355280556115197E-3</v>
      </c>
      <c r="D48" t="s">
        <v>34</v>
      </c>
    </row>
    <row r="49" spans="1:52">
      <c r="B49" t="s">
        <v>50</v>
      </c>
      <c r="C49" s="2">
        <f>SUM(C36:C37)</f>
        <v>97.7</v>
      </c>
      <c r="D49" t="s">
        <v>0</v>
      </c>
      <c r="M49" s="10"/>
    </row>
    <row r="50" spans="1:52">
      <c r="B50" t="s">
        <v>53</v>
      </c>
      <c r="C50" s="2">
        <f>C18*K63</f>
        <v>100.52453223495556</v>
      </c>
      <c r="D50" t="s">
        <v>0</v>
      </c>
      <c r="M50" s="10"/>
      <c r="N50" s="1"/>
      <c r="O50" s="2"/>
    </row>
    <row r="51" spans="1:52">
      <c r="B51" t="s">
        <v>54</v>
      </c>
      <c r="C51" s="2">
        <f>Nuclear_in_2012+C25</f>
        <v>69</v>
      </c>
      <c r="D51" t="s">
        <v>0</v>
      </c>
      <c r="M51" s="10"/>
      <c r="N51" s="1"/>
    </row>
    <row r="52" spans="1:52">
      <c r="B52" t="s">
        <v>55</v>
      </c>
      <c r="C52" s="2">
        <f>C51+C50+CCS_by_2020</f>
        <v>174.92453223495556</v>
      </c>
      <c r="D52" t="s">
        <v>0</v>
      </c>
      <c r="M52" s="10"/>
      <c r="N52" s="1"/>
    </row>
    <row r="53" spans="1:52">
      <c r="B53" t="s">
        <v>56</v>
      </c>
      <c r="C53" s="1">
        <f>(C52-C49)/(2020-2012)</f>
        <v>9.6530665293694451</v>
      </c>
      <c r="D53" t="s">
        <v>3</v>
      </c>
      <c r="M53" s="10"/>
    </row>
    <row r="54" spans="1:52">
      <c r="B54" s="18" t="s">
        <v>51</v>
      </c>
      <c r="C54" s="11">
        <f>C34*((1+C16)^(C17-2012))</f>
        <v>335.0817741165186</v>
      </c>
      <c r="D54" t="s">
        <v>0</v>
      </c>
      <c r="M54" s="10"/>
    </row>
    <row r="56" spans="1:52">
      <c r="B56" s="3" t="s">
        <v>59</v>
      </c>
      <c r="H56" s="9"/>
    </row>
    <row r="57" spans="1:52">
      <c r="B57" t="s">
        <v>22</v>
      </c>
      <c r="C57">
        <v>2012</v>
      </c>
      <c r="D57">
        <f>C57+1</f>
        <v>2013</v>
      </c>
      <c r="E57">
        <f>D57+1</f>
        <v>2014</v>
      </c>
      <c r="F57">
        <f>E57+1</f>
        <v>2015</v>
      </c>
      <c r="G57">
        <f t="shared" ref="G57:AO57" si="0">F57+1</f>
        <v>2016</v>
      </c>
      <c r="H57">
        <f t="shared" si="0"/>
        <v>2017</v>
      </c>
      <c r="I57">
        <f t="shared" si="0"/>
        <v>2018</v>
      </c>
      <c r="J57">
        <f t="shared" si="0"/>
        <v>2019</v>
      </c>
      <c r="K57">
        <f t="shared" si="0"/>
        <v>2020</v>
      </c>
      <c r="L57">
        <f t="shared" si="0"/>
        <v>2021</v>
      </c>
      <c r="M57">
        <f t="shared" si="0"/>
        <v>2022</v>
      </c>
      <c r="N57">
        <f t="shared" si="0"/>
        <v>2023</v>
      </c>
      <c r="O57">
        <f t="shared" si="0"/>
        <v>2024</v>
      </c>
      <c r="P57">
        <f t="shared" si="0"/>
        <v>2025</v>
      </c>
      <c r="Q57">
        <f t="shared" si="0"/>
        <v>2026</v>
      </c>
      <c r="R57">
        <f t="shared" si="0"/>
        <v>2027</v>
      </c>
      <c r="S57">
        <f t="shared" si="0"/>
        <v>2028</v>
      </c>
      <c r="T57">
        <f t="shared" si="0"/>
        <v>2029</v>
      </c>
      <c r="U57">
        <f t="shared" si="0"/>
        <v>2030</v>
      </c>
      <c r="V57">
        <f t="shared" si="0"/>
        <v>2031</v>
      </c>
      <c r="W57">
        <f t="shared" si="0"/>
        <v>2032</v>
      </c>
      <c r="X57">
        <f t="shared" si="0"/>
        <v>2033</v>
      </c>
      <c r="Y57">
        <f t="shared" si="0"/>
        <v>2034</v>
      </c>
      <c r="Z57">
        <f t="shared" si="0"/>
        <v>2035</v>
      </c>
      <c r="AA57">
        <f t="shared" si="0"/>
        <v>2036</v>
      </c>
      <c r="AB57">
        <f t="shared" si="0"/>
        <v>2037</v>
      </c>
      <c r="AC57">
        <f t="shared" si="0"/>
        <v>2038</v>
      </c>
      <c r="AD57">
        <f t="shared" si="0"/>
        <v>2039</v>
      </c>
      <c r="AE57">
        <f t="shared" si="0"/>
        <v>2040</v>
      </c>
      <c r="AF57">
        <f t="shared" si="0"/>
        <v>2041</v>
      </c>
      <c r="AG57">
        <f t="shared" si="0"/>
        <v>2042</v>
      </c>
      <c r="AH57">
        <f t="shared" si="0"/>
        <v>2043</v>
      </c>
      <c r="AI57">
        <f t="shared" si="0"/>
        <v>2044</v>
      </c>
      <c r="AJ57">
        <f t="shared" si="0"/>
        <v>2045</v>
      </c>
      <c r="AK57">
        <f t="shared" si="0"/>
        <v>2046</v>
      </c>
      <c r="AL57">
        <f t="shared" si="0"/>
        <v>2047</v>
      </c>
      <c r="AM57">
        <f t="shared" si="0"/>
        <v>2048</v>
      </c>
      <c r="AN57">
        <f t="shared" si="0"/>
        <v>2049</v>
      </c>
      <c r="AO57">
        <f t="shared" si="0"/>
        <v>2050</v>
      </c>
      <c r="AT57" s="3"/>
      <c r="AU57" s="3"/>
      <c r="AV57" s="3"/>
      <c r="AW57" s="3"/>
      <c r="AX57" s="3"/>
      <c r="AY57" s="3"/>
      <c r="AZ57" s="3"/>
    </row>
    <row r="58" spans="1:52">
      <c r="A58" t="s">
        <v>91</v>
      </c>
      <c r="B58" t="s">
        <v>66</v>
      </c>
      <c r="C58" s="2">
        <f>D58</f>
        <v>12.909733196036111</v>
      </c>
      <c r="D58" s="2">
        <f t="shared" ref="D58:K58" si="1">D60+D59</f>
        <v>12.909733196036111</v>
      </c>
      <c r="E58" s="2">
        <f t="shared" si="1"/>
        <v>13.231502080348427</v>
      </c>
      <c r="F58" s="2">
        <f t="shared" si="1"/>
        <v>13.55327096466074</v>
      </c>
      <c r="G58" s="2">
        <f t="shared" si="1"/>
        <v>13.875039848973056</v>
      </c>
      <c r="H58" s="2">
        <f t="shared" si="1"/>
        <v>14.196808733285371</v>
      </c>
      <c r="I58" s="2">
        <f t="shared" si="1"/>
        <v>14.518577617597686</v>
      </c>
      <c r="J58" s="2">
        <f t="shared" si="1"/>
        <v>14.840346501910002</v>
      </c>
      <c r="K58" s="2">
        <f t="shared" si="1"/>
        <v>15.162115386222316</v>
      </c>
      <c r="L58" s="2">
        <f t="shared" ref="L58:AO58" si="2">IF(L57&gt;$C$19,MIN(MAX(K58*(1+$C$22),$C$21),$C$20),MAX(K58*(1-$C$23),0))</f>
        <v>22.743173079333474</v>
      </c>
      <c r="M58" s="2">
        <f t="shared" si="2"/>
        <v>34.11475961900021</v>
      </c>
      <c r="N58" s="2">
        <f t="shared" si="2"/>
        <v>51.172139428500316</v>
      </c>
      <c r="O58" s="2">
        <f t="shared" si="2"/>
        <v>55</v>
      </c>
      <c r="P58" s="2">
        <f t="shared" si="2"/>
        <v>55</v>
      </c>
      <c r="Q58" s="2">
        <f t="shared" si="2"/>
        <v>55</v>
      </c>
      <c r="R58" s="2">
        <f t="shared" si="2"/>
        <v>55</v>
      </c>
      <c r="S58" s="2">
        <f t="shared" si="2"/>
        <v>55</v>
      </c>
      <c r="T58" s="2">
        <f t="shared" si="2"/>
        <v>55</v>
      </c>
      <c r="U58" s="2">
        <f t="shared" si="2"/>
        <v>55</v>
      </c>
      <c r="V58" s="2">
        <f t="shared" si="2"/>
        <v>55</v>
      </c>
      <c r="W58" s="2">
        <f t="shared" si="2"/>
        <v>55</v>
      </c>
      <c r="X58" s="2">
        <f t="shared" si="2"/>
        <v>55</v>
      </c>
      <c r="Y58" s="2">
        <f t="shared" si="2"/>
        <v>55</v>
      </c>
      <c r="Z58" s="2">
        <f t="shared" si="2"/>
        <v>55</v>
      </c>
      <c r="AA58" s="2">
        <f t="shared" si="2"/>
        <v>55</v>
      </c>
      <c r="AB58" s="2">
        <f t="shared" si="2"/>
        <v>55</v>
      </c>
      <c r="AC58" s="2">
        <f t="shared" si="2"/>
        <v>55</v>
      </c>
      <c r="AD58" s="2">
        <f t="shared" si="2"/>
        <v>55</v>
      </c>
      <c r="AE58" s="2">
        <f t="shared" si="2"/>
        <v>55</v>
      </c>
      <c r="AF58" s="2">
        <f t="shared" si="2"/>
        <v>55</v>
      </c>
      <c r="AG58" s="2">
        <f t="shared" si="2"/>
        <v>55</v>
      </c>
      <c r="AH58" s="2">
        <f t="shared" si="2"/>
        <v>55</v>
      </c>
      <c r="AI58" s="2">
        <f t="shared" si="2"/>
        <v>55</v>
      </c>
      <c r="AJ58" s="2">
        <f t="shared" si="2"/>
        <v>55</v>
      </c>
      <c r="AK58" s="2">
        <f t="shared" si="2"/>
        <v>55</v>
      </c>
      <c r="AL58" s="2">
        <f t="shared" si="2"/>
        <v>55</v>
      </c>
      <c r="AM58" s="2">
        <f t="shared" si="2"/>
        <v>55</v>
      </c>
      <c r="AN58" s="2">
        <f t="shared" si="2"/>
        <v>55</v>
      </c>
      <c r="AO58" s="2">
        <f t="shared" si="2"/>
        <v>55</v>
      </c>
    </row>
    <row r="59" spans="1:52">
      <c r="A59" t="s">
        <v>91</v>
      </c>
      <c r="B59" t="s">
        <v>67</v>
      </c>
      <c r="D59" s="1">
        <f t="shared" ref="D59:AO59" si="3">C61*(1/$C$24)</f>
        <v>3.2566666666666668</v>
      </c>
      <c r="E59" s="1">
        <f t="shared" si="3"/>
        <v>3.5784355509789814</v>
      </c>
      <c r="F59" s="1">
        <f t="shared" si="3"/>
        <v>3.9002044352912959</v>
      </c>
      <c r="G59" s="1">
        <f t="shared" si="3"/>
        <v>4.2219733196036104</v>
      </c>
      <c r="H59" s="1">
        <f t="shared" si="3"/>
        <v>4.5437422039159259</v>
      </c>
      <c r="I59" s="1">
        <f t="shared" si="3"/>
        <v>4.8655110882282413</v>
      </c>
      <c r="J59" s="1">
        <f t="shared" si="3"/>
        <v>5.1872799725405558</v>
      </c>
      <c r="K59" s="1">
        <f t="shared" si="3"/>
        <v>5.5090488568528713</v>
      </c>
      <c r="L59" s="1">
        <f t="shared" si="3"/>
        <v>5.8308177411651867</v>
      </c>
      <c r="M59" s="1">
        <f t="shared" si="3"/>
        <v>6.3945629191041293</v>
      </c>
      <c r="N59" s="1">
        <f t="shared" si="3"/>
        <v>7.3185694757673323</v>
      </c>
      <c r="O59" s="1">
        <f t="shared" si="3"/>
        <v>8.7803551408584326</v>
      </c>
      <c r="P59" s="1">
        <f t="shared" si="3"/>
        <v>10.321009969496485</v>
      </c>
      <c r="Q59" s="1">
        <f t="shared" si="3"/>
        <v>11.810309637179936</v>
      </c>
      <c r="R59" s="1">
        <f t="shared" si="3"/>
        <v>13.249965982607272</v>
      </c>
      <c r="S59" s="1">
        <f t="shared" si="3"/>
        <v>14.641633783187029</v>
      </c>
      <c r="T59" s="1">
        <f t="shared" si="3"/>
        <v>15.986912657080794</v>
      </c>
      <c r="U59" s="1">
        <f t="shared" si="3"/>
        <v>17.287348901844769</v>
      </c>
      <c r="V59" s="1">
        <f t="shared" si="3"/>
        <v>18.544437271783277</v>
      </c>
      <c r="W59" s="1">
        <f t="shared" si="3"/>
        <v>19.759622696057164</v>
      </c>
      <c r="X59" s="1">
        <f t="shared" si="3"/>
        <v>20.934301939521927</v>
      </c>
      <c r="Y59" s="1">
        <f t="shared" si="3"/>
        <v>22.069825208204531</v>
      </c>
      <c r="Z59" s="1">
        <f t="shared" si="3"/>
        <v>23.167497701264381</v>
      </c>
      <c r="AA59" s="1">
        <f t="shared" si="3"/>
        <v>24.228581111222237</v>
      </c>
      <c r="AB59" s="1">
        <f t="shared" si="3"/>
        <v>25.254295074181496</v>
      </c>
      <c r="AC59" s="1">
        <f t="shared" si="3"/>
        <v>26.245818571708778</v>
      </c>
      <c r="AD59" s="1">
        <f t="shared" si="3"/>
        <v>27.204291285985153</v>
      </c>
      <c r="AE59" s="1">
        <f t="shared" si="3"/>
        <v>28.130814909785645</v>
      </c>
      <c r="AF59" s="1">
        <f t="shared" si="3"/>
        <v>29.026454412792791</v>
      </c>
      <c r="AG59" s="1">
        <f t="shared" si="3"/>
        <v>29.8922392656997</v>
      </c>
      <c r="AH59" s="1">
        <f t="shared" si="3"/>
        <v>30.72916462350971</v>
      </c>
      <c r="AI59" s="1">
        <f t="shared" si="3"/>
        <v>31.538192469392719</v>
      </c>
      <c r="AJ59" s="1">
        <f t="shared" si="3"/>
        <v>32.320252720412967</v>
      </c>
      <c r="AK59" s="1">
        <f t="shared" si="3"/>
        <v>33.076244296399196</v>
      </c>
      <c r="AL59" s="1">
        <f t="shared" si="3"/>
        <v>33.807036153185891</v>
      </c>
      <c r="AM59" s="1">
        <f t="shared" si="3"/>
        <v>34.513468281413026</v>
      </c>
      <c r="AN59" s="1">
        <f t="shared" si="3"/>
        <v>35.196352672032596</v>
      </c>
      <c r="AO59" s="1">
        <f t="shared" si="3"/>
        <v>35.856474249631503</v>
      </c>
    </row>
    <row r="60" spans="1:52">
      <c r="A60" t="s">
        <v>91</v>
      </c>
      <c r="B60" t="s">
        <v>68</v>
      </c>
      <c r="D60" s="2">
        <f>$C$53</f>
        <v>9.6530665293694451</v>
      </c>
      <c r="E60" s="2">
        <f t="shared" ref="E60:K60" si="4">$C$53</f>
        <v>9.6530665293694451</v>
      </c>
      <c r="F60" s="2">
        <f t="shared" si="4"/>
        <v>9.6530665293694451</v>
      </c>
      <c r="G60" s="2">
        <f t="shared" si="4"/>
        <v>9.6530665293694451</v>
      </c>
      <c r="H60" s="2">
        <f t="shared" si="4"/>
        <v>9.6530665293694451</v>
      </c>
      <c r="I60" s="2">
        <f t="shared" si="4"/>
        <v>9.6530665293694451</v>
      </c>
      <c r="J60" s="2">
        <f t="shared" si="4"/>
        <v>9.6530665293694451</v>
      </c>
      <c r="K60" s="2">
        <f t="shared" si="4"/>
        <v>9.6530665293694451</v>
      </c>
      <c r="L60" s="2">
        <f t="shared" ref="L60:AO60" si="5">L58-L59</f>
        <v>16.912355338168286</v>
      </c>
      <c r="M60" s="2">
        <f t="shared" si="5"/>
        <v>27.720196699896082</v>
      </c>
      <c r="N60" s="2">
        <f t="shared" si="5"/>
        <v>43.853569952732983</v>
      </c>
      <c r="O60" s="2">
        <f t="shared" si="5"/>
        <v>46.219644859141567</v>
      </c>
      <c r="P60" s="2">
        <f t="shared" si="5"/>
        <v>44.678990030503513</v>
      </c>
      <c r="Q60" s="2">
        <f t="shared" si="5"/>
        <v>43.189690362820066</v>
      </c>
      <c r="R60" s="2">
        <f t="shared" si="5"/>
        <v>41.750034017392728</v>
      </c>
      <c r="S60" s="2">
        <f t="shared" si="5"/>
        <v>40.358366216812968</v>
      </c>
      <c r="T60" s="2">
        <f t="shared" si="5"/>
        <v>39.013087342919206</v>
      </c>
      <c r="U60" s="2">
        <f t="shared" si="5"/>
        <v>37.712651098155234</v>
      </c>
      <c r="V60" s="2">
        <f t="shared" si="5"/>
        <v>36.455562728216719</v>
      </c>
      <c r="W60" s="2">
        <f t="shared" si="5"/>
        <v>35.240377303942836</v>
      </c>
      <c r="X60" s="2">
        <f t="shared" si="5"/>
        <v>34.06569806047807</v>
      </c>
      <c r="Y60" s="2">
        <f t="shared" si="5"/>
        <v>32.930174791795466</v>
      </c>
      <c r="Z60" s="2">
        <f t="shared" si="5"/>
        <v>31.832502298735619</v>
      </c>
      <c r="AA60" s="2">
        <f t="shared" si="5"/>
        <v>30.771418888777763</v>
      </c>
      <c r="AB60" s="2">
        <f t="shared" si="5"/>
        <v>29.745704925818504</v>
      </c>
      <c r="AC60" s="2">
        <f t="shared" si="5"/>
        <v>28.754181428291222</v>
      </c>
      <c r="AD60" s="2">
        <f t="shared" si="5"/>
        <v>27.795708714014847</v>
      </c>
      <c r="AE60" s="2">
        <f t="shared" si="5"/>
        <v>26.869185090214355</v>
      </c>
      <c r="AF60" s="2">
        <f t="shared" si="5"/>
        <v>25.973545587207209</v>
      </c>
      <c r="AG60" s="2">
        <f t="shared" si="5"/>
        <v>25.1077607343003</v>
      </c>
      <c r="AH60" s="2">
        <f t="shared" si="5"/>
        <v>24.27083537649029</v>
      </c>
      <c r="AI60" s="2">
        <f t="shared" si="5"/>
        <v>23.461807530607281</v>
      </c>
      <c r="AJ60" s="2">
        <f t="shared" si="5"/>
        <v>22.679747279587033</v>
      </c>
      <c r="AK60" s="2">
        <f t="shared" si="5"/>
        <v>21.923755703600804</v>
      </c>
      <c r="AL60" s="2">
        <f t="shared" si="5"/>
        <v>21.192963846814109</v>
      </c>
      <c r="AM60" s="2">
        <f t="shared" si="5"/>
        <v>20.486531718586974</v>
      </c>
      <c r="AN60" s="2">
        <f t="shared" si="5"/>
        <v>19.803647327967404</v>
      </c>
      <c r="AO60" s="2">
        <f t="shared" si="5"/>
        <v>19.143525750368497</v>
      </c>
    </row>
    <row r="61" spans="1:52">
      <c r="A61" t="s">
        <v>91</v>
      </c>
      <c r="B61" t="s">
        <v>69</v>
      </c>
      <c r="C61" s="2">
        <f>C49</f>
        <v>97.7</v>
      </c>
      <c r="D61" s="2">
        <f t="shared" ref="D61:K61" si="6">C61+D60</f>
        <v>107.35306652936944</v>
      </c>
      <c r="E61" s="2">
        <f t="shared" si="6"/>
        <v>117.00613305873888</v>
      </c>
      <c r="F61" s="2">
        <f t="shared" si="6"/>
        <v>126.65919958810832</v>
      </c>
      <c r="G61" s="2">
        <f t="shared" si="6"/>
        <v>136.31226611747778</v>
      </c>
      <c r="H61" s="2">
        <f t="shared" si="6"/>
        <v>145.96533264684723</v>
      </c>
      <c r="I61" s="2">
        <f t="shared" si="6"/>
        <v>155.61839917621668</v>
      </c>
      <c r="J61" s="2">
        <f t="shared" si="6"/>
        <v>165.27146570558614</v>
      </c>
      <c r="K61" s="2">
        <f t="shared" si="6"/>
        <v>174.92453223495559</v>
      </c>
      <c r="L61" s="2">
        <f t="shared" ref="L61:AO61" si="7">K61+L60</f>
        <v>191.83688757312387</v>
      </c>
      <c r="M61" s="2">
        <f t="shared" si="7"/>
        <v>219.55708427301997</v>
      </c>
      <c r="N61" s="2">
        <f t="shared" si="7"/>
        <v>263.41065422575298</v>
      </c>
      <c r="O61" s="2">
        <f t="shared" si="7"/>
        <v>309.63029908489455</v>
      </c>
      <c r="P61" s="2">
        <f t="shared" si="7"/>
        <v>354.30928911539809</v>
      </c>
      <c r="Q61" s="2">
        <f t="shared" si="7"/>
        <v>397.49897947821813</v>
      </c>
      <c r="R61" s="2">
        <f t="shared" si="7"/>
        <v>439.24901349561088</v>
      </c>
      <c r="S61" s="2">
        <f t="shared" si="7"/>
        <v>479.60737971242384</v>
      </c>
      <c r="T61" s="2">
        <f t="shared" si="7"/>
        <v>518.62046705534306</v>
      </c>
      <c r="U61" s="2">
        <f t="shared" si="7"/>
        <v>556.33311815349828</v>
      </c>
      <c r="V61" s="2">
        <f t="shared" si="7"/>
        <v>592.78868088171498</v>
      </c>
      <c r="W61" s="2">
        <f t="shared" si="7"/>
        <v>628.02905818565785</v>
      </c>
      <c r="X61" s="2">
        <f t="shared" si="7"/>
        <v>662.09475624613594</v>
      </c>
      <c r="Y61" s="2">
        <f t="shared" si="7"/>
        <v>695.02493103793142</v>
      </c>
      <c r="Z61" s="2">
        <f t="shared" si="7"/>
        <v>726.8574333366671</v>
      </c>
      <c r="AA61" s="2">
        <f t="shared" si="7"/>
        <v>757.62885222544492</v>
      </c>
      <c r="AB61" s="2">
        <f t="shared" si="7"/>
        <v>787.37455715126339</v>
      </c>
      <c r="AC61" s="2">
        <f t="shared" si="7"/>
        <v>816.12873857955458</v>
      </c>
      <c r="AD61" s="2">
        <f t="shared" si="7"/>
        <v>843.92444729356941</v>
      </c>
      <c r="AE61" s="2">
        <f t="shared" si="7"/>
        <v>870.7936323837838</v>
      </c>
      <c r="AF61" s="2">
        <f t="shared" si="7"/>
        <v>896.76717797099104</v>
      </c>
      <c r="AG61" s="2">
        <f t="shared" si="7"/>
        <v>921.87493870529136</v>
      </c>
      <c r="AH61" s="2">
        <f t="shared" si="7"/>
        <v>946.14577408178161</v>
      </c>
      <c r="AI61" s="2">
        <f t="shared" si="7"/>
        <v>969.60758161238891</v>
      </c>
      <c r="AJ61" s="2">
        <f t="shared" si="7"/>
        <v>992.2873288919759</v>
      </c>
      <c r="AK61" s="2">
        <f t="shared" si="7"/>
        <v>1014.2110845955767</v>
      </c>
      <c r="AL61" s="2">
        <f t="shared" si="7"/>
        <v>1035.4040484423908</v>
      </c>
      <c r="AM61" s="2">
        <f t="shared" si="7"/>
        <v>1055.8905801609778</v>
      </c>
      <c r="AN61" s="2">
        <f t="shared" si="7"/>
        <v>1075.6942274889452</v>
      </c>
      <c r="AO61" s="2">
        <f t="shared" si="7"/>
        <v>1094.8377532393138</v>
      </c>
    </row>
    <row r="62" spans="1:5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52">
      <c r="A63" t="s">
        <v>0</v>
      </c>
      <c r="B63" t="s">
        <v>61</v>
      </c>
      <c r="C63">
        <f>C34</f>
        <v>346</v>
      </c>
      <c r="D63" s="1">
        <f t="shared" ref="D63:AO63" si="8">C63*IF(D$57&gt;$C$17,(1+$C$46),(1+$C$16))</f>
        <v>344.61599999999999</v>
      </c>
      <c r="E63" s="1">
        <f t="shared" si="8"/>
        <v>343.23753599999998</v>
      </c>
      <c r="F63" s="1">
        <f t="shared" si="8"/>
        <v>341.86458585599996</v>
      </c>
      <c r="G63" s="1">
        <f t="shared" si="8"/>
        <v>340.49712751257596</v>
      </c>
      <c r="H63" s="1">
        <f t="shared" si="8"/>
        <v>339.13513900252565</v>
      </c>
      <c r="I63" s="1">
        <f t="shared" si="8"/>
        <v>337.77859844651556</v>
      </c>
      <c r="J63" s="1">
        <f t="shared" si="8"/>
        <v>336.42748405272948</v>
      </c>
      <c r="K63" s="1">
        <f t="shared" si="8"/>
        <v>335.08177411651855</v>
      </c>
      <c r="L63" s="1">
        <f t="shared" si="8"/>
        <v>341.65214705899547</v>
      </c>
      <c r="M63" s="1">
        <f t="shared" si="8"/>
        <v>348.35135362937427</v>
      </c>
      <c r="N63" s="1">
        <f t="shared" si="8"/>
        <v>355.18192003184822</v>
      </c>
      <c r="O63" s="1">
        <f t="shared" si="8"/>
        <v>362.14642200509718</v>
      </c>
      <c r="P63" s="1">
        <f t="shared" si="8"/>
        <v>369.24748579357322</v>
      </c>
      <c r="Q63" s="1">
        <f t="shared" si="8"/>
        <v>376.48778913783121</v>
      </c>
      <c r="R63" s="1">
        <f t="shared" si="8"/>
        <v>383.87006228427811</v>
      </c>
      <c r="S63" s="1">
        <f t="shared" si="8"/>
        <v>391.39708901472187</v>
      </c>
      <c r="T63" s="1">
        <f t="shared" si="8"/>
        <v>399.07170769610775</v>
      </c>
      <c r="U63" s="1">
        <f t="shared" si="8"/>
        <v>406.89681235083839</v>
      </c>
      <c r="V63" s="1">
        <f t="shared" si="8"/>
        <v>414.87535374808073</v>
      </c>
      <c r="W63" s="1">
        <f t="shared" si="8"/>
        <v>423.01034051647196</v>
      </c>
      <c r="X63" s="1">
        <f t="shared" si="8"/>
        <v>431.30484027864316</v>
      </c>
      <c r="Y63" s="1">
        <f t="shared" si="8"/>
        <v>439.76198080798963</v>
      </c>
      <c r="Z63" s="1">
        <f t="shared" si="8"/>
        <v>448.38495120812286</v>
      </c>
      <c r="AA63" s="1">
        <f t="shared" si="8"/>
        <v>457.17700311544996</v>
      </c>
      <c r="AB63" s="1">
        <f t="shared" si="8"/>
        <v>466.14145192533334</v>
      </c>
      <c r="AC63" s="1">
        <f t="shared" si="8"/>
        <v>475.28167804229338</v>
      </c>
      <c r="AD63" s="1">
        <f t="shared" si="8"/>
        <v>484.60112815472542</v>
      </c>
      <c r="AE63" s="1">
        <f t="shared" si="8"/>
        <v>494.10331653461151</v>
      </c>
      <c r="AF63" s="1">
        <f t="shared" si="8"/>
        <v>503.79182636271759</v>
      </c>
      <c r="AG63" s="1">
        <f t="shared" si="8"/>
        <v>513.67031107977539</v>
      </c>
      <c r="AH63" s="1">
        <f t="shared" si="8"/>
        <v>523.74249576415832</v>
      </c>
      <c r="AI63" s="1">
        <f t="shared" si="8"/>
        <v>534.01217853657181</v>
      </c>
      <c r="AJ63" s="1">
        <f t="shared" si="8"/>
        <v>544.48323199228673</v>
      </c>
      <c r="AK63" s="1">
        <f t="shared" si="8"/>
        <v>555.15960466145646</v>
      </c>
      <c r="AL63" s="1">
        <f t="shared" si="8"/>
        <v>566.04532249806857</v>
      </c>
      <c r="AM63" s="1">
        <f t="shared" si="8"/>
        <v>577.14449039809188</v>
      </c>
      <c r="AN63" s="1">
        <f t="shared" si="8"/>
        <v>588.46129374739201</v>
      </c>
      <c r="AO63" s="1">
        <f t="shared" si="8"/>
        <v>599.99999999999875</v>
      </c>
    </row>
    <row r="64" spans="1:5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spans="1:41">
      <c r="A65" t="s">
        <v>64</v>
      </c>
      <c r="B65" t="s">
        <v>62</v>
      </c>
      <c r="C65" s="15">
        <f t="shared" ref="C65:AO65" si="9">IF(C57&lt;$C$17,$C$39,B65*(1+$C$47))</f>
        <v>0.5</v>
      </c>
      <c r="D65" s="15">
        <f t="shared" si="9"/>
        <v>0.5</v>
      </c>
      <c r="E65" s="15">
        <f t="shared" si="9"/>
        <v>0.5</v>
      </c>
      <c r="F65" s="15">
        <f t="shared" si="9"/>
        <v>0.5</v>
      </c>
      <c r="G65" s="15">
        <f t="shared" si="9"/>
        <v>0.5</v>
      </c>
      <c r="H65" s="15">
        <f t="shared" si="9"/>
        <v>0.5</v>
      </c>
      <c r="I65" s="15">
        <f t="shared" si="9"/>
        <v>0.5</v>
      </c>
      <c r="J65" s="15">
        <f t="shared" si="9"/>
        <v>0.5</v>
      </c>
      <c r="K65" s="15">
        <f t="shared" si="9"/>
        <v>0.5</v>
      </c>
      <c r="L65" s="15">
        <f t="shared" si="9"/>
        <v>0.5</v>
      </c>
      <c r="M65" s="15">
        <f t="shared" si="9"/>
        <v>0.5</v>
      </c>
      <c r="N65" s="15">
        <f t="shared" si="9"/>
        <v>0.5</v>
      </c>
      <c r="O65" s="15">
        <f t="shared" si="9"/>
        <v>0.5</v>
      </c>
      <c r="P65" s="15">
        <f t="shared" si="9"/>
        <v>0.5</v>
      </c>
      <c r="Q65" s="15">
        <f t="shared" si="9"/>
        <v>0.5</v>
      </c>
      <c r="R65" s="15">
        <f t="shared" si="9"/>
        <v>0.5</v>
      </c>
      <c r="S65" s="15">
        <f t="shared" si="9"/>
        <v>0.5</v>
      </c>
      <c r="T65" s="15">
        <f t="shared" si="9"/>
        <v>0.5</v>
      </c>
      <c r="U65" s="15">
        <f t="shared" si="9"/>
        <v>0.5</v>
      </c>
      <c r="V65" s="15">
        <f t="shared" si="9"/>
        <v>0.5</v>
      </c>
      <c r="W65" s="15">
        <f t="shared" si="9"/>
        <v>0.5</v>
      </c>
      <c r="X65" s="15">
        <f t="shared" si="9"/>
        <v>0.5</v>
      </c>
      <c r="Y65" s="15">
        <f t="shared" si="9"/>
        <v>0.5</v>
      </c>
      <c r="Z65" s="15">
        <f t="shared" si="9"/>
        <v>0.5</v>
      </c>
      <c r="AA65" s="15">
        <f t="shared" si="9"/>
        <v>0.5</v>
      </c>
      <c r="AB65" s="15">
        <f t="shared" si="9"/>
        <v>0.5</v>
      </c>
      <c r="AC65" s="15">
        <f t="shared" si="9"/>
        <v>0.5</v>
      </c>
      <c r="AD65" s="15">
        <f t="shared" si="9"/>
        <v>0.5</v>
      </c>
      <c r="AE65" s="15">
        <f t="shared" si="9"/>
        <v>0.5</v>
      </c>
      <c r="AF65" s="15">
        <f t="shared" si="9"/>
        <v>0.5</v>
      </c>
      <c r="AG65" s="15">
        <f t="shared" si="9"/>
        <v>0.5</v>
      </c>
      <c r="AH65" s="15">
        <f t="shared" si="9"/>
        <v>0.5</v>
      </c>
      <c r="AI65" s="15">
        <f t="shared" si="9"/>
        <v>0.5</v>
      </c>
      <c r="AJ65" s="15">
        <f t="shared" si="9"/>
        <v>0.5</v>
      </c>
      <c r="AK65" s="15">
        <f t="shared" si="9"/>
        <v>0.5</v>
      </c>
      <c r="AL65" s="15">
        <f t="shared" si="9"/>
        <v>0.5</v>
      </c>
      <c r="AM65" s="15">
        <f t="shared" si="9"/>
        <v>0.5</v>
      </c>
      <c r="AN65" s="15">
        <f t="shared" si="9"/>
        <v>0.5</v>
      </c>
      <c r="AO65" s="15">
        <f t="shared" si="9"/>
        <v>0.5</v>
      </c>
    </row>
    <row r="66" spans="1:41">
      <c r="A66" t="s">
        <v>64</v>
      </c>
      <c r="B66" t="s">
        <v>63</v>
      </c>
      <c r="C66" s="15">
        <f t="shared" ref="C66:AO66" si="10">IF(C57&lt;$C$17,$C$40,B66*(1+$C$48))</f>
        <v>1.5</v>
      </c>
      <c r="D66" s="15">
        <f t="shared" si="10"/>
        <v>1.5</v>
      </c>
      <c r="E66" s="15">
        <f t="shared" si="10"/>
        <v>1.5</v>
      </c>
      <c r="F66" s="15">
        <f t="shared" si="10"/>
        <v>1.5</v>
      </c>
      <c r="G66" s="15">
        <f t="shared" si="10"/>
        <v>1.5</v>
      </c>
      <c r="H66" s="15">
        <f t="shared" si="10"/>
        <v>1.5</v>
      </c>
      <c r="I66" s="15">
        <f t="shared" si="10"/>
        <v>1.5</v>
      </c>
      <c r="J66" s="15">
        <f t="shared" si="10"/>
        <v>1.5</v>
      </c>
      <c r="K66" s="15">
        <f t="shared" si="10"/>
        <v>1.5144532920834173</v>
      </c>
      <c r="L66" s="15">
        <f t="shared" si="10"/>
        <v>1.5290458492682002</v>
      </c>
      <c r="M66" s="15">
        <f t="shared" si="10"/>
        <v>1.5437790134471403</v>
      </c>
      <c r="N66" s="15">
        <f t="shared" si="10"/>
        <v>1.5586541394428746</v>
      </c>
      <c r="O66" s="15">
        <f t="shared" si="10"/>
        <v>1.5736725951324715</v>
      </c>
      <c r="P66" s="15">
        <f t="shared" si="10"/>
        <v>1.5888357615732174</v>
      </c>
      <c r="Q66" s="15">
        <f t="shared" si="10"/>
        <v>1.604145033129615</v>
      </c>
      <c r="R66" s="15">
        <f t="shared" si="10"/>
        <v>1.6196018176016052</v>
      </c>
      <c r="S66" s="15">
        <f t="shared" si="10"/>
        <v>1.6352075363540248</v>
      </c>
      <c r="T66" s="15">
        <f t="shared" si="10"/>
        <v>1.6509636244473114</v>
      </c>
      <c r="U66" s="15">
        <f t="shared" si="10"/>
        <v>1.6668715307694675</v>
      </c>
      <c r="V66" s="15">
        <f t="shared" si="10"/>
        <v>1.6829327181692968</v>
      </c>
      <c r="W66" s="15">
        <f t="shared" si="10"/>
        <v>1.6991486635909236</v>
      </c>
      <c r="X66" s="15">
        <f t="shared" si="10"/>
        <v>1.7155208582096089</v>
      </c>
      <c r="Y66" s="15">
        <f t="shared" si="10"/>
        <v>1.7320508075688743</v>
      </c>
      <c r="Z66" s="15">
        <f t="shared" si="10"/>
        <v>1.7487400317189488</v>
      </c>
      <c r="AA66" s="15">
        <f t="shared" si="10"/>
        <v>1.7655900653565477</v>
      </c>
      <c r="AB66" s="15">
        <f t="shared" si="10"/>
        <v>1.7826024579659998</v>
      </c>
      <c r="AC66" s="15">
        <f t="shared" si="10"/>
        <v>1.7997787739617332</v>
      </c>
      <c r="AD66" s="15">
        <f t="shared" si="10"/>
        <v>1.8171205928321357</v>
      </c>
      <c r="AE66" s="15">
        <f t="shared" si="10"/>
        <v>1.8346295092847991</v>
      </c>
      <c r="AF66" s="15">
        <f t="shared" si="10"/>
        <v>1.8523071333931656</v>
      </c>
      <c r="AG66" s="15">
        <f t="shared" si="10"/>
        <v>1.8701550907445847</v>
      </c>
      <c r="AH66" s="15">
        <f t="shared" si="10"/>
        <v>1.8881750225897989</v>
      </c>
      <c r="AI66" s="15">
        <f t="shared" si="10"/>
        <v>1.9063685859938677</v>
      </c>
      <c r="AJ66" s="15">
        <f t="shared" si="10"/>
        <v>1.924737453988548</v>
      </c>
      <c r="AK66" s="15">
        <f t="shared" si="10"/>
        <v>1.9432833157261409</v>
      </c>
      <c r="AL66" s="15">
        <f t="shared" si="10"/>
        <v>1.9620078766348219</v>
      </c>
      <c r="AM66" s="15">
        <f t="shared" si="10"/>
        <v>1.9809128585754676</v>
      </c>
      <c r="AN66" s="15">
        <f t="shared" si="10"/>
        <v>1.9999999999999931</v>
      </c>
      <c r="AO66" s="15">
        <f t="shared" si="10"/>
        <v>2.0192710561112159</v>
      </c>
    </row>
    <row r="68" spans="1:41">
      <c r="A68" t="s">
        <v>65</v>
      </c>
      <c r="B68" t="s">
        <v>62</v>
      </c>
      <c r="C68" s="19">
        <f t="shared" ref="C68:AO68" si="11">C63*C65</f>
        <v>173</v>
      </c>
      <c r="D68" s="19">
        <f t="shared" si="11"/>
        <v>172.30799999999999</v>
      </c>
      <c r="E68" s="19">
        <f t="shared" si="11"/>
        <v>171.61876799999999</v>
      </c>
      <c r="F68" s="19">
        <f t="shared" si="11"/>
        <v>170.93229292799998</v>
      </c>
      <c r="G68" s="19">
        <f t="shared" si="11"/>
        <v>170.24856375628798</v>
      </c>
      <c r="H68" s="19">
        <f t="shared" si="11"/>
        <v>169.56756950126282</v>
      </c>
      <c r="I68" s="19">
        <f t="shared" si="11"/>
        <v>168.88929922325778</v>
      </c>
      <c r="J68" s="19">
        <f t="shared" si="11"/>
        <v>168.21374202636474</v>
      </c>
      <c r="K68" s="19">
        <f t="shared" si="11"/>
        <v>167.54088705825927</v>
      </c>
      <c r="L68" s="19">
        <f t="shared" si="11"/>
        <v>170.82607352949773</v>
      </c>
      <c r="M68" s="19">
        <f t="shared" si="11"/>
        <v>174.17567681468714</v>
      </c>
      <c r="N68" s="19">
        <f t="shared" si="11"/>
        <v>177.59096001592411</v>
      </c>
      <c r="O68" s="19">
        <f t="shared" si="11"/>
        <v>181.07321100254859</v>
      </c>
      <c r="P68" s="19">
        <f t="shared" si="11"/>
        <v>184.62374289678661</v>
      </c>
      <c r="Q68" s="19">
        <f t="shared" si="11"/>
        <v>188.24389456891561</v>
      </c>
      <c r="R68" s="19">
        <f t="shared" si="11"/>
        <v>191.93503114213905</v>
      </c>
      <c r="S68" s="19">
        <f t="shared" si="11"/>
        <v>195.69854450736094</v>
      </c>
      <c r="T68" s="19">
        <f t="shared" si="11"/>
        <v>199.53585384805388</v>
      </c>
      <c r="U68" s="19">
        <f t="shared" si="11"/>
        <v>203.44840617541919</v>
      </c>
      <c r="V68" s="19">
        <f t="shared" si="11"/>
        <v>207.43767687404036</v>
      </c>
      <c r="W68" s="19">
        <f t="shared" si="11"/>
        <v>211.50517025823598</v>
      </c>
      <c r="X68" s="19">
        <f t="shared" si="11"/>
        <v>215.65242013932158</v>
      </c>
      <c r="Y68" s="19">
        <f t="shared" si="11"/>
        <v>219.88099040399482</v>
      </c>
      <c r="Z68" s="19">
        <f t="shared" si="11"/>
        <v>224.19247560406143</v>
      </c>
      <c r="AA68" s="19">
        <f t="shared" si="11"/>
        <v>228.58850155772498</v>
      </c>
      <c r="AB68" s="19">
        <f t="shared" si="11"/>
        <v>233.07072596266667</v>
      </c>
      <c r="AC68" s="19">
        <f t="shared" si="11"/>
        <v>237.64083902114669</v>
      </c>
      <c r="AD68" s="19">
        <f t="shared" si="11"/>
        <v>242.30056407736271</v>
      </c>
      <c r="AE68" s="19">
        <f t="shared" si="11"/>
        <v>247.05165826730575</v>
      </c>
      <c r="AF68" s="19">
        <f t="shared" si="11"/>
        <v>251.89591318135879</v>
      </c>
      <c r="AG68" s="19">
        <f t="shared" si="11"/>
        <v>256.83515553988769</v>
      </c>
      <c r="AH68" s="19">
        <f t="shared" si="11"/>
        <v>261.87124788207916</v>
      </c>
      <c r="AI68" s="19">
        <f t="shared" si="11"/>
        <v>267.0060892682859</v>
      </c>
      <c r="AJ68" s="19">
        <f t="shared" si="11"/>
        <v>272.24161599614337</v>
      </c>
      <c r="AK68" s="19">
        <f t="shared" si="11"/>
        <v>277.57980233072823</v>
      </c>
      <c r="AL68" s="19">
        <f t="shared" si="11"/>
        <v>283.02266124903429</v>
      </c>
      <c r="AM68" s="19">
        <f t="shared" si="11"/>
        <v>288.57224519904594</v>
      </c>
      <c r="AN68" s="19">
        <f t="shared" si="11"/>
        <v>294.230646873696</v>
      </c>
      <c r="AO68" s="19">
        <f t="shared" si="11"/>
        <v>299.99999999999937</v>
      </c>
    </row>
    <row r="69" spans="1:41">
      <c r="A69" t="s">
        <v>65</v>
      </c>
      <c r="B69" t="s">
        <v>63</v>
      </c>
      <c r="C69" s="19">
        <f t="shared" ref="C69:AO69" si="12">C66*C63</f>
        <v>519</v>
      </c>
      <c r="D69" s="19">
        <f t="shared" si="12"/>
        <v>516.92399999999998</v>
      </c>
      <c r="E69" s="19">
        <f t="shared" si="12"/>
        <v>514.85630399999991</v>
      </c>
      <c r="F69" s="19">
        <f t="shared" si="12"/>
        <v>512.796878784</v>
      </c>
      <c r="G69" s="19">
        <f t="shared" si="12"/>
        <v>510.74569126886394</v>
      </c>
      <c r="H69" s="19">
        <f t="shared" si="12"/>
        <v>508.70270850378847</v>
      </c>
      <c r="I69" s="19">
        <f t="shared" si="12"/>
        <v>506.66789766977331</v>
      </c>
      <c r="J69" s="19">
        <f t="shared" si="12"/>
        <v>504.64122607909422</v>
      </c>
      <c r="K69" s="19">
        <f t="shared" si="12"/>
        <v>507.46569592791349</v>
      </c>
      <c r="L69" s="19">
        <f t="shared" si="12"/>
        <v>522.40179735412573</v>
      </c>
      <c r="M69" s="19">
        <f t="shared" si="12"/>
        <v>537.77750903893127</v>
      </c>
      <c r="N69" s="19">
        <f t="shared" si="12"/>
        <v>553.60576991290827</v>
      </c>
      <c r="O69" s="19">
        <f t="shared" si="12"/>
        <v>569.89989973470051</v>
      </c>
      <c r="P69" s="19">
        <f t="shared" si="12"/>
        <v>586.67361029982771</v>
      </c>
      <c r="Q69" s="19">
        <f t="shared" si="12"/>
        <v>603.94101697940175</v>
      </c>
      <c r="R69" s="19">
        <f t="shared" si="12"/>
        <v>621.71665059845816</v>
      </c>
      <c r="S69" s="19">
        <f t="shared" si="12"/>
        <v>640.01546966390026</v>
      </c>
      <c r="T69" s="19">
        <f t="shared" si="12"/>
        <v>658.852872952344</v>
      </c>
      <c r="U69" s="19">
        <f t="shared" si="12"/>
        <v>678.24471246845872</v>
      </c>
      <c r="V69" s="19">
        <f t="shared" si="12"/>
        <v>698.20730678470602</v>
      </c>
      <c r="W69" s="19">
        <f t="shared" si="12"/>
        <v>718.75745477370492</v>
      </c>
      <c r="X69" s="19">
        <f t="shared" si="12"/>
        <v>739.91244974477615</v>
      </c>
      <c r="Y69" s="19">
        <f t="shared" si="12"/>
        <v>761.69009399656625</v>
      </c>
      <c r="Z69" s="19">
        <f t="shared" si="12"/>
        <v>784.1087137979921</v>
      </c>
      <c r="AA69" s="19">
        <f t="shared" si="12"/>
        <v>807.18717481011788</v>
      </c>
      <c r="AB69" s="19">
        <f t="shared" si="12"/>
        <v>830.9448979619392</v>
      </c>
      <c r="AC69" s="19">
        <f t="shared" si="12"/>
        <v>855.40187579343399</v>
      </c>
      <c r="AD69" s="19">
        <f t="shared" si="12"/>
        <v>880.57868927963636</v>
      </c>
      <c r="AE69" s="19">
        <f t="shared" si="12"/>
        <v>906.49652514988611</v>
      </c>
      <c r="AF69" s="19">
        <f t="shared" si="12"/>
        <v>933.17719371683279</v>
      </c>
      <c r="AG69" s="19">
        <f t="shared" si="12"/>
        <v>960.6431472301964</v>
      </c>
      <c r="AH69" s="19">
        <f t="shared" si="12"/>
        <v>988.91749877072732</v>
      </c>
      <c r="AI69" s="19">
        <f t="shared" si="12"/>
        <v>1018.0240417002692</v>
      </c>
      <c r="AJ69" s="19">
        <f t="shared" si="12"/>
        <v>1047.9872696842899</v>
      </c>
      <c r="AK69" s="19">
        <f t="shared" si="12"/>
        <v>1078.8323973037286</v>
      </c>
      <c r="AL69" s="19">
        <f t="shared" si="12"/>
        <v>1110.5853812735086</v>
      </c>
      <c r="AM69" s="19">
        <f t="shared" si="12"/>
        <v>1143.2729422855657</v>
      </c>
      <c r="AN69" s="19">
        <f t="shared" si="12"/>
        <v>1176.9225874947799</v>
      </c>
      <c r="AO69" s="19">
        <f t="shared" si="12"/>
        <v>1211.5626336667269</v>
      </c>
    </row>
    <row r="70" spans="1:41"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</row>
    <row r="71" spans="1:41">
      <c r="A71" t="s">
        <v>91</v>
      </c>
      <c r="B71" t="s">
        <v>72</v>
      </c>
      <c r="C71" s="19"/>
      <c r="D71" s="1">
        <f t="shared" ref="D71:AO71" si="13">C74*(1/$C$24)</f>
        <v>14.033333333333333</v>
      </c>
      <c r="E71" s="1">
        <f t="shared" si="13"/>
        <v>13.652364449021016</v>
      </c>
      <c r="F71" s="1">
        <f t="shared" si="13"/>
        <v>13.2616723647087</v>
      </c>
      <c r="G71" s="1">
        <f t="shared" si="13"/>
        <v>12.871255973196389</v>
      </c>
      <c r="H71" s="1">
        <f t="shared" si="13"/>
        <v>12.481114171712871</v>
      </c>
      <c r="I71" s="1">
        <f t="shared" si="13"/>
        <v>12.091245861898042</v>
      </c>
      <c r="J71" s="1">
        <f t="shared" si="13"/>
        <v>11.701649949785219</v>
      </c>
      <c r="K71" s="1">
        <f t="shared" si="13"/>
        <v>11.312325345783602</v>
      </c>
      <c r="L71" s="1">
        <f t="shared" si="13"/>
        <v>11.084705456431928</v>
      </c>
      <c r="M71" s="1">
        <f t="shared" si="13"/>
        <v>11.018830326033395</v>
      </c>
      <c r="N71" s="1">
        <f t="shared" si="13"/>
        <v>10.65153598183228</v>
      </c>
      <c r="O71" s="1">
        <f t="shared" si="13"/>
        <v>10.29648478243787</v>
      </c>
      <c r="P71" s="1">
        <f t="shared" si="13"/>
        <v>9.9532686230232752</v>
      </c>
      <c r="Q71" s="1">
        <f t="shared" si="13"/>
        <v>9.621493002255832</v>
      </c>
      <c r="R71" s="1">
        <f t="shared" si="13"/>
        <v>9.3007765688473061</v>
      </c>
      <c r="S71" s="1">
        <f t="shared" si="13"/>
        <v>8.990750683219062</v>
      </c>
      <c r="T71" s="1">
        <f t="shared" si="13"/>
        <v>8.6910589937784266</v>
      </c>
      <c r="U71" s="1">
        <f t="shared" si="13"/>
        <v>8.4013570273191451</v>
      </c>
      <c r="V71" s="1">
        <f t="shared" si="13"/>
        <v>8.1213117930751739</v>
      </c>
      <c r="W71" s="1">
        <f t="shared" si="13"/>
        <v>7.8506013999726685</v>
      </c>
      <c r="X71" s="1">
        <f t="shared" si="13"/>
        <v>7.5889146866402468</v>
      </c>
      <c r="Y71" s="1">
        <f t="shared" si="13"/>
        <v>7.3359508637522381</v>
      </c>
      <c r="Z71" s="1">
        <f t="shared" si="13"/>
        <v>7.0914191682938306</v>
      </c>
      <c r="AA71" s="1">
        <f t="shared" si="13"/>
        <v>6.8550385293507032</v>
      </c>
      <c r="AB71" s="1">
        <f t="shared" si="13"/>
        <v>6.626537245039013</v>
      </c>
      <c r="AC71" s="1">
        <f t="shared" si="13"/>
        <v>6.405652670204379</v>
      </c>
      <c r="AD71" s="1">
        <f t="shared" si="13"/>
        <v>6.1921309145308996</v>
      </c>
      <c r="AE71" s="1">
        <f t="shared" si="13"/>
        <v>5.9857265507132027</v>
      </c>
      <c r="AF71" s="1">
        <f t="shared" si="13"/>
        <v>5.7862023323560967</v>
      </c>
      <c r="AG71" s="1">
        <f t="shared" si="13"/>
        <v>5.5933289212775605</v>
      </c>
      <c r="AH71" s="1">
        <f t="shared" si="13"/>
        <v>5.4068846239016422</v>
      </c>
      <c r="AI71" s="1">
        <f t="shared" si="13"/>
        <v>5.2266551364382536</v>
      </c>
      <c r="AJ71" s="1">
        <f t="shared" si="13"/>
        <v>5.052433298556978</v>
      </c>
      <c r="AK71" s="1">
        <f t="shared" si="13"/>
        <v>4.8840188552717452</v>
      </c>
      <c r="AL71" s="1">
        <f t="shared" si="13"/>
        <v>4.7212182267626872</v>
      </c>
      <c r="AM71" s="1">
        <f t="shared" si="13"/>
        <v>4.5638442858705979</v>
      </c>
      <c r="AN71" s="1">
        <f t="shared" si="13"/>
        <v>4.4117161430082446</v>
      </c>
      <c r="AO71" s="1">
        <f t="shared" si="13"/>
        <v>4.2646589382413023</v>
      </c>
    </row>
    <row r="72" spans="1:41">
      <c r="A72" t="s">
        <v>91</v>
      </c>
      <c r="B72" t="s">
        <v>70</v>
      </c>
      <c r="C72" s="1">
        <f t="shared" ref="C72:AO72" si="14">MAX(C69-C61,0)</f>
        <v>421.3</v>
      </c>
      <c r="D72" s="1">
        <f t="shared" si="14"/>
        <v>409.57093347063051</v>
      </c>
      <c r="E72" s="1">
        <f t="shared" si="14"/>
        <v>397.85017094126101</v>
      </c>
      <c r="F72" s="1">
        <f t="shared" si="14"/>
        <v>386.13767919589168</v>
      </c>
      <c r="G72" s="1">
        <f t="shared" si="14"/>
        <v>374.43342515138613</v>
      </c>
      <c r="H72" s="1">
        <f t="shared" si="14"/>
        <v>362.73737585694124</v>
      </c>
      <c r="I72" s="1">
        <f t="shared" si="14"/>
        <v>351.0494984935566</v>
      </c>
      <c r="J72" s="1">
        <f t="shared" si="14"/>
        <v>339.36976037350809</v>
      </c>
      <c r="K72" s="1">
        <f t="shared" si="14"/>
        <v>332.54116369295787</v>
      </c>
      <c r="L72" s="1">
        <f t="shared" si="14"/>
        <v>330.56490978100186</v>
      </c>
      <c r="M72" s="1">
        <f t="shared" si="14"/>
        <v>318.22042476591128</v>
      </c>
      <c r="N72" s="1">
        <f t="shared" si="14"/>
        <v>290.19511568715529</v>
      </c>
      <c r="O72" s="1">
        <f t="shared" si="14"/>
        <v>260.26960064980597</v>
      </c>
      <c r="P72" s="1">
        <f t="shared" si="14"/>
        <v>232.36432118442963</v>
      </c>
      <c r="Q72" s="1">
        <f t="shared" si="14"/>
        <v>206.44203750118362</v>
      </c>
      <c r="R72" s="1">
        <f t="shared" si="14"/>
        <v>182.46763710284728</v>
      </c>
      <c r="S72" s="1">
        <f t="shared" si="14"/>
        <v>160.40808995147643</v>
      </c>
      <c r="T72" s="1">
        <f t="shared" si="14"/>
        <v>140.23240589700094</v>
      </c>
      <c r="U72" s="1">
        <f t="shared" si="14"/>
        <v>121.91159431496044</v>
      </c>
      <c r="V72" s="1">
        <f t="shared" si="14"/>
        <v>105.41862590299104</v>
      </c>
      <c r="W72" s="1">
        <f t="shared" si="14"/>
        <v>90.728396588047076</v>
      </c>
      <c r="X72" s="1">
        <f t="shared" si="14"/>
        <v>77.81769349864021</v>
      </c>
      <c r="Y72" s="1">
        <f t="shared" si="14"/>
        <v>66.665162958634824</v>
      </c>
      <c r="Z72" s="1">
        <f t="shared" si="14"/>
        <v>57.251280461324995</v>
      </c>
      <c r="AA72" s="1">
        <f t="shared" si="14"/>
        <v>49.558322584672965</v>
      </c>
      <c r="AB72" s="1">
        <f t="shared" si="14"/>
        <v>43.570340810675816</v>
      </c>
      <c r="AC72" s="1">
        <f t="shared" si="14"/>
        <v>39.273137213879409</v>
      </c>
      <c r="AD72" s="1">
        <f t="shared" si="14"/>
        <v>36.65424198606695</v>
      </c>
      <c r="AE72" s="1">
        <f t="shared" si="14"/>
        <v>35.702892766102309</v>
      </c>
      <c r="AF72" s="1">
        <f t="shared" si="14"/>
        <v>36.410015745841747</v>
      </c>
      <c r="AG72" s="1">
        <f t="shared" si="14"/>
        <v>38.768208524905049</v>
      </c>
      <c r="AH72" s="1">
        <f t="shared" si="14"/>
        <v>42.77172468894571</v>
      </c>
      <c r="AI72" s="1">
        <f t="shared" si="14"/>
        <v>48.416460087880296</v>
      </c>
      <c r="AJ72" s="1">
        <f t="shared" si="14"/>
        <v>55.69994079231401</v>
      </c>
      <c r="AK72" s="1">
        <f t="shared" si="14"/>
        <v>64.621312708151891</v>
      </c>
      <c r="AL72" s="1">
        <f t="shared" si="14"/>
        <v>75.181332831117743</v>
      </c>
      <c r="AM72" s="1">
        <f t="shared" si="14"/>
        <v>87.382362124587871</v>
      </c>
      <c r="AN72" s="1">
        <f t="shared" si="14"/>
        <v>101.2283600058347</v>
      </c>
      <c r="AO72" s="1">
        <f t="shared" si="14"/>
        <v>116.72488042741315</v>
      </c>
    </row>
    <row r="73" spans="1:41">
      <c r="A73" t="s">
        <v>91</v>
      </c>
      <c r="B73" t="s">
        <v>74</v>
      </c>
      <c r="C73" s="1"/>
      <c r="D73" s="1">
        <f t="shared" ref="D73:AO73" si="15">MAX(-(C74-D71-D72),0)</f>
        <v>2.604266803963867</v>
      </c>
      <c r="E73" s="1">
        <f t="shared" si="15"/>
        <v>1.9316019196515413</v>
      </c>
      <c r="F73" s="1">
        <f t="shared" si="15"/>
        <v>1.5491806193393813</v>
      </c>
      <c r="G73" s="1">
        <f t="shared" si="15"/>
        <v>1.1670019286908655</v>
      </c>
      <c r="H73" s="1">
        <f t="shared" si="15"/>
        <v>0.78506487726798468</v>
      </c>
      <c r="I73" s="1">
        <f t="shared" si="15"/>
        <v>0.4033684985133732</v>
      </c>
      <c r="J73" s="1">
        <f t="shared" si="15"/>
        <v>2.1911829736723121E-2</v>
      </c>
      <c r="K73" s="1">
        <f t="shared" si="15"/>
        <v>4.4837286652334001</v>
      </c>
      <c r="L73" s="1">
        <f t="shared" si="15"/>
        <v>9.1084515444759404</v>
      </c>
      <c r="M73" s="1">
        <f t="shared" si="15"/>
        <v>0</v>
      </c>
      <c r="N73" s="1">
        <f t="shared" si="15"/>
        <v>0</v>
      </c>
      <c r="O73" s="1">
        <f t="shared" si="15"/>
        <v>0</v>
      </c>
      <c r="P73" s="1">
        <f t="shared" si="15"/>
        <v>0</v>
      </c>
      <c r="Q73" s="1">
        <f t="shared" si="15"/>
        <v>0</v>
      </c>
      <c r="R73" s="1">
        <f t="shared" si="15"/>
        <v>0</v>
      </c>
      <c r="S73" s="1">
        <f t="shared" si="15"/>
        <v>0</v>
      </c>
      <c r="T73" s="1">
        <f t="shared" si="15"/>
        <v>0</v>
      </c>
      <c r="U73" s="1">
        <f t="shared" si="15"/>
        <v>0</v>
      </c>
      <c r="V73" s="1">
        <f t="shared" si="15"/>
        <v>0</v>
      </c>
      <c r="W73" s="1">
        <f t="shared" si="15"/>
        <v>0</v>
      </c>
      <c r="X73" s="1">
        <f t="shared" si="15"/>
        <v>0</v>
      </c>
      <c r="Y73" s="1">
        <f t="shared" si="15"/>
        <v>0</v>
      </c>
      <c r="Z73" s="1">
        <f t="shared" si="15"/>
        <v>0</v>
      </c>
      <c r="AA73" s="1">
        <f t="shared" si="15"/>
        <v>0</v>
      </c>
      <c r="AB73" s="1">
        <f t="shared" si="15"/>
        <v>0</v>
      </c>
      <c r="AC73" s="1">
        <f t="shared" si="15"/>
        <v>0</v>
      </c>
      <c r="AD73" s="1">
        <f t="shared" si="15"/>
        <v>0</v>
      </c>
      <c r="AE73" s="1">
        <f t="shared" si="15"/>
        <v>0</v>
      </c>
      <c r="AF73" s="1">
        <f t="shared" si="15"/>
        <v>0</v>
      </c>
      <c r="AG73" s="1">
        <f t="shared" si="15"/>
        <v>0</v>
      </c>
      <c r="AH73" s="1">
        <f t="shared" si="15"/>
        <v>0</v>
      </c>
      <c r="AI73" s="1">
        <f t="shared" si="15"/>
        <v>0</v>
      </c>
      <c r="AJ73" s="1">
        <f t="shared" si="15"/>
        <v>0</v>
      </c>
      <c r="AK73" s="1">
        <f t="shared" si="15"/>
        <v>0</v>
      </c>
      <c r="AL73" s="1">
        <f t="shared" si="15"/>
        <v>0</v>
      </c>
      <c r="AM73" s="1">
        <f t="shared" si="15"/>
        <v>0</v>
      </c>
      <c r="AN73" s="1">
        <f t="shared" si="15"/>
        <v>0</v>
      </c>
      <c r="AO73" s="1">
        <f t="shared" si="15"/>
        <v>0</v>
      </c>
    </row>
    <row r="74" spans="1:41">
      <c r="A74" t="s">
        <v>91</v>
      </c>
      <c r="B74" t="s">
        <v>71</v>
      </c>
      <c r="C74" s="1">
        <f>C35</f>
        <v>421</v>
      </c>
      <c r="D74" s="19">
        <f t="shared" ref="D74:AO74" si="16">C74-D71+D73</f>
        <v>409.57093347063051</v>
      </c>
      <c r="E74" s="19">
        <f t="shared" si="16"/>
        <v>397.85017094126101</v>
      </c>
      <c r="F74" s="19">
        <f t="shared" si="16"/>
        <v>386.13767919589168</v>
      </c>
      <c r="G74" s="19">
        <f t="shared" si="16"/>
        <v>374.43342515138613</v>
      </c>
      <c r="H74" s="19">
        <f t="shared" si="16"/>
        <v>362.73737585694124</v>
      </c>
      <c r="I74" s="19">
        <f t="shared" si="16"/>
        <v>351.0494984935566</v>
      </c>
      <c r="J74" s="19">
        <f t="shared" si="16"/>
        <v>339.36976037350809</v>
      </c>
      <c r="K74" s="19">
        <f t="shared" si="16"/>
        <v>332.54116369295787</v>
      </c>
      <c r="L74" s="19">
        <f t="shared" si="16"/>
        <v>330.56490978100186</v>
      </c>
      <c r="M74" s="19">
        <f t="shared" si="16"/>
        <v>319.54607945496844</v>
      </c>
      <c r="N74" s="19">
        <f t="shared" si="16"/>
        <v>308.89454347313614</v>
      </c>
      <c r="O74" s="19">
        <f t="shared" si="16"/>
        <v>298.59805869069828</v>
      </c>
      <c r="P74" s="19">
        <f t="shared" si="16"/>
        <v>288.64479006767499</v>
      </c>
      <c r="Q74" s="19">
        <f t="shared" si="16"/>
        <v>279.02329706541917</v>
      </c>
      <c r="R74" s="19">
        <f t="shared" si="16"/>
        <v>269.72252049657186</v>
      </c>
      <c r="S74" s="19">
        <f t="shared" si="16"/>
        <v>260.7317698133528</v>
      </c>
      <c r="T74" s="19">
        <f t="shared" si="16"/>
        <v>252.04071081957437</v>
      </c>
      <c r="U74" s="19">
        <f t="shared" si="16"/>
        <v>243.63935379225524</v>
      </c>
      <c r="V74" s="19">
        <f t="shared" si="16"/>
        <v>235.51804199918007</v>
      </c>
      <c r="W74" s="19">
        <f t="shared" si="16"/>
        <v>227.6674405992074</v>
      </c>
      <c r="X74" s="19">
        <f t="shared" si="16"/>
        <v>220.07852591256716</v>
      </c>
      <c r="Y74" s="19">
        <f t="shared" si="16"/>
        <v>212.74257504881493</v>
      </c>
      <c r="Z74" s="19">
        <f t="shared" si="16"/>
        <v>205.65115588052109</v>
      </c>
      <c r="AA74" s="19">
        <f t="shared" si="16"/>
        <v>198.79611735117038</v>
      </c>
      <c r="AB74" s="19">
        <f t="shared" si="16"/>
        <v>192.16958010613138</v>
      </c>
      <c r="AC74" s="19">
        <f t="shared" si="16"/>
        <v>185.763927435927</v>
      </c>
      <c r="AD74" s="19">
        <f t="shared" si="16"/>
        <v>179.5717965213961</v>
      </c>
      <c r="AE74" s="19">
        <f t="shared" si="16"/>
        <v>173.5860699706829</v>
      </c>
      <c r="AF74" s="19">
        <f t="shared" si="16"/>
        <v>167.79986763832682</v>
      </c>
      <c r="AG74" s="19">
        <f t="shared" si="16"/>
        <v>162.20653871704926</v>
      </c>
      <c r="AH74" s="19">
        <f t="shared" si="16"/>
        <v>156.79965409314761</v>
      </c>
      <c r="AI74" s="19">
        <f t="shared" si="16"/>
        <v>151.57299895670934</v>
      </c>
      <c r="AJ74" s="19">
        <f t="shared" si="16"/>
        <v>146.52056565815235</v>
      </c>
      <c r="AK74" s="19">
        <f t="shared" si="16"/>
        <v>141.63654680288062</v>
      </c>
      <c r="AL74" s="19">
        <f t="shared" si="16"/>
        <v>136.91532857611793</v>
      </c>
      <c r="AM74" s="19">
        <f t="shared" si="16"/>
        <v>132.35148429024733</v>
      </c>
      <c r="AN74" s="19">
        <f t="shared" si="16"/>
        <v>127.93976814723908</v>
      </c>
      <c r="AO74" s="19">
        <f t="shared" si="16"/>
        <v>123.67510920899778</v>
      </c>
    </row>
    <row r="75" spans="1:41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>
      <c r="A76" t="s">
        <v>91</v>
      </c>
      <c r="B76" t="s">
        <v>81</v>
      </c>
      <c r="C76" s="20">
        <f t="shared" ref="C76:AO76" si="17">C68</f>
        <v>173</v>
      </c>
      <c r="D76" s="20">
        <f t="shared" si="17"/>
        <v>172.30799999999999</v>
      </c>
      <c r="E76" s="20">
        <f t="shared" si="17"/>
        <v>171.61876799999999</v>
      </c>
      <c r="F76" s="20">
        <f t="shared" si="17"/>
        <v>170.93229292799998</v>
      </c>
      <c r="G76" s="20">
        <f t="shared" si="17"/>
        <v>170.24856375628798</v>
      </c>
      <c r="H76" s="20">
        <f t="shared" si="17"/>
        <v>169.56756950126282</v>
      </c>
      <c r="I76" s="20">
        <f t="shared" si="17"/>
        <v>168.88929922325778</v>
      </c>
      <c r="J76" s="20">
        <f t="shared" si="17"/>
        <v>168.21374202636474</v>
      </c>
      <c r="K76" s="20">
        <f t="shared" si="17"/>
        <v>167.54088705825927</v>
      </c>
      <c r="L76" s="20">
        <f t="shared" si="17"/>
        <v>170.82607352949773</v>
      </c>
      <c r="M76" s="20">
        <f t="shared" si="17"/>
        <v>174.17567681468714</v>
      </c>
      <c r="N76" s="20">
        <f t="shared" si="17"/>
        <v>177.59096001592411</v>
      </c>
      <c r="O76" s="20">
        <f t="shared" si="17"/>
        <v>181.07321100254859</v>
      </c>
      <c r="P76" s="20">
        <f t="shared" si="17"/>
        <v>184.62374289678661</v>
      </c>
      <c r="Q76" s="20">
        <f t="shared" si="17"/>
        <v>188.24389456891561</v>
      </c>
      <c r="R76" s="20">
        <f t="shared" si="17"/>
        <v>191.93503114213905</v>
      </c>
      <c r="S76" s="20">
        <f t="shared" si="17"/>
        <v>195.69854450736094</v>
      </c>
      <c r="T76" s="20">
        <f t="shared" si="17"/>
        <v>199.53585384805388</v>
      </c>
      <c r="U76" s="20">
        <f t="shared" si="17"/>
        <v>203.44840617541919</v>
      </c>
      <c r="V76" s="20">
        <f t="shared" si="17"/>
        <v>207.43767687404036</v>
      </c>
      <c r="W76" s="20">
        <f t="shared" si="17"/>
        <v>211.50517025823598</v>
      </c>
      <c r="X76" s="20">
        <f t="shared" si="17"/>
        <v>215.65242013932158</v>
      </c>
      <c r="Y76" s="20">
        <f t="shared" si="17"/>
        <v>219.88099040399482</v>
      </c>
      <c r="Z76" s="20">
        <f t="shared" si="17"/>
        <v>224.19247560406143</v>
      </c>
      <c r="AA76" s="20">
        <f t="shared" si="17"/>
        <v>228.58850155772498</v>
      </c>
      <c r="AB76" s="20">
        <f t="shared" si="17"/>
        <v>233.07072596266667</v>
      </c>
      <c r="AC76" s="20">
        <f t="shared" si="17"/>
        <v>237.64083902114669</v>
      </c>
      <c r="AD76" s="20">
        <f t="shared" si="17"/>
        <v>242.30056407736271</v>
      </c>
      <c r="AE76" s="20">
        <f t="shared" si="17"/>
        <v>247.05165826730575</v>
      </c>
      <c r="AF76" s="20">
        <f t="shared" si="17"/>
        <v>251.89591318135879</v>
      </c>
      <c r="AG76" s="20">
        <f t="shared" si="17"/>
        <v>256.83515553988769</v>
      </c>
      <c r="AH76" s="20">
        <f t="shared" si="17"/>
        <v>261.87124788207916</v>
      </c>
      <c r="AI76" s="20">
        <f t="shared" si="17"/>
        <v>267.0060892682859</v>
      </c>
      <c r="AJ76" s="20">
        <f t="shared" si="17"/>
        <v>272.24161599614337</v>
      </c>
      <c r="AK76" s="20">
        <f t="shared" si="17"/>
        <v>277.57980233072823</v>
      </c>
      <c r="AL76" s="20">
        <f t="shared" si="17"/>
        <v>283.02266124903429</v>
      </c>
      <c r="AM76" s="20">
        <f t="shared" si="17"/>
        <v>288.57224519904594</v>
      </c>
      <c r="AN76" s="20">
        <f t="shared" si="17"/>
        <v>294.230646873696</v>
      </c>
      <c r="AO76" s="20">
        <f t="shared" si="17"/>
        <v>299.99999999999937</v>
      </c>
    </row>
    <row r="77" spans="1:41">
      <c r="A77" t="s">
        <v>91</v>
      </c>
      <c r="B77" t="s">
        <v>80</v>
      </c>
      <c r="C77" s="20">
        <f t="shared" ref="C77:AO77" si="18">C63-C68</f>
        <v>173</v>
      </c>
      <c r="D77" s="20">
        <f t="shared" si="18"/>
        <v>172.30799999999999</v>
      </c>
      <c r="E77" s="20">
        <f t="shared" si="18"/>
        <v>171.61876799999999</v>
      </c>
      <c r="F77" s="20">
        <f t="shared" si="18"/>
        <v>170.93229292799998</v>
      </c>
      <c r="G77" s="20">
        <f t="shared" si="18"/>
        <v>170.24856375628798</v>
      </c>
      <c r="H77" s="20">
        <f t="shared" si="18"/>
        <v>169.56756950126282</v>
      </c>
      <c r="I77" s="20">
        <f t="shared" si="18"/>
        <v>168.88929922325778</v>
      </c>
      <c r="J77" s="20">
        <f t="shared" si="18"/>
        <v>168.21374202636474</v>
      </c>
      <c r="K77" s="20">
        <f t="shared" si="18"/>
        <v>167.54088705825927</v>
      </c>
      <c r="L77" s="20">
        <f t="shared" si="18"/>
        <v>170.82607352949773</v>
      </c>
      <c r="M77" s="20">
        <f t="shared" si="18"/>
        <v>174.17567681468714</v>
      </c>
      <c r="N77" s="20">
        <f t="shared" si="18"/>
        <v>177.59096001592411</v>
      </c>
      <c r="O77" s="20">
        <f t="shared" si="18"/>
        <v>181.07321100254859</v>
      </c>
      <c r="P77" s="20">
        <f t="shared" si="18"/>
        <v>184.62374289678661</v>
      </c>
      <c r="Q77" s="20">
        <f t="shared" si="18"/>
        <v>188.24389456891561</v>
      </c>
      <c r="R77" s="20">
        <f t="shared" si="18"/>
        <v>191.93503114213905</v>
      </c>
      <c r="S77" s="20">
        <f t="shared" si="18"/>
        <v>195.69854450736094</v>
      </c>
      <c r="T77" s="20">
        <f t="shared" si="18"/>
        <v>199.53585384805388</v>
      </c>
      <c r="U77" s="20">
        <f t="shared" si="18"/>
        <v>203.44840617541919</v>
      </c>
      <c r="V77" s="20">
        <f t="shared" si="18"/>
        <v>207.43767687404036</v>
      </c>
      <c r="W77" s="20">
        <f t="shared" si="18"/>
        <v>211.50517025823598</v>
      </c>
      <c r="X77" s="20">
        <f t="shared" si="18"/>
        <v>215.65242013932158</v>
      </c>
      <c r="Y77" s="20">
        <f t="shared" si="18"/>
        <v>219.88099040399482</v>
      </c>
      <c r="Z77" s="20">
        <f t="shared" si="18"/>
        <v>224.19247560406143</v>
      </c>
      <c r="AA77" s="20">
        <f t="shared" si="18"/>
        <v>228.58850155772498</v>
      </c>
      <c r="AB77" s="20">
        <f t="shared" si="18"/>
        <v>233.07072596266667</v>
      </c>
      <c r="AC77" s="20">
        <f t="shared" si="18"/>
        <v>237.64083902114669</v>
      </c>
      <c r="AD77" s="20">
        <f t="shared" si="18"/>
        <v>242.30056407736271</v>
      </c>
      <c r="AE77" s="20">
        <f t="shared" si="18"/>
        <v>247.05165826730575</v>
      </c>
      <c r="AF77" s="20">
        <f t="shared" si="18"/>
        <v>251.89591318135879</v>
      </c>
      <c r="AG77" s="20">
        <f t="shared" si="18"/>
        <v>256.83515553988769</v>
      </c>
      <c r="AH77" s="20">
        <f t="shared" si="18"/>
        <v>261.87124788207916</v>
      </c>
      <c r="AI77" s="20">
        <f t="shared" si="18"/>
        <v>267.0060892682859</v>
      </c>
      <c r="AJ77" s="20">
        <f t="shared" si="18"/>
        <v>272.24161599614337</v>
      </c>
      <c r="AK77" s="20">
        <f t="shared" si="18"/>
        <v>277.57980233072823</v>
      </c>
      <c r="AL77" s="20">
        <f t="shared" si="18"/>
        <v>283.02266124903429</v>
      </c>
      <c r="AM77" s="20">
        <f t="shared" si="18"/>
        <v>288.57224519904594</v>
      </c>
      <c r="AN77" s="20">
        <f t="shared" si="18"/>
        <v>294.230646873696</v>
      </c>
      <c r="AO77" s="20">
        <f t="shared" si="18"/>
        <v>299.99999999999937</v>
      </c>
    </row>
    <row r="78" spans="1:41">
      <c r="A78" t="s">
        <v>91</v>
      </c>
      <c r="B78" t="s">
        <v>82</v>
      </c>
      <c r="C78" s="20">
        <f t="shared" ref="C78:AO78" si="19">C69-C63</f>
        <v>173</v>
      </c>
      <c r="D78" s="20">
        <f t="shared" si="19"/>
        <v>172.30799999999999</v>
      </c>
      <c r="E78" s="20">
        <f t="shared" si="19"/>
        <v>171.61876799999993</v>
      </c>
      <c r="F78" s="20">
        <f t="shared" si="19"/>
        <v>170.93229292800004</v>
      </c>
      <c r="G78" s="20">
        <f t="shared" si="19"/>
        <v>170.24856375628798</v>
      </c>
      <c r="H78" s="20">
        <f t="shared" si="19"/>
        <v>169.56756950126282</v>
      </c>
      <c r="I78" s="20">
        <f t="shared" si="19"/>
        <v>168.88929922325775</v>
      </c>
      <c r="J78" s="20">
        <f t="shared" si="19"/>
        <v>168.21374202636474</v>
      </c>
      <c r="K78" s="20">
        <f t="shared" si="19"/>
        <v>172.38392181139494</v>
      </c>
      <c r="L78" s="20">
        <f t="shared" si="19"/>
        <v>180.74965029513027</v>
      </c>
      <c r="M78" s="20">
        <f t="shared" si="19"/>
        <v>189.426155409557</v>
      </c>
      <c r="N78" s="20">
        <f t="shared" si="19"/>
        <v>198.42384988106005</v>
      </c>
      <c r="O78" s="20">
        <f t="shared" si="19"/>
        <v>207.75347772960333</v>
      </c>
      <c r="P78" s="20">
        <f t="shared" si="19"/>
        <v>217.4261245062545</v>
      </c>
      <c r="Q78" s="20">
        <f t="shared" si="19"/>
        <v>227.45322784157054</v>
      </c>
      <c r="R78" s="20">
        <f t="shared" si="19"/>
        <v>237.84658831418005</v>
      </c>
      <c r="S78" s="20">
        <f t="shared" si="19"/>
        <v>248.61838064917839</v>
      </c>
      <c r="T78" s="20">
        <f t="shared" si="19"/>
        <v>259.78116525623625</v>
      </c>
      <c r="U78" s="20">
        <f t="shared" si="19"/>
        <v>271.34790011762033</v>
      </c>
      <c r="V78" s="20">
        <f t="shared" si="19"/>
        <v>283.33195303662529</v>
      </c>
      <c r="W78" s="20">
        <f t="shared" si="19"/>
        <v>295.74711425723297</v>
      </c>
      <c r="X78" s="20">
        <f t="shared" si="19"/>
        <v>308.607609466133</v>
      </c>
      <c r="Y78" s="20">
        <f t="shared" si="19"/>
        <v>321.92811318857662</v>
      </c>
      <c r="Z78" s="20">
        <f t="shared" si="19"/>
        <v>335.72376258986924</v>
      </c>
      <c r="AA78" s="20">
        <f t="shared" si="19"/>
        <v>350.01017169466792</v>
      </c>
      <c r="AB78" s="20">
        <f t="shared" si="19"/>
        <v>364.80344603660586</v>
      </c>
      <c r="AC78" s="20">
        <f t="shared" si="19"/>
        <v>380.12019775114061</v>
      </c>
      <c r="AD78" s="20">
        <f t="shared" si="19"/>
        <v>395.97756112491095</v>
      </c>
      <c r="AE78" s="20">
        <f t="shared" si="19"/>
        <v>412.3932086152746</v>
      </c>
      <c r="AF78" s="20">
        <f t="shared" si="19"/>
        <v>429.3853673541152</v>
      </c>
      <c r="AG78" s="20">
        <f t="shared" si="19"/>
        <v>446.97283615042102</v>
      </c>
      <c r="AH78" s="20">
        <f t="shared" si="19"/>
        <v>465.175003006569</v>
      </c>
      <c r="AI78" s="20">
        <f t="shared" si="19"/>
        <v>484.0118631636974</v>
      </c>
      <c r="AJ78" s="20">
        <f t="shared" si="19"/>
        <v>503.50403769200318</v>
      </c>
      <c r="AK78" s="20">
        <f t="shared" si="19"/>
        <v>523.67279264227216</v>
      </c>
      <c r="AL78" s="20">
        <f t="shared" si="19"/>
        <v>544.54005877544</v>
      </c>
      <c r="AM78" s="20">
        <f t="shared" si="19"/>
        <v>566.12845188747383</v>
      </c>
      <c r="AN78" s="20">
        <f t="shared" si="19"/>
        <v>588.46129374738791</v>
      </c>
      <c r="AO78" s="20">
        <f t="shared" si="19"/>
        <v>611.56263366672817</v>
      </c>
    </row>
    <row r="79" spans="1:41">
      <c r="A79" t="s">
        <v>91</v>
      </c>
      <c r="B79" t="s">
        <v>83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0</v>
      </c>
      <c r="AO79" s="20">
        <v>0</v>
      </c>
    </row>
    <row r="80" spans="1:41"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</row>
    <row r="81" spans="1:42">
      <c r="A81" t="s">
        <v>98</v>
      </c>
      <c r="B81" t="s">
        <v>92</v>
      </c>
      <c r="C81" s="8">
        <f>C63/SUM(C76:C78)</f>
        <v>0.66666666666666663</v>
      </c>
      <c r="D81" s="8">
        <f t="shared" ref="D81:AO81" si="20">D63/SUM(D76:D78)</f>
        <v>0.66666666666666663</v>
      </c>
      <c r="E81" s="8">
        <f t="shared" si="20"/>
        <v>0.66666666666666674</v>
      </c>
      <c r="F81" s="8">
        <f t="shared" si="20"/>
        <v>0.66666666666666663</v>
      </c>
      <c r="G81" s="8">
        <f t="shared" si="20"/>
        <v>0.66666666666666663</v>
      </c>
      <c r="H81" s="8">
        <f t="shared" si="20"/>
        <v>0.66666666666666663</v>
      </c>
      <c r="I81" s="8">
        <f t="shared" si="20"/>
        <v>0.66666666666666674</v>
      </c>
      <c r="J81" s="8">
        <f t="shared" si="20"/>
        <v>0.66666666666666663</v>
      </c>
      <c r="K81" s="8">
        <f t="shared" si="20"/>
        <v>0.6603042861918248</v>
      </c>
      <c r="L81" s="8">
        <f t="shared" si="20"/>
        <v>0.65400262554494293</v>
      </c>
      <c r="M81" s="8">
        <f t="shared" si="20"/>
        <v>0.64776110524204933</v>
      </c>
      <c r="N81" s="8">
        <f t="shared" si="20"/>
        <v>0.64157915132951826</v>
      </c>
      <c r="O81" s="8">
        <f t="shared" si="20"/>
        <v>0.63545619533129127</v>
      </c>
      <c r="P81" s="8">
        <f t="shared" si="20"/>
        <v>0.62939167419660169</v>
      </c>
      <c r="Q81" s="8">
        <f t="shared" si="20"/>
        <v>0.62338503024819703</v>
      </c>
      <c r="R81" s="8">
        <f t="shared" si="20"/>
        <v>0.61743571113105733</v>
      </c>
      <c r="S81" s="8">
        <f t="shared" si="20"/>
        <v>0.61154316976160183</v>
      </c>
      <c r="T81" s="8">
        <f t="shared" si="20"/>
        <v>0.60570686427738063</v>
      </c>
      <c r="U81" s="8">
        <f t="shared" si="20"/>
        <v>0.59992625798724653</v>
      </c>
      <c r="V81" s="8">
        <f t="shared" si="20"/>
        <v>0.59420081932200197</v>
      </c>
      <c r="W81" s="8">
        <f t="shared" si="20"/>
        <v>0.58853002178551794</v>
      </c>
      <c r="X81" s="8">
        <f t="shared" si="20"/>
        <v>0.58291334390631833</v>
      </c>
      <c r="Y81" s="8">
        <f t="shared" si="20"/>
        <v>0.57735026918962673</v>
      </c>
      <c r="Z81" s="8">
        <f t="shared" si="20"/>
        <v>0.57184028606987158</v>
      </c>
      <c r="AA81" s="8">
        <f t="shared" si="20"/>
        <v>0.56638288786364321</v>
      </c>
      <c r="AB81" s="8">
        <f t="shared" si="20"/>
        <v>0.56097757272310078</v>
      </c>
      <c r="AC81" s="8">
        <f t="shared" si="20"/>
        <v>0.55562384358982442</v>
      </c>
      <c r="AD81" s="8">
        <f t="shared" si="20"/>
        <v>0.55032120814910568</v>
      </c>
      <c r="AE81" s="8">
        <f t="shared" si="20"/>
        <v>0.54506917878467676</v>
      </c>
      <c r="AF81" s="8">
        <f t="shared" si="20"/>
        <v>0.53986727253387023</v>
      </c>
      <c r="AG81" s="8">
        <f t="shared" si="20"/>
        <v>0.53471501104320673</v>
      </c>
      <c r="AH81" s="8">
        <f t="shared" si="20"/>
        <v>0.52961192052440753</v>
      </c>
      <c r="AI81" s="8">
        <f t="shared" si="20"/>
        <v>0.52455753171082564</v>
      </c>
      <c r="AJ81" s="8">
        <f t="shared" si="20"/>
        <v>0.51955137981429333</v>
      </c>
      <c r="AK81" s="8">
        <f t="shared" si="20"/>
        <v>0.51459300448238188</v>
      </c>
      <c r="AL81" s="8">
        <f t="shared" si="20"/>
        <v>0.50968194975606851</v>
      </c>
      <c r="AM81" s="8">
        <f t="shared" si="20"/>
        <v>0.50481776402780754</v>
      </c>
      <c r="AN81" s="8">
        <f t="shared" si="20"/>
        <v>0.50000000000000178</v>
      </c>
      <c r="AO81" s="8">
        <f t="shared" si="20"/>
        <v>0.4952282146438704</v>
      </c>
    </row>
    <row r="82" spans="1:42">
      <c r="A82" t="s">
        <v>98</v>
      </c>
      <c r="B82" t="s">
        <v>94</v>
      </c>
      <c r="C82" s="8">
        <v>1</v>
      </c>
      <c r="D82" s="8">
        <v>1</v>
      </c>
      <c r="E82" s="8">
        <v>1</v>
      </c>
      <c r="F82" s="8">
        <v>1</v>
      </c>
      <c r="G82" s="8">
        <v>1</v>
      </c>
      <c r="H82" s="8">
        <v>1</v>
      </c>
      <c r="I82" s="8">
        <v>1</v>
      </c>
      <c r="J82" s="8">
        <v>1</v>
      </c>
      <c r="K82" s="8">
        <v>1</v>
      </c>
      <c r="L82" s="8">
        <v>1</v>
      </c>
      <c r="M82" s="8">
        <v>1</v>
      </c>
      <c r="N82" s="8">
        <v>1</v>
      </c>
      <c r="O82" s="8">
        <v>1</v>
      </c>
      <c r="P82" s="8">
        <v>1</v>
      </c>
      <c r="Q82" s="8">
        <v>1</v>
      </c>
      <c r="R82" s="8">
        <v>1</v>
      </c>
      <c r="S82" s="8">
        <v>1</v>
      </c>
      <c r="T82" s="8">
        <v>1</v>
      </c>
      <c r="U82" s="8">
        <v>1</v>
      </c>
      <c r="V82" s="8">
        <v>1</v>
      </c>
      <c r="W82" s="8">
        <v>1</v>
      </c>
      <c r="X82" s="8">
        <v>1</v>
      </c>
      <c r="Y82" s="8">
        <v>1</v>
      </c>
      <c r="Z82" s="8">
        <v>1</v>
      </c>
      <c r="AA82" s="8">
        <v>1</v>
      </c>
      <c r="AB82" s="8">
        <v>1</v>
      </c>
      <c r="AC82" s="8">
        <v>1</v>
      </c>
      <c r="AD82" s="8">
        <v>1</v>
      </c>
      <c r="AE82" s="8">
        <v>1</v>
      </c>
      <c r="AF82" s="8">
        <v>1</v>
      </c>
      <c r="AG82" s="8">
        <v>1</v>
      </c>
      <c r="AH82" s="8">
        <v>1</v>
      </c>
      <c r="AI82" s="8">
        <v>1</v>
      </c>
      <c r="AJ82" s="8">
        <v>1</v>
      </c>
      <c r="AK82" s="8">
        <v>1</v>
      </c>
      <c r="AL82" s="8">
        <v>1</v>
      </c>
      <c r="AM82" s="8">
        <v>1</v>
      </c>
      <c r="AN82" s="8">
        <v>1</v>
      </c>
      <c r="AO82" s="8">
        <v>1</v>
      </c>
    </row>
    <row r="83" spans="1:42">
      <c r="A83" t="s">
        <v>98</v>
      </c>
      <c r="B83" t="s">
        <v>93</v>
      </c>
      <c r="C83" s="8">
        <f>2*(C63-C76-(C77/2))/(C78+C77)</f>
        <v>0.5</v>
      </c>
      <c r="D83" s="8">
        <f t="shared" ref="D83:AO83" si="21">2*(D63-D76-(D77/2))/(D78+D77)</f>
        <v>0.5</v>
      </c>
      <c r="E83" s="8">
        <f t="shared" si="21"/>
        <v>0.50000000000000011</v>
      </c>
      <c r="F83" s="8">
        <f t="shared" si="21"/>
        <v>0.49999999999999994</v>
      </c>
      <c r="G83" s="8">
        <f t="shared" si="21"/>
        <v>0.5</v>
      </c>
      <c r="H83" s="8">
        <f t="shared" si="21"/>
        <v>0.5</v>
      </c>
      <c r="I83" s="8">
        <f t="shared" si="21"/>
        <v>0.50000000000000011</v>
      </c>
      <c r="J83" s="8">
        <f t="shared" si="21"/>
        <v>0.5</v>
      </c>
      <c r="K83" s="8">
        <f t="shared" si="21"/>
        <v>0.49287631466317489</v>
      </c>
      <c r="L83" s="8">
        <f t="shared" si="21"/>
        <v>0.485886999452524</v>
      </c>
      <c r="M83" s="8">
        <f t="shared" si="21"/>
        <v>0.47902860045894313</v>
      </c>
      <c r="N83" s="8">
        <f t="shared" si="21"/>
        <v>0.47229778014482532</v>
      </c>
      <c r="O83" s="8">
        <f t="shared" si="21"/>
        <v>0.46569131247902357</v>
      </c>
      <c r="P83" s="8">
        <f t="shared" si="21"/>
        <v>0.45920607831393134</v>
      </c>
      <c r="Q83" s="8">
        <f t="shared" si="21"/>
        <v>0.45283906099073606</v>
      </c>
      <c r="R83" s="8">
        <f t="shared" si="21"/>
        <v>0.4465873421598161</v>
      </c>
      <c r="S83" s="8">
        <f t="shared" si="21"/>
        <v>0.44044809780409216</v>
      </c>
      <c r="T83" s="8">
        <f t="shared" si="21"/>
        <v>0.43441859445392833</v>
      </c>
      <c r="U83" s="8">
        <f t="shared" si="21"/>
        <v>0.4284961855829032</v>
      </c>
      <c r="V83" s="8">
        <f t="shared" si="21"/>
        <v>0.42267830817444846</v>
      </c>
      <c r="W83" s="8">
        <f t="shared" si="21"/>
        <v>0.41696247944997872</v>
      </c>
      <c r="X83" s="8">
        <f t="shared" si="21"/>
        <v>0.41134629374971882</v>
      </c>
      <c r="Y83" s="8">
        <f t="shared" si="21"/>
        <v>0.40582741955797869</v>
      </c>
      <c r="Z83" s="8">
        <f t="shared" si="21"/>
        <v>0.40040359666513348</v>
      </c>
      <c r="AA83" s="8">
        <f t="shared" si="21"/>
        <v>0.39507263345903221</v>
      </c>
      <c r="AB83" s="8">
        <f t="shared" si="21"/>
        <v>0.38983240433900235</v>
      </c>
      <c r="AC83" s="8">
        <f t="shared" si="21"/>
        <v>0.38468084724602564</v>
      </c>
      <c r="AD83" s="8">
        <f t="shared" si="21"/>
        <v>0.37961596130303915</v>
      </c>
      <c r="AE83" s="8">
        <f t="shared" si="21"/>
        <v>0.37463580455967882</v>
      </c>
      <c r="AF83" s="8">
        <f t="shared" si="21"/>
        <v>0.36973849183610835</v>
      </c>
      <c r="AG83" s="8">
        <f t="shared" si="21"/>
        <v>0.36492219266089398</v>
      </c>
      <c r="AH83" s="8">
        <f t="shared" si="21"/>
        <v>0.36018512929817231</v>
      </c>
      <c r="AI83" s="8">
        <f t="shared" si="21"/>
        <v>0.35552557485963371</v>
      </c>
      <c r="AJ83" s="8">
        <f t="shared" si="21"/>
        <v>0.35094185149709622</v>
      </c>
      <c r="AK83" s="8">
        <f t="shared" si="21"/>
        <v>0.34643232867168655</v>
      </c>
      <c r="AL83" s="8">
        <f t="shared" si="21"/>
        <v>0.34199542149586459</v>
      </c>
      <c r="AM83" s="8">
        <f t="shared" si="21"/>
        <v>0.33762958914474162</v>
      </c>
      <c r="AN83" s="8">
        <f t="shared" si="21"/>
        <v>0.33333333333333492</v>
      </c>
      <c r="AO83" s="8">
        <f t="shared" si="21"/>
        <v>0.32910519685658929</v>
      </c>
      <c r="AP83" s="4"/>
    </row>
    <row r="84" spans="1:42">
      <c r="A84" t="s">
        <v>98</v>
      </c>
      <c r="B84" t="s">
        <v>95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  <c r="AH84" s="8">
        <v>0</v>
      </c>
      <c r="AI84" s="8">
        <v>0</v>
      </c>
      <c r="AJ84" s="8">
        <v>0</v>
      </c>
      <c r="AK84" s="8">
        <v>0</v>
      </c>
      <c r="AL84" s="8">
        <v>0</v>
      </c>
      <c r="AM84" s="8">
        <v>0</v>
      </c>
      <c r="AN84" s="8">
        <v>0</v>
      </c>
      <c r="AO84" s="8">
        <v>0</v>
      </c>
      <c r="AP84" s="4"/>
    </row>
    <row r="85" spans="1:42">
      <c r="A85" t="s">
        <v>0</v>
      </c>
      <c r="B85" t="s">
        <v>96</v>
      </c>
      <c r="C85" s="1">
        <f t="shared" ref="C85:AN85" si="22">(C76*C82)+(C77*AVERAGE(C82:C83))+(C78*AVERAGE(C83:C84))</f>
        <v>346</v>
      </c>
      <c r="D85" s="1">
        <f t="shared" si="22"/>
        <v>344.61599999999999</v>
      </c>
      <c r="E85" s="1">
        <f t="shared" si="22"/>
        <v>343.23753599999998</v>
      </c>
      <c r="F85" s="1">
        <f t="shared" si="22"/>
        <v>341.86458585599996</v>
      </c>
      <c r="G85" s="1">
        <f t="shared" si="22"/>
        <v>340.49712751257596</v>
      </c>
      <c r="H85" s="1">
        <f t="shared" si="22"/>
        <v>339.13513900252565</v>
      </c>
      <c r="I85" s="1">
        <f t="shared" si="22"/>
        <v>337.7785984465155</v>
      </c>
      <c r="J85" s="1">
        <f t="shared" si="22"/>
        <v>336.42748405272948</v>
      </c>
      <c r="K85" s="1">
        <f t="shared" si="22"/>
        <v>335.08177411651855</v>
      </c>
      <c r="L85" s="1">
        <f t="shared" si="22"/>
        <v>341.65214705899547</v>
      </c>
      <c r="M85" s="1">
        <f t="shared" si="22"/>
        <v>348.35135362937427</v>
      </c>
      <c r="N85" s="1">
        <f t="shared" si="22"/>
        <v>355.18192003184822</v>
      </c>
      <c r="O85" s="1">
        <f t="shared" si="22"/>
        <v>362.14642200509718</v>
      </c>
      <c r="P85" s="1">
        <f t="shared" si="22"/>
        <v>369.24748579357328</v>
      </c>
      <c r="Q85" s="1">
        <f t="shared" si="22"/>
        <v>376.48778913783121</v>
      </c>
      <c r="R85" s="1">
        <f t="shared" si="22"/>
        <v>383.87006228427811</v>
      </c>
      <c r="S85" s="1">
        <f t="shared" si="22"/>
        <v>391.39708901472187</v>
      </c>
      <c r="T85" s="1">
        <f t="shared" si="22"/>
        <v>399.07170769610769</v>
      </c>
      <c r="U85" s="1">
        <f t="shared" si="22"/>
        <v>406.89681235083839</v>
      </c>
      <c r="V85" s="1">
        <f t="shared" si="22"/>
        <v>414.87535374808078</v>
      </c>
      <c r="W85" s="1">
        <f t="shared" si="22"/>
        <v>423.01034051647196</v>
      </c>
      <c r="X85" s="1">
        <f t="shared" si="22"/>
        <v>431.30484027864316</v>
      </c>
      <c r="Y85" s="1">
        <f t="shared" si="22"/>
        <v>439.76198080798963</v>
      </c>
      <c r="Z85" s="1">
        <f t="shared" si="22"/>
        <v>448.38495120812286</v>
      </c>
      <c r="AA85" s="1">
        <f t="shared" si="22"/>
        <v>457.17700311545002</v>
      </c>
      <c r="AB85" s="1">
        <f t="shared" si="22"/>
        <v>466.14145192533334</v>
      </c>
      <c r="AC85" s="1">
        <f t="shared" si="22"/>
        <v>475.28167804229338</v>
      </c>
      <c r="AD85" s="1">
        <f t="shared" si="22"/>
        <v>484.60112815472542</v>
      </c>
      <c r="AE85" s="1">
        <f t="shared" si="22"/>
        <v>494.10331653461157</v>
      </c>
      <c r="AF85" s="1">
        <f t="shared" si="22"/>
        <v>503.79182636271759</v>
      </c>
      <c r="AG85" s="1">
        <f t="shared" si="22"/>
        <v>513.67031107977539</v>
      </c>
      <c r="AH85" s="1">
        <f t="shared" si="22"/>
        <v>523.74249576415832</v>
      </c>
      <c r="AI85" s="1">
        <f t="shared" si="22"/>
        <v>534.01217853657181</v>
      </c>
      <c r="AJ85" s="1">
        <f t="shared" si="22"/>
        <v>544.48323199228673</v>
      </c>
      <c r="AK85" s="1">
        <f t="shared" si="22"/>
        <v>555.15960466145646</v>
      </c>
      <c r="AL85" s="1">
        <f t="shared" si="22"/>
        <v>566.04532249806857</v>
      </c>
      <c r="AM85" s="1">
        <f t="shared" si="22"/>
        <v>577.14449039809188</v>
      </c>
      <c r="AN85" s="1">
        <f t="shared" si="22"/>
        <v>588.46129374739201</v>
      </c>
      <c r="AO85" s="1">
        <f>(AO76*AO82)+(AO77*AVERAGE(AO82:AO83))+(AO78*AVERAGE(AO83:AO84))</f>
        <v>599.99999999999875</v>
      </c>
      <c r="AP85" s="4"/>
    </row>
    <row r="86" spans="1:42">
      <c r="A86" t="s">
        <v>0</v>
      </c>
      <c r="B86" t="s">
        <v>97</v>
      </c>
      <c r="C86" s="21">
        <f t="shared" ref="C86:AN86" si="23">C85-C63</f>
        <v>0</v>
      </c>
      <c r="D86" s="21">
        <f t="shared" si="23"/>
        <v>0</v>
      </c>
      <c r="E86" s="21">
        <f t="shared" si="23"/>
        <v>0</v>
      </c>
      <c r="F86" s="21">
        <f t="shared" si="23"/>
        <v>0</v>
      </c>
      <c r="G86" s="21">
        <f t="shared" si="23"/>
        <v>0</v>
      </c>
      <c r="H86" s="21">
        <f t="shared" si="23"/>
        <v>0</v>
      </c>
      <c r="I86" s="21">
        <f t="shared" si="23"/>
        <v>0</v>
      </c>
      <c r="J86" s="21">
        <f t="shared" si="23"/>
        <v>0</v>
      </c>
      <c r="K86" s="21">
        <f t="shared" si="23"/>
        <v>0</v>
      </c>
      <c r="L86" s="21">
        <f t="shared" si="23"/>
        <v>0</v>
      </c>
      <c r="M86" s="21">
        <f t="shared" si="23"/>
        <v>0</v>
      </c>
      <c r="N86" s="21">
        <f t="shared" si="23"/>
        <v>0</v>
      </c>
      <c r="O86" s="21">
        <f t="shared" si="23"/>
        <v>0</v>
      </c>
      <c r="P86" s="21">
        <f t="shared" si="23"/>
        <v>0</v>
      </c>
      <c r="Q86" s="21">
        <f t="shared" si="23"/>
        <v>0</v>
      </c>
      <c r="R86" s="21">
        <f t="shared" si="23"/>
        <v>0</v>
      </c>
      <c r="S86" s="21">
        <f t="shared" si="23"/>
        <v>0</v>
      </c>
      <c r="T86" s="21">
        <f t="shared" si="23"/>
        <v>0</v>
      </c>
      <c r="U86" s="21">
        <f t="shared" si="23"/>
        <v>0</v>
      </c>
      <c r="V86" s="21">
        <f t="shared" si="23"/>
        <v>0</v>
      </c>
      <c r="W86" s="21">
        <f t="shared" si="23"/>
        <v>0</v>
      </c>
      <c r="X86" s="21">
        <f t="shared" si="23"/>
        <v>0</v>
      </c>
      <c r="Y86" s="21">
        <f t="shared" si="23"/>
        <v>0</v>
      </c>
      <c r="Z86" s="21">
        <f t="shared" si="23"/>
        <v>0</v>
      </c>
      <c r="AA86" s="21">
        <f t="shared" si="23"/>
        <v>0</v>
      </c>
      <c r="AB86" s="21">
        <f t="shared" si="23"/>
        <v>0</v>
      </c>
      <c r="AC86" s="21">
        <f t="shared" si="23"/>
        <v>0</v>
      </c>
      <c r="AD86" s="21">
        <f t="shared" si="23"/>
        <v>0</v>
      </c>
      <c r="AE86" s="21">
        <f t="shared" si="23"/>
        <v>0</v>
      </c>
      <c r="AF86" s="21">
        <f t="shared" si="23"/>
        <v>0</v>
      </c>
      <c r="AG86" s="21">
        <f t="shared" si="23"/>
        <v>0</v>
      </c>
      <c r="AH86" s="21">
        <f t="shared" si="23"/>
        <v>0</v>
      </c>
      <c r="AI86" s="21">
        <f t="shared" si="23"/>
        <v>0</v>
      </c>
      <c r="AJ86" s="21">
        <f t="shared" si="23"/>
        <v>0</v>
      </c>
      <c r="AK86" s="21">
        <f t="shared" si="23"/>
        <v>0</v>
      </c>
      <c r="AL86" s="21">
        <f t="shared" si="23"/>
        <v>0</v>
      </c>
      <c r="AM86" s="21">
        <f t="shared" si="23"/>
        <v>0</v>
      </c>
      <c r="AN86" s="21">
        <f t="shared" si="23"/>
        <v>0</v>
      </c>
      <c r="AO86" s="21">
        <f>AO85-AO63</f>
        <v>0</v>
      </c>
      <c r="AP86" s="4"/>
    </row>
    <row r="87" spans="1:42"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</row>
    <row r="88" spans="1:42">
      <c r="A88" t="s">
        <v>91</v>
      </c>
      <c r="B88" t="s">
        <v>84</v>
      </c>
      <c r="C88" s="20">
        <f t="shared" ref="C88:AN88" si="24">MIN(C61,C76)</f>
        <v>97.7</v>
      </c>
      <c r="D88" s="20">
        <f t="shared" si="24"/>
        <v>107.35306652936944</v>
      </c>
      <c r="E88" s="20">
        <f t="shared" si="24"/>
        <v>117.00613305873888</v>
      </c>
      <c r="F88" s="20">
        <f t="shared" si="24"/>
        <v>126.65919958810832</v>
      </c>
      <c r="G88" s="20">
        <f t="shared" si="24"/>
        <v>136.31226611747778</v>
      </c>
      <c r="H88" s="20">
        <f t="shared" si="24"/>
        <v>145.96533264684723</v>
      </c>
      <c r="I88" s="20">
        <f t="shared" si="24"/>
        <v>155.61839917621668</v>
      </c>
      <c r="J88" s="20">
        <f t="shared" si="24"/>
        <v>165.27146570558614</v>
      </c>
      <c r="K88" s="20">
        <f t="shared" si="24"/>
        <v>167.54088705825927</v>
      </c>
      <c r="L88" s="20">
        <f t="shared" si="24"/>
        <v>170.82607352949773</v>
      </c>
      <c r="M88" s="20">
        <f t="shared" si="24"/>
        <v>174.17567681468714</v>
      </c>
      <c r="N88" s="20">
        <f t="shared" si="24"/>
        <v>177.59096001592411</v>
      </c>
      <c r="O88" s="20">
        <f t="shared" si="24"/>
        <v>181.07321100254859</v>
      </c>
      <c r="P88" s="20">
        <f t="shared" si="24"/>
        <v>184.62374289678661</v>
      </c>
      <c r="Q88" s="20">
        <f t="shared" si="24"/>
        <v>188.24389456891561</v>
      </c>
      <c r="R88" s="20">
        <f t="shared" si="24"/>
        <v>191.93503114213905</v>
      </c>
      <c r="S88" s="20">
        <f t="shared" si="24"/>
        <v>195.69854450736094</v>
      </c>
      <c r="T88" s="20">
        <f t="shared" si="24"/>
        <v>199.53585384805388</v>
      </c>
      <c r="U88" s="20">
        <f t="shared" si="24"/>
        <v>203.44840617541919</v>
      </c>
      <c r="V88" s="20">
        <f t="shared" si="24"/>
        <v>207.43767687404036</v>
      </c>
      <c r="W88" s="20">
        <f t="shared" si="24"/>
        <v>211.50517025823598</v>
      </c>
      <c r="X88" s="20">
        <f t="shared" si="24"/>
        <v>215.65242013932158</v>
      </c>
      <c r="Y88" s="20">
        <f t="shared" si="24"/>
        <v>219.88099040399482</v>
      </c>
      <c r="Z88" s="20">
        <f t="shared" si="24"/>
        <v>224.19247560406143</v>
      </c>
      <c r="AA88" s="20">
        <f t="shared" si="24"/>
        <v>228.58850155772498</v>
      </c>
      <c r="AB88" s="20">
        <f t="shared" si="24"/>
        <v>233.07072596266667</v>
      </c>
      <c r="AC88" s="20">
        <f t="shared" si="24"/>
        <v>237.64083902114669</v>
      </c>
      <c r="AD88" s="20">
        <f t="shared" si="24"/>
        <v>242.30056407736271</v>
      </c>
      <c r="AE88" s="20">
        <f t="shared" si="24"/>
        <v>247.05165826730575</v>
      </c>
      <c r="AF88" s="20">
        <f t="shared" si="24"/>
        <v>251.89591318135879</v>
      </c>
      <c r="AG88" s="20">
        <f t="shared" si="24"/>
        <v>256.83515553988769</v>
      </c>
      <c r="AH88" s="20">
        <f t="shared" si="24"/>
        <v>261.87124788207916</v>
      </c>
      <c r="AI88" s="20">
        <f t="shared" si="24"/>
        <v>267.0060892682859</v>
      </c>
      <c r="AJ88" s="20">
        <f t="shared" si="24"/>
        <v>272.24161599614337</v>
      </c>
      <c r="AK88" s="20">
        <f t="shared" si="24"/>
        <v>277.57980233072823</v>
      </c>
      <c r="AL88" s="20">
        <f t="shared" si="24"/>
        <v>283.02266124903429</v>
      </c>
      <c r="AM88" s="20">
        <f t="shared" si="24"/>
        <v>288.57224519904594</v>
      </c>
      <c r="AN88" s="20">
        <f t="shared" si="24"/>
        <v>294.230646873696</v>
      </c>
      <c r="AO88" s="20">
        <f>MIN(AO61,AO76)</f>
        <v>299.99999999999937</v>
      </c>
    </row>
    <row r="89" spans="1:42">
      <c r="A89" t="s">
        <v>91</v>
      </c>
      <c r="B89" t="s">
        <v>75</v>
      </c>
      <c r="C89" s="20">
        <f t="shared" ref="C89:AO89" si="25">MIN(C77,C61-C88)</f>
        <v>0</v>
      </c>
      <c r="D89" s="20">
        <f t="shared" si="25"/>
        <v>0</v>
      </c>
      <c r="E89" s="20">
        <f t="shared" si="25"/>
        <v>0</v>
      </c>
      <c r="F89" s="20">
        <f t="shared" si="25"/>
        <v>0</v>
      </c>
      <c r="G89" s="20">
        <f t="shared" si="25"/>
        <v>0</v>
      </c>
      <c r="H89" s="20">
        <f t="shared" si="25"/>
        <v>0</v>
      </c>
      <c r="I89" s="20">
        <f t="shared" si="25"/>
        <v>0</v>
      </c>
      <c r="J89" s="20">
        <f t="shared" si="25"/>
        <v>0</v>
      </c>
      <c r="K89" s="20">
        <f t="shared" si="25"/>
        <v>7.3836451766963194</v>
      </c>
      <c r="L89" s="20">
        <f t="shared" si="25"/>
        <v>21.010814043626141</v>
      </c>
      <c r="M89" s="20">
        <f t="shared" si="25"/>
        <v>45.381407458332831</v>
      </c>
      <c r="N89" s="20">
        <f t="shared" si="25"/>
        <v>85.819694209828867</v>
      </c>
      <c r="O89" s="20">
        <f t="shared" si="25"/>
        <v>128.55708808234596</v>
      </c>
      <c r="P89" s="20">
        <f t="shared" si="25"/>
        <v>169.68554621861148</v>
      </c>
      <c r="Q89" s="20">
        <f t="shared" si="25"/>
        <v>188.24389456891561</v>
      </c>
      <c r="R89" s="20">
        <f t="shared" si="25"/>
        <v>191.93503114213905</v>
      </c>
      <c r="S89" s="20">
        <f t="shared" si="25"/>
        <v>195.69854450736094</v>
      </c>
      <c r="T89" s="20">
        <f t="shared" si="25"/>
        <v>199.53585384805388</v>
      </c>
      <c r="U89" s="20">
        <f t="shared" si="25"/>
        <v>203.44840617541919</v>
      </c>
      <c r="V89" s="20">
        <f t="shared" si="25"/>
        <v>207.43767687404036</v>
      </c>
      <c r="W89" s="20">
        <f t="shared" si="25"/>
        <v>211.50517025823598</v>
      </c>
      <c r="X89" s="20">
        <f t="shared" si="25"/>
        <v>215.65242013932158</v>
      </c>
      <c r="Y89" s="20">
        <f t="shared" si="25"/>
        <v>219.88099040399482</v>
      </c>
      <c r="Z89" s="20">
        <f t="shared" si="25"/>
        <v>224.19247560406143</v>
      </c>
      <c r="AA89" s="20">
        <f t="shared" si="25"/>
        <v>228.58850155772498</v>
      </c>
      <c r="AB89" s="20">
        <f t="shared" si="25"/>
        <v>233.07072596266667</v>
      </c>
      <c r="AC89" s="20">
        <f t="shared" si="25"/>
        <v>237.64083902114669</v>
      </c>
      <c r="AD89" s="20">
        <f t="shared" si="25"/>
        <v>242.30056407736271</v>
      </c>
      <c r="AE89" s="20">
        <f t="shared" si="25"/>
        <v>247.05165826730575</v>
      </c>
      <c r="AF89" s="20">
        <f t="shared" si="25"/>
        <v>251.89591318135879</v>
      </c>
      <c r="AG89" s="20">
        <f t="shared" si="25"/>
        <v>256.83515553988769</v>
      </c>
      <c r="AH89" s="20">
        <f t="shared" si="25"/>
        <v>261.87124788207916</v>
      </c>
      <c r="AI89" s="20">
        <f t="shared" si="25"/>
        <v>267.0060892682859</v>
      </c>
      <c r="AJ89" s="20">
        <f t="shared" si="25"/>
        <v>272.24161599614337</v>
      </c>
      <c r="AK89" s="20">
        <f t="shared" si="25"/>
        <v>277.57980233072823</v>
      </c>
      <c r="AL89" s="20">
        <f t="shared" si="25"/>
        <v>283.02266124903429</v>
      </c>
      <c r="AM89" s="20">
        <f t="shared" si="25"/>
        <v>288.57224519904594</v>
      </c>
      <c r="AN89" s="20">
        <f t="shared" si="25"/>
        <v>294.230646873696</v>
      </c>
      <c r="AO89" s="20">
        <f t="shared" si="25"/>
        <v>299.99999999999937</v>
      </c>
    </row>
    <row r="90" spans="1:42">
      <c r="A90" t="s">
        <v>91</v>
      </c>
      <c r="B90" t="s">
        <v>76</v>
      </c>
      <c r="C90" s="20">
        <f t="shared" ref="C90:AO90" si="26">MIN(C78,C61-C88-C89)</f>
        <v>0</v>
      </c>
      <c r="D90" s="20">
        <f t="shared" si="26"/>
        <v>0</v>
      </c>
      <c r="E90" s="20">
        <f t="shared" si="26"/>
        <v>0</v>
      </c>
      <c r="F90" s="20">
        <f t="shared" si="26"/>
        <v>0</v>
      </c>
      <c r="G90" s="20">
        <f t="shared" si="26"/>
        <v>0</v>
      </c>
      <c r="H90" s="20">
        <f t="shared" si="26"/>
        <v>0</v>
      </c>
      <c r="I90" s="20">
        <f t="shared" si="26"/>
        <v>0</v>
      </c>
      <c r="J90" s="20">
        <f t="shared" si="26"/>
        <v>0</v>
      </c>
      <c r="K90" s="20">
        <f t="shared" si="26"/>
        <v>0</v>
      </c>
      <c r="L90" s="20">
        <f t="shared" si="26"/>
        <v>0</v>
      </c>
      <c r="M90" s="20">
        <f t="shared" si="26"/>
        <v>0</v>
      </c>
      <c r="N90" s="20">
        <f t="shared" si="26"/>
        <v>0</v>
      </c>
      <c r="O90" s="20">
        <f t="shared" si="26"/>
        <v>0</v>
      </c>
      <c r="P90" s="20">
        <f t="shared" si="26"/>
        <v>0</v>
      </c>
      <c r="Q90" s="20">
        <f t="shared" si="26"/>
        <v>21.011190340386918</v>
      </c>
      <c r="R90" s="20">
        <f t="shared" si="26"/>
        <v>55.378951211332776</v>
      </c>
      <c r="S90" s="20">
        <f t="shared" si="26"/>
        <v>88.210290697701993</v>
      </c>
      <c r="T90" s="20">
        <f t="shared" si="26"/>
        <v>119.54875935923531</v>
      </c>
      <c r="U90" s="20">
        <f t="shared" si="26"/>
        <v>149.43630580265986</v>
      </c>
      <c r="V90" s="20">
        <f t="shared" si="26"/>
        <v>177.91332713363428</v>
      </c>
      <c r="W90" s="20">
        <f t="shared" si="26"/>
        <v>205.01871766918589</v>
      </c>
      <c r="X90" s="20">
        <f t="shared" si="26"/>
        <v>230.78991596749279</v>
      </c>
      <c r="Y90" s="20">
        <f t="shared" si="26"/>
        <v>255.26295022994179</v>
      </c>
      <c r="Z90" s="20">
        <f t="shared" si="26"/>
        <v>278.47248212854424</v>
      </c>
      <c r="AA90" s="20">
        <f t="shared" si="26"/>
        <v>300.45184910999501</v>
      </c>
      <c r="AB90" s="20">
        <f t="shared" si="26"/>
        <v>321.2331052259301</v>
      </c>
      <c r="AC90" s="20">
        <f t="shared" si="26"/>
        <v>340.8470605372612</v>
      </c>
      <c r="AD90" s="20">
        <f t="shared" si="26"/>
        <v>359.32331913884394</v>
      </c>
      <c r="AE90" s="20">
        <f t="shared" si="26"/>
        <v>376.69031584917235</v>
      </c>
      <c r="AF90" s="20">
        <f t="shared" si="26"/>
        <v>392.97535160827351</v>
      </c>
      <c r="AG90" s="20">
        <f t="shared" si="26"/>
        <v>408.20462762551591</v>
      </c>
      <c r="AH90" s="20">
        <f t="shared" si="26"/>
        <v>422.40327831762329</v>
      </c>
      <c r="AI90" s="20">
        <f t="shared" si="26"/>
        <v>435.5954030758171</v>
      </c>
      <c r="AJ90" s="20">
        <f t="shared" si="26"/>
        <v>447.80409689968923</v>
      </c>
      <c r="AK90" s="20">
        <f t="shared" si="26"/>
        <v>459.05147993412032</v>
      </c>
      <c r="AL90" s="20">
        <f t="shared" si="26"/>
        <v>469.35872594432226</v>
      </c>
      <c r="AM90" s="20">
        <f t="shared" si="26"/>
        <v>478.74608976288596</v>
      </c>
      <c r="AN90" s="20">
        <f t="shared" si="26"/>
        <v>487.23293374155315</v>
      </c>
      <c r="AO90" s="20">
        <f t="shared" si="26"/>
        <v>494.83775323931508</v>
      </c>
    </row>
    <row r="91" spans="1:42">
      <c r="A91" t="s">
        <v>91</v>
      </c>
      <c r="B91" t="s">
        <v>79</v>
      </c>
      <c r="C91" s="20">
        <f t="shared" ref="C91:AO91" si="27">C61-SUM(C88:C90)</f>
        <v>0</v>
      </c>
      <c r="D91" s="20">
        <f t="shared" si="27"/>
        <v>0</v>
      </c>
      <c r="E91" s="20">
        <f t="shared" si="27"/>
        <v>0</v>
      </c>
      <c r="F91" s="20">
        <f t="shared" si="27"/>
        <v>0</v>
      </c>
      <c r="G91" s="20">
        <f t="shared" si="27"/>
        <v>0</v>
      </c>
      <c r="H91" s="20">
        <f t="shared" si="27"/>
        <v>0</v>
      </c>
      <c r="I91" s="20">
        <f t="shared" si="27"/>
        <v>0</v>
      </c>
      <c r="J91" s="20">
        <f t="shared" si="27"/>
        <v>0</v>
      </c>
      <c r="K91" s="20">
        <f t="shared" si="27"/>
        <v>0</v>
      </c>
      <c r="L91" s="20">
        <f t="shared" si="27"/>
        <v>0</v>
      </c>
      <c r="M91" s="20">
        <f t="shared" si="27"/>
        <v>0</v>
      </c>
      <c r="N91" s="20">
        <f t="shared" si="27"/>
        <v>0</v>
      </c>
      <c r="O91" s="20">
        <f t="shared" si="27"/>
        <v>0</v>
      </c>
      <c r="P91" s="20">
        <f t="shared" si="27"/>
        <v>0</v>
      </c>
      <c r="Q91" s="20">
        <f t="shared" si="27"/>
        <v>0</v>
      </c>
      <c r="R91" s="20">
        <f t="shared" si="27"/>
        <v>0</v>
      </c>
      <c r="S91" s="20">
        <f t="shared" si="27"/>
        <v>0</v>
      </c>
      <c r="T91" s="20">
        <f t="shared" si="27"/>
        <v>0</v>
      </c>
      <c r="U91" s="20">
        <f t="shared" si="27"/>
        <v>0</v>
      </c>
      <c r="V91" s="20">
        <f t="shared" si="27"/>
        <v>0</v>
      </c>
      <c r="W91" s="20">
        <f t="shared" si="27"/>
        <v>0</v>
      </c>
      <c r="X91" s="20">
        <f t="shared" si="27"/>
        <v>0</v>
      </c>
      <c r="Y91" s="20">
        <f t="shared" si="27"/>
        <v>0</v>
      </c>
      <c r="Z91" s="20">
        <f t="shared" si="27"/>
        <v>0</v>
      </c>
      <c r="AA91" s="20">
        <f t="shared" si="27"/>
        <v>0</v>
      </c>
      <c r="AB91" s="20">
        <f t="shared" si="27"/>
        <v>0</v>
      </c>
      <c r="AC91" s="20">
        <f t="shared" si="27"/>
        <v>0</v>
      </c>
      <c r="AD91" s="20">
        <f t="shared" si="27"/>
        <v>0</v>
      </c>
      <c r="AE91" s="20">
        <f t="shared" si="27"/>
        <v>0</v>
      </c>
      <c r="AF91" s="20">
        <f t="shared" si="27"/>
        <v>0</v>
      </c>
      <c r="AG91" s="20">
        <f t="shared" si="27"/>
        <v>0</v>
      </c>
      <c r="AH91" s="20">
        <f t="shared" si="27"/>
        <v>0</v>
      </c>
      <c r="AI91" s="20">
        <f t="shared" si="27"/>
        <v>0</v>
      </c>
      <c r="AJ91" s="20">
        <f t="shared" si="27"/>
        <v>0</v>
      </c>
      <c r="AK91" s="20">
        <f t="shared" si="27"/>
        <v>0</v>
      </c>
      <c r="AL91" s="20">
        <f t="shared" si="27"/>
        <v>0</v>
      </c>
      <c r="AM91" s="20">
        <f t="shared" si="27"/>
        <v>0</v>
      </c>
      <c r="AN91" s="20">
        <f t="shared" si="27"/>
        <v>0</v>
      </c>
      <c r="AO91" s="20">
        <f t="shared" si="27"/>
        <v>0</v>
      </c>
    </row>
    <row r="92" spans="1:42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</row>
    <row r="93" spans="1:42">
      <c r="A93" t="s">
        <v>98</v>
      </c>
      <c r="B93" t="str">
        <f>"Load factor of "&amp;B88</f>
        <v>Load factor of Low carbon operating as baseload plant</v>
      </c>
      <c r="C93" s="4">
        <f>IF(C88&gt;0,C82,0%)</f>
        <v>1</v>
      </c>
      <c r="D93" s="4">
        <v>1</v>
      </c>
      <c r="E93" s="4">
        <v>1</v>
      </c>
      <c r="F93" s="4">
        <v>1</v>
      </c>
      <c r="G93" s="4">
        <v>1</v>
      </c>
      <c r="H93" s="4">
        <v>1</v>
      </c>
      <c r="I93" s="4">
        <v>1</v>
      </c>
      <c r="J93" s="4">
        <v>1</v>
      </c>
      <c r="K93" s="4">
        <v>1</v>
      </c>
      <c r="L93" s="4">
        <v>1</v>
      </c>
      <c r="M93" s="4">
        <v>1</v>
      </c>
      <c r="N93" s="4">
        <v>1</v>
      </c>
      <c r="O93" s="4">
        <v>1</v>
      </c>
      <c r="P93" s="4">
        <v>1</v>
      </c>
      <c r="Q93" s="4">
        <v>1</v>
      </c>
      <c r="R93" s="4">
        <v>1</v>
      </c>
      <c r="S93" s="4">
        <v>1</v>
      </c>
      <c r="T93" s="4">
        <v>1</v>
      </c>
      <c r="U93" s="4">
        <v>1</v>
      </c>
      <c r="V93" s="4">
        <v>1</v>
      </c>
      <c r="W93" s="4">
        <v>1</v>
      </c>
      <c r="X93" s="4">
        <v>1</v>
      </c>
      <c r="Y93" s="4">
        <v>1</v>
      </c>
      <c r="Z93" s="4">
        <v>1</v>
      </c>
      <c r="AA93" s="4">
        <v>1</v>
      </c>
      <c r="AB93" s="4">
        <v>1</v>
      </c>
      <c r="AC93" s="4">
        <v>1</v>
      </c>
      <c r="AD93" s="4">
        <v>1</v>
      </c>
      <c r="AE93" s="4">
        <v>1</v>
      </c>
      <c r="AF93" s="4">
        <v>1</v>
      </c>
      <c r="AG93" s="4">
        <v>1</v>
      </c>
      <c r="AH93" s="4">
        <v>1</v>
      </c>
      <c r="AI93" s="4">
        <v>1</v>
      </c>
      <c r="AJ93" s="4">
        <v>1</v>
      </c>
      <c r="AK93" s="4">
        <v>1</v>
      </c>
      <c r="AL93" s="4">
        <v>1</v>
      </c>
      <c r="AM93" s="4">
        <v>1</v>
      </c>
      <c r="AN93" s="4">
        <v>1</v>
      </c>
      <c r="AO93" s="4">
        <v>1</v>
      </c>
    </row>
    <row r="94" spans="1:42">
      <c r="A94" t="s">
        <v>98</v>
      </c>
      <c r="B94" t="str">
        <f>"Load factor of "&amp;B89</f>
        <v>Load factor of Low carbon operating as mid-merit plant</v>
      </c>
      <c r="C94" s="8">
        <f>IF(C89&gt;0,AVERAGE(C82,C82+((C89/C77)*(C83-C82))),0)</f>
        <v>0</v>
      </c>
      <c r="D94" s="8">
        <f t="shared" ref="D94:AO94" si="28">IF(D89&gt;0,AVERAGE(D82,D82+((D89/D77)*(D83-D82))),0)</f>
        <v>0</v>
      </c>
      <c r="E94" s="8">
        <f t="shared" si="28"/>
        <v>0</v>
      </c>
      <c r="F94" s="8">
        <f t="shared" si="28"/>
        <v>0</v>
      </c>
      <c r="G94" s="8">
        <f t="shared" si="28"/>
        <v>0</v>
      </c>
      <c r="H94" s="8">
        <f t="shared" si="28"/>
        <v>0</v>
      </c>
      <c r="I94" s="8">
        <f t="shared" si="28"/>
        <v>0</v>
      </c>
      <c r="J94" s="8">
        <f t="shared" si="28"/>
        <v>0</v>
      </c>
      <c r="K94" s="8">
        <f t="shared" si="28"/>
        <v>0.98882535057868104</v>
      </c>
      <c r="L94" s="8">
        <f t="shared" si="28"/>
        <v>0.9683832437615314</v>
      </c>
      <c r="M94" s="8">
        <f t="shared" si="28"/>
        <v>0.9321305483375133</v>
      </c>
      <c r="N94" s="8">
        <f t="shared" si="28"/>
        <v>0.87249564071910479</v>
      </c>
      <c r="O94" s="8">
        <f t="shared" si="28"/>
        <v>0.81032763315875034</v>
      </c>
      <c r="P94" s="8">
        <f t="shared" si="28"/>
        <v>0.75148128146143567</v>
      </c>
      <c r="Q94" s="8">
        <f t="shared" si="28"/>
        <v>0.726419530495368</v>
      </c>
      <c r="R94" s="8">
        <f t="shared" si="28"/>
        <v>0.72329367107990805</v>
      </c>
      <c r="S94" s="8">
        <f t="shared" si="28"/>
        <v>0.72022404890204605</v>
      </c>
      <c r="T94" s="8">
        <f t="shared" si="28"/>
        <v>0.71720929722696414</v>
      </c>
      <c r="U94" s="8">
        <f t="shared" si="28"/>
        <v>0.71424809279145163</v>
      </c>
      <c r="V94" s="8">
        <f t="shared" si="28"/>
        <v>0.71133915408722426</v>
      </c>
      <c r="W94" s="8">
        <f t="shared" si="28"/>
        <v>0.70848123972498933</v>
      </c>
      <c r="X94" s="8">
        <f t="shared" si="28"/>
        <v>0.70567314687485938</v>
      </c>
      <c r="Y94" s="8">
        <f t="shared" si="28"/>
        <v>0.70291370977898937</v>
      </c>
      <c r="Z94" s="8">
        <f t="shared" si="28"/>
        <v>0.70020179833256679</v>
      </c>
      <c r="AA94" s="8">
        <f t="shared" si="28"/>
        <v>0.6975363167295161</v>
      </c>
      <c r="AB94" s="8">
        <f t="shared" si="28"/>
        <v>0.69491620216950123</v>
      </c>
      <c r="AC94" s="8">
        <f t="shared" si="28"/>
        <v>0.69234042362301285</v>
      </c>
      <c r="AD94" s="8">
        <f t="shared" si="28"/>
        <v>0.6898079806515196</v>
      </c>
      <c r="AE94" s="8">
        <f t="shared" si="28"/>
        <v>0.68731790227983947</v>
      </c>
      <c r="AF94" s="8">
        <f t="shared" si="28"/>
        <v>0.6848692459180542</v>
      </c>
      <c r="AG94" s="8">
        <f t="shared" si="28"/>
        <v>0.68246109633044694</v>
      </c>
      <c r="AH94" s="8">
        <f t="shared" si="28"/>
        <v>0.68009256464908618</v>
      </c>
      <c r="AI94" s="8">
        <f t="shared" si="28"/>
        <v>0.67776278742981688</v>
      </c>
      <c r="AJ94" s="8">
        <f t="shared" si="28"/>
        <v>0.67547092574854806</v>
      </c>
      <c r="AK94" s="8">
        <f t="shared" si="28"/>
        <v>0.6732161643358433</v>
      </c>
      <c r="AL94" s="8">
        <f t="shared" si="28"/>
        <v>0.67099771074793235</v>
      </c>
      <c r="AM94" s="8">
        <f t="shared" si="28"/>
        <v>0.66881479457237081</v>
      </c>
      <c r="AN94" s="8">
        <f t="shared" si="28"/>
        <v>0.66666666666666741</v>
      </c>
      <c r="AO94" s="8">
        <f t="shared" si="28"/>
        <v>0.66455259842829462</v>
      </c>
    </row>
    <row r="95" spans="1:42">
      <c r="A95" t="s">
        <v>98</v>
      </c>
      <c r="B95" t="str">
        <f>"Load factor of "&amp;B90</f>
        <v>Load factor of Low carbon operating as low-merit plant</v>
      </c>
      <c r="C95" s="8">
        <f>IF(C90&gt;0,AVERAGE(C83,C83+((C90/C78)*(C84-C83))),0)</f>
        <v>0</v>
      </c>
      <c r="D95" s="8">
        <f t="shared" ref="D95:AO95" si="29">IF(D90&gt;0,AVERAGE(D83,D83+((D90/D78)*(D84-D83))),0)</f>
        <v>0</v>
      </c>
      <c r="E95" s="8">
        <f t="shared" si="29"/>
        <v>0</v>
      </c>
      <c r="F95" s="8">
        <f t="shared" si="29"/>
        <v>0</v>
      </c>
      <c r="G95" s="8">
        <f t="shared" si="29"/>
        <v>0</v>
      </c>
      <c r="H95" s="8">
        <f t="shared" si="29"/>
        <v>0</v>
      </c>
      <c r="I95" s="8">
        <f t="shared" si="29"/>
        <v>0</v>
      </c>
      <c r="J95" s="8">
        <f t="shared" si="29"/>
        <v>0</v>
      </c>
      <c r="K95" s="8">
        <f t="shared" si="29"/>
        <v>0</v>
      </c>
      <c r="L95" s="8">
        <f t="shared" si="29"/>
        <v>0</v>
      </c>
      <c r="M95" s="8">
        <f t="shared" si="29"/>
        <v>0</v>
      </c>
      <c r="N95" s="8">
        <f t="shared" si="29"/>
        <v>0</v>
      </c>
      <c r="O95" s="8">
        <f t="shared" si="29"/>
        <v>0</v>
      </c>
      <c r="P95" s="8">
        <f t="shared" si="29"/>
        <v>0</v>
      </c>
      <c r="Q95" s="8">
        <f t="shared" si="29"/>
        <v>0.43192335934444914</v>
      </c>
      <c r="R95" s="8">
        <f t="shared" si="29"/>
        <v>0.39459681581180212</v>
      </c>
      <c r="S95" s="8">
        <f t="shared" si="29"/>
        <v>0.36231217188602338</v>
      </c>
      <c r="T95" s="8">
        <f t="shared" si="29"/>
        <v>0.33446099368190085</v>
      </c>
      <c r="U95" s="8">
        <f t="shared" si="29"/>
        <v>0.31050579944709034</v>
      </c>
      <c r="V95" s="8">
        <f t="shared" si="29"/>
        <v>0.28997159559125651</v>
      </c>
      <c r="W95" s="8">
        <f t="shared" si="29"/>
        <v>0.27243847780807895</v>
      </c>
      <c r="X95" s="8">
        <f t="shared" si="29"/>
        <v>0.25753515355737783</v>
      </c>
      <c r="Y95" s="8">
        <f t="shared" si="29"/>
        <v>0.24493326313509389</v>
      </c>
      <c r="Z95" s="8">
        <f t="shared" si="29"/>
        <v>0.23434239421049843</v>
      </c>
      <c r="AA95" s="8">
        <f t="shared" si="29"/>
        <v>0.22550569961707809</v>
      </c>
      <c r="AB95" s="8">
        <f t="shared" si="29"/>
        <v>0.21819604080675892</v>
      </c>
      <c r="AC95" s="8">
        <f t="shared" si="29"/>
        <v>0.21221259009407115</v>
      </c>
      <c r="AD95" s="8">
        <f t="shared" si="29"/>
        <v>0.20737783393796086</v>
      </c>
      <c r="AE95" s="8">
        <f t="shared" si="29"/>
        <v>0.20353492729032505</v>
      </c>
      <c r="AF95" s="8">
        <f t="shared" si="29"/>
        <v>0.20054535569393084</v>
      </c>
      <c r="AG95" s="8">
        <f t="shared" si="29"/>
        <v>0.19828686751409233</v>
      </c>
      <c r="AH95" s="8">
        <f t="shared" si="29"/>
        <v>0.19665164358477885</v>
      </c>
      <c r="AI95" s="8">
        <f t="shared" si="29"/>
        <v>0.19554467576298615</v>
      </c>
      <c r="AJ95" s="8">
        <f t="shared" si="29"/>
        <v>0.19488232951755879</v>
      </c>
      <c r="AK95" s="8">
        <f t="shared" si="29"/>
        <v>0.1945910688161292</v>
      </c>
      <c r="AL95" s="8">
        <f t="shared" si="29"/>
        <v>0.19460632428870589</v>
      </c>
      <c r="AM95" s="8">
        <f t="shared" si="29"/>
        <v>0.1948714879996831</v>
      </c>
      <c r="AN95" s="8">
        <f t="shared" si="29"/>
        <v>0.19533702020320498</v>
      </c>
      <c r="AO95" s="8">
        <f t="shared" si="29"/>
        <v>0.19595965523358322</v>
      </c>
    </row>
    <row r="96" spans="1:42">
      <c r="A96" t="s">
        <v>98</v>
      </c>
      <c r="B96" t="str">
        <f>"Load factor of "&amp;B91</f>
        <v>Load factor of Low carbon operating as reserve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</row>
    <row r="97" spans="1:41">
      <c r="A97" t="s">
        <v>98</v>
      </c>
      <c r="B97" t="s">
        <v>23</v>
      </c>
      <c r="C97" s="8">
        <f>SUMPRODUCT(C88:C91,C93:C96)/C61</f>
        <v>1</v>
      </c>
      <c r="D97" s="8">
        <f t="shared" ref="D97:AN97" si="30">SUMPRODUCT(D88:D91,D93:D96)/D61</f>
        <v>1</v>
      </c>
      <c r="E97" s="8">
        <f t="shared" si="30"/>
        <v>1</v>
      </c>
      <c r="F97" s="8">
        <f t="shared" si="30"/>
        <v>1</v>
      </c>
      <c r="G97" s="8">
        <f t="shared" si="30"/>
        <v>1</v>
      </c>
      <c r="H97" s="8">
        <f t="shared" si="30"/>
        <v>1</v>
      </c>
      <c r="I97" s="8">
        <f t="shared" si="30"/>
        <v>1</v>
      </c>
      <c r="J97" s="8">
        <f t="shared" si="30"/>
        <v>1</v>
      </c>
      <c r="K97" s="8">
        <f t="shared" si="30"/>
        <v>0.99952831289444199</v>
      </c>
      <c r="L97" s="8">
        <f t="shared" si="30"/>
        <v>0.99653719472624414</v>
      </c>
      <c r="M97" s="8">
        <f t="shared" si="30"/>
        <v>0.9859717064012431</v>
      </c>
      <c r="N97" s="8">
        <f t="shared" si="30"/>
        <v>0.95845883623777595</v>
      </c>
      <c r="O97" s="8">
        <f t="shared" si="30"/>
        <v>0.92124889830593737</v>
      </c>
      <c r="P97" s="8">
        <f t="shared" si="30"/>
        <v>0.88097959665113112</v>
      </c>
      <c r="Q97" s="8">
        <f t="shared" si="30"/>
        <v>0.84041262303225139</v>
      </c>
      <c r="R97" s="8">
        <f t="shared" si="30"/>
        <v>0.80276283247767788</v>
      </c>
      <c r="S97" s="8">
        <f t="shared" si="30"/>
        <v>0.76855573995356352</v>
      </c>
      <c r="T97" s="8">
        <f t="shared" si="30"/>
        <v>0.73778272265119826</v>
      </c>
      <c r="U97" s="8">
        <f t="shared" si="30"/>
        <v>0.71029724633132174</v>
      </c>
      <c r="V97" s="8">
        <f t="shared" si="30"/>
        <v>0.68588696600713017</v>
      </c>
      <c r="W97" s="8">
        <f t="shared" si="30"/>
        <v>0.66431257824324819</v>
      </c>
      <c r="X97" s="8">
        <f t="shared" si="30"/>
        <v>0.64532916853303068</v>
      </c>
      <c r="Y97" s="8">
        <f t="shared" si="30"/>
        <v>0.62869793718552014</v>
      </c>
      <c r="Z97" s="8">
        <f t="shared" si="30"/>
        <v>0.61419246457870402</v>
      </c>
      <c r="AA97" s="8">
        <f t="shared" si="30"/>
        <v>0.60160180816369679</v>
      </c>
      <c r="AB97" s="8">
        <f t="shared" si="30"/>
        <v>0.59073173904009502</v>
      </c>
      <c r="AC97" s="8">
        <f t="shared" si="30"/>
        <v>0.58140488539540014</v>
      </c>
      <c r="AD97" s="8">
        <f t="shared" si="30"/>
        <v>0.57346024286028785</v>
      </c>
      <c r="AE97" s="8">
        <f t="shared" si="30"/>
        <v>0.56675233198325292</v>
      </c>
      <c r="AF97" s="8">
        <f t="shared" si="30"/>
        <v>0.56115017511849974</v>
      </c>
      <c r="AG97" s="8">
        <f t="shared" si="30"/>
        <v>0.55653619893714934</v>
      </c>
      <c r="AH97" s="8">
        <f t="shared" si="30"/>
        <v>0.55280512763100831</v>
      </c>
      <c r="AI97" s="8">
        <f t="shared" si="30"/>
        <v>0.54986290594305065</v>
      </c>
      <c r="AJ97" s="8">
        <f t="shared" si="30"/>
        <v>0.54762567467070211</v>
      </c>
      <c r="AK97" s="8">
        <f t="shared" si="30"/>
        <v>0.54601881076438019</v>
      </c>
      <c r="AL97" s="8">
        <f t="shared" si="30"/>
        <v>0.54497603743643674</v>
      </c>
      <c r="AM97" s="8">
        <f t="shared" si="30"/>
        <v>0.54443860545627232</v>
      </c>
      <c r="AN97" s="8">
        <f t="shared" si="30"/>
        <v>0.54435454417655926</v>
      </c>
      <c r="AO97" s="8">
        <f>SUMPRODUCT(AO88:AO91,AO93:AO96)/AO61</f>
        <v>0.54467797925806039</v>
      </c>
    </row>
    <row r="98" spans="1:41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</row>
    <row r="99" spans="1:41">
      <c r="A99" t="s">
        <v>91</v>
      </c>
      <c r="B99" t="s">
        <v>85</v>
      </c>
      <c r="C99" s="2">
        <f t="shared" ref="C99:AO99" si="31">MIN(C74,C76-C88)</f>
        <v>75.3</v>
      </c>
      <c r="D99" s="2">
        <f t="shared" si="31"/>
        <v>64.95493347063055</v>
      </c>
      <c r="E99" s="2">
        <f t="shared" si="31"/>
        <v>54.612634941261106</v>
      </c>
      <c r="F99" s="2">
        <f t="shared" si="31"/>
        <v>44.273093339891659</v>
      </c>
      <c r="G99" s="2">
        <f t="shared" si="31"/>
        <v>33.936297638810203</v>
      </c>
      <c r="H99" s="2">
        <f t="shared" si="31"/>
        <v>23.602236854415594</v>
      </c>
      <c r="I99" s="2">
        <f t="shared" si="31"/>
        <v>13.270900047041096</v>
      </c>
      <c r="J99" s="2">
        <f t="shared" si="31"/>
        <v>2.9422763207786033</v>
      </c>
      <c r="K99" s="2">
        <f t="shared" si="31"/>
        <v>0</v>
      </c>
      <c r="L99" s="2">
        <f t="shared" si="31"/>
        <v>0</v>
      </c>
      <c r="M99" s="2">
        <f t="shared" si="31"/>
        <v>0</v>
      </c>
      <c r="N99" s="2">
        <f t="shared" si="31"/>
        <v>0</v>
      </c>
      <c r="O99" s="2">
        <f t="shared" si="31"/>
        <v>0</v>
      </c>
      <c r="P99" s="2">
        <f t="shared" si="31"/>
        <v>0</v>
      </c>
      <c r="Q99" s="2">
        <f t="shared" si="31"/>
        <v>0</v>
      </c>
      <c r="R99" s="2">
        <f t="shared" si="31"/>
        <v>0</v>
      </c>
      <c r="S99" s="2">
        <f t="shared" si="31"/>
        <v>0</v>
      </c>
      <c r="T99" s="2">
        <f t="shared" si="31"/>
        <v>0</v>
      </c>
      <c r="U99" s="2">
        <f t="shared" si="31"/>
        <v>0</v>
      </c>
      <c r="V99" s="2">
        <f t="shared" si="31"/>
        <v>0</v>
      </c>
      <c r="W99" s="2">
        <f t="shared" si="31"/>
        <v>0</v>
      </c>
      <c r="X99" s="2">
        <f t="shared" si="31"/>
        <v>0</v>
      </c>
      <c r="Y99" s="2">
        <f t="shared" si="31"/>
        <v>0</v>
      </c>
      <c r="Z99" s="2">
        <f t="shared" si="31"/>
        <v>0</v>
      </c>
      <c r="AA99" s="2">
        <f t="shared" si="31"/>
        <v>0</v>
      </c>
      <c r="AB99" s="2">
        <f t="shared" si="31"/>
        <v>0</v>
      </c>
      <c r="AC99" s="2">
        <f t="shared" si="31"/>
        <v>0</v>
      </c>
      <c r="AD99" s="2">
        <f t="shared" si="31"/>
        <v>0</v>
      </c>
      <c r="AE99" s="2">
        <f t="shared" si="31"/>
        <v>0</v>
      </c>
      <c r="AF99" s="2">
        <f t="shared" si="31"/>
        <v>0</v>
      </c>
      <c r="AG99" s="2">
        <f t="shared" si="31"/>
        <v>0</v>
      </c>
      <c r="AH99" s="2">
        <f t="shared" si="31"/>
        <v>0</v>
      </c>
      <c r="AI99" s="2">
        <f t="shared" si="31"/>
        <v>0</v>
      </c>
      <c r="AJ99" s="2">
        <f t="shared" si="31"/>
        <v>0</v>
      </c>
      <c r="AK99" s="2">
        <f t="shared" si="31"/>
        <v>0</v>
      </c>
      <c r="AL99" s="2">
        <f t="shared" si="31"/>
        <v>0</v>
      </c>
      <c r="AM99" s="2">
        <f t="shared" si="31"/>
        <v>0</v>
      </c>
      <c r="AN99" s="2">
        <f t="shared" si="31"/>
        <v>0</v>
      </c>
      <c r="AO99" s="2">
        <f t="shared" si="31"/>
        <v>0</v>
      </c>
    </row>
    <row r="100" spans="1:41">
      <c r="A100" t="s">
        <v>91</v>
      </c>
      <c r="B100" t="s">
        <v>77</v>
      </c>
      <c r="C100" s="2">
        <f t="shared" ref="C100:AO100" si="32">MIN(C74-C99,C77-C89)</f>
        <v>173</v>
      </c>
      <c r="D100" s="2">
        <f t="shared" si="32"/>
        <v>172.30799999999999</v>
      </c>
      <c r="E100" s="2">
        <f t="shared" si="32"/>
        <v>171.61876799999999</v>
      </c>
      <c r="F100" s="2">
        <f t="shared" si="32"/>
        <v>170.93229292799998</v>
      </c>
      <c r="G100" s="2">
        <f t="shared" si="32"/>
        <v>170.24856375628798</v>
      </c>
      <c r="H100" s="2">
        <f t="shared" si="32"/>
        <v>169.56756950126282</v>
      </c>
      <c r="I100" s="2">
        <f t="shared" si="32"/>
        <v>168.88929922325778</v>
      </c>
      <c r="J100" s="2">
        <f t="shared" si="32"/>
        <v>168.21374202636474</v>
      </c>
      <c r="K100" s="2">
        <f t="shared" si="32"/>
        <v>160.15724188156295</v>
      </c>
      <c r="L100" s="2">
        <f t="shared" si="32"/>
        <v>149.81525948587159</v>
      </c>
      <c r="M100" s="2">
        <f t="shared" si="32"/>
        <v>128.79426935635431</v>
      </c>
      <c r="N100" s="2">
        <f t="shared" si="32"/>
        <v>91.771265806095244</v>
      </c>
      <c r="O100" s="2">
        <f t="shared" si="32"/>
        <v>52.516122920202633</v>
      </c>
      <c r="P100" s="2">
        <f t="shared" si="32"/>
        <v>14.938196678175132</v>
      </c>
      <c r="Q100" s="2">
        <f t="shared" si="32"/>
        <v>0</v>
      </c>
      <c r="R100" s="2">
        <f t="shared" si="32"/>
        <v>0</v>
      </c>
      <c r="S100" s="2">
        <f t="shared" si="32"/>
        <v>0</v>
      </c>
      <c r="T100" s="2">
        <f t="shared" si="32"/>
        <v>0</v>
      </c>
      <c r="U100" s="2">
        <f t="shared" si="32"/>
        <v>0</v>
      </c>
      <c r="V100" s="2">
        <f t="shared" si="32"/>
        <v>0</v>
      </c>
      <c r="W100" s="2">
        <f t="shared" si="32"/>
        <v>0</v>
      </c>
      <c r="X100" s="2">
        <f t="shared" si="32"/>
        <v>0</v>
      </c>
      <c r="Y100" s="2">
        <f t="shared" si="32"/>
        <v>0</v>
      </c>
      <c r="Z100" s="2">
        <f t="shared" si="32"/>
        <v>0</v>
      </c>
      <c r="AA100" s="2">
        <f t="shared" si="32"/>
        <v>0</v>
      </c>
      <c r="AB100" s="2">
        <f t="shared" si="32"/>
        <v>0</v>
      </c>
      <c r="AC100" s="2">
        <f t="shared" si="32"/>
        <v>0</v>
      </c>
      <c r="AD100" s="2">
        <f t="shared" si="32"/>
        <v>0</v>
      </c>
      <c r="AE100" s="2">
        <f t="shared" si="32"/>
        <v>0</v>
      </c>
      <c r="AF100" s="2">
        <f t="shared" si="32"/>
        <v>0</v>
      </c>
      <c r="AG100" s="2">
        <f t="shared" si="32"/>
        <v>0</v>
      </c>
      <c r="AH100" s="2">
        <f t="shared" si="32"/>
        <v>0</v>
      </c>
      <c r="AI100" s="2">
        <f t="shared" si="32"/>
        <v>0</v>
      </c>
      <c r="AJ100" s="2">
        <f t="shared" si="32"/>
        <v>0</v>
      </c>
      <c r="AK100" s="2">
        <f t="shared" si="32"/>
        <v>0</v>
      </c>
      <c r="AL100" s="2">
        <f t="shared" si="32"/>
        <v>0</v>
      </c>
      <c r="AM100" s="2">
        <f t="shared" si="32"/>
        <v>0</v>
      </c>
      <c r="AN100" s="2">
        <f t="shared" si="32"/>
        <v>0</v>
      </c>
      <c r="AO100" s="2">
        <f t="shared" si="32"/>
        <v>0</v>
      </c>
    </row>
    <row r="101" spans="1:41">
      <c r="A101" t="s">
        <v>91</v>
      </c>
      <c r="B101" t="s">
        <v>78</v>
      </c>
      <c r="C101" s="2">
        <f t="shared" ref="C101:AO101" si="33">MIN(C74-C100-C99,C78-C90)</f>
        <v>172.7</v>
      </c>
      <c r="D101" s="2">
        <f t="shared" si="33"/>
        <v>172.30799999999996</v>
      </c>
      <c r="E101" s="2">
        <f t="shared" si="33"/>
        <v>171.61876799999993</v>
      </c>
      <c r="F101" s="2">
        <f t="shared" si="33"/>
        <v>170.93229292800004</v>
      </c>
      <c r="G101" s="2">
        <f t="shared" si="33"/>
        <v>170.24856375628795</v>
      </c>
      <c r="H101" s="2">
        <f t="shared" si="33"/>
        <v>169.56756950126282</v>
      </c>
      <c r="I101" s="2">
        <f t="shared" si="33"/>
        <v>168.88929922325772</v>
      </c>
      <c r="J101" s="2">
        <f t="shared" si="33"/>
        <v>168.21374202636474</v>
      </c>
      <c r="K101" s="2">
        <f t="shared" si="33"/>
        <v>172.38392181139491</v>
      </c>
      <c r="L101" s="2">
        <f t="shared" si="33"/>
        <v>180.74965029513027</v>
      </c>
      <c r="M101" s="2">
        <f t="shared" si="33"/>
        <v>189.426155409557</v>
      </c>
      <c r="N101" s="2">
        <f t="shared" si="33"/>
        <v>198.42384988106005</v>
      </c>
      <c r="O101" s="2">
        <f t="shared" si="33"/>
        <v>207.75347772960333</v>
      </c>
      <c r="P101" s="2">
        <f t="shared" si="33"/>
        <v>217.4261245062545</v>
      </c>
      <c r="Q101" s="2">
        <f t="shared" si="33"/>
        <v>206.44203750118362</v>
      </c>
      <c r="R101" s="2">
        <f t="shared" si="33"/>
        <v>182.46763710284728</v>
      </c>
      <c r="S101" s="2">
        <f t="shared" si="33"/>
        <v>160.4080899514764</v>
      </c>
      <c r="T101" s="2">
        <f t="shared" si="33"/>
        <v>140.23240589700094</v>
      </c>
      <c r="U101" s="2">
        <f t="shared" si="33"/>
        <v>121.91159431496047</v>
      </c>
      <c r="V101" s="2">
        <f t="shared" si="33"/>
        <v>105.41862590299101</v>
      </c>
      <c r="W101" s="2">
        <f t="shared" si="33"/>
        <v>90.728396588047076</v>
      </c>
      <c r="X101" s="2">
        <f t="shared" si="33"/>
        <v>77.81769349864021</v>
      </c>
      <c r="Y101" s="2">
        <f t="shared" si="33"/>
        <v>66.665162958634824</v>
      </c>
      <c r="Z101" s="2">
        <f t="shared" si="33"/>
        <v>57.251280461324995</v>
      </c>
      <c r="AA101" s="2">
        <f t="shared" si="33"/>
        <v>49.558322584672908</v>
      </c>
      <c r="AB101" s="2">
        <f t="shared" si="33"/>
        <v>43.570340810675759</v>
      </c>
      <c r="AC101" s="2">
        <f t="shared" si="33"/>
        <v>39.273137213879409</v>
      </c>
      <c r="AD101" s="2">
        <f t="shared" si="33"/>
        <v>36.654241986067007</v>
      </c>
      <c r="AE101" s="2">
        <f t="shared" si="33"/>
        <v>35.702892766102252</v>
      </c>
      <c r="AF101" s="2">
        <f t="shared" si="33"/>
        <v>36.41001574584169</v>
      </c>
      <c r="AG101" s="2">
        <f t="shared" si="33"/>
        <v>38.768208524905106</v>
      </c>
      <c r="AH101" s="2">
        <f t="shared" si="33"/>
        <v>42.77172468894571</v>
      </c>
      <c r="AI101" s="2">
        <f t="shared" si="33"/>
        <v>48.416460087880296</v>
      </c>
      <c r="AJ101" s="2">
        <f t="shared" si="33"/>
        <v>55.699940792313953</v>
      </c>
      <c r="AK101" s="2">
        <f t="shared" si="33"/>
        <v>64.621312708151834</v>
      </c>
      <c r="AL101" s="2">
        <f t="shared" si="33"/>
        <v>75.181332831117743</v>
      </c>
      <c r="AM101" s="2">
        <f t="shared" si="33"/>
        <v>87.382362124587871</v>
      </c>
      <c r="AN101" s="2">
        <f t="shared" si="33"/>
        <v>101.22836000583476</v>
      </c>
      <c r="AO101" s="2">
        <f t="shared" si="33"/>
        <v>116.7248804274131</v>
      </c>
    </row>
    <row r="102" spans="1:41">
      <c r="A102" t="s">
        <v>91</v>
      </c>
      <c r="B102" t="s">
        <v>100</v>
      </c>
      <c r="C102" s="2">
        <f t="shared" ref="C102:AO102" si="34">C74-SUM(C99:C101)</f>
        <v>0</v>
      </c>
      <c r="D102" s="2">
        <f t="shared" si="34"/>
        <v>0</v>
      </c>
      <c r="E102" s="2">
        <f t="shared" si="34"/>
        <v>0</v>
      </c>
      <c r="F102" s="2">
        <f t="shared" si="34"/>
        <v>0</v>
      </c>
      <c r="G102" s="2">
        <f t="shared" si="34"/>
        <v>0</v>
      </c>
      <c r="H102" s="2">
        <f t="shared" si="34"/>
        <v>0</v>
      </c>
      <c r="I102" s="2">
        <f t="shared" si="34"/>
        <v>0</v>
      </c>
      <c r="J102" s="2">
        <f t="shared" si="34"/>
        <v>0</v>
      </c>
      <c r="K102" s="2">
        <f t="shared" si="34"/>
        <v>0</v>
      </c>
      <c r="L102" s="2">
        <f t="shared" si="34"/>
        <v>0</v>
      </c>
      <c r="M102" s="2">
        <f t="shared" si="34"/>
        <v>1.3256546890571599</v>
      </c>
      <c r="N102" s="2">
        <f t="shared" si="34"/>
        <v>18.699427785980845</v>
      </c>
      <c r="O102" s="2">
        <f t="shared" si="34"/>
        <v>38.328458040892315</v>
      </c>
      <c r="P102" s="2">
        <f t="shared" si="34"/>
        <v>56.280468883245362</v>
      </c>
      <c r="Q102" s="2">
        <f t="shared" si="34"/>
        <v>72.581259564235552</v>
      </c>
      <c r="R102" s="2">
        <f t="shared" si="34"/>
        <v>87.254883393724583</v>
      </c>
      <c r="S102" s="2">
        <f t="shared" si="34"/>
        <v>100.3236798618764</v>
      </c>
      <c r="T102" s="2">
        <f t="shared" si="34"/>
        <v>111.80830492257343</v>
      </c>
      <c r="U102" s="2">
        <f t="shared" si="34"/>
        <v>121.72775947729477</v>
      </c>
      <c r="V102" s="2">
        <f t="shared" si="34"/>
        <v>130.09941609618906</v>
      </c>
      <c r="W102" s="2">
        <f t="shared" si="34"/>
        <v>136.93904401116032</v>
      </c>
      <c r="X102" s="2">
        <f t="shared" si="34"/>
        <v>142.26083241392695</v>
      </c>
      <c r="Y102" s="2">
        <f t="shared" si="34"/>
        <v>146.0774120901801</v>
      </c>
      <c r="Z102" s="2">
        <f t="shared" si="34"/>
        <v>148.39987541919609</v>
      </c>
      <c r="AA102" s="2">
        <f t="shared" si="34"/>
        <v>149.23779476649747</v>
      </c>
      <c r="AB102" s="2">
        <f t="shared" si="34"/>
        <v>148.59923929545562</v>
      </c>
      <c r="AC102" s="2">
        <f t="shared" si="34"/>
        <v>146.49079022204759</v>
      </c>
      <c r="AD102" s="2">
        <f t="shared" si="34"/>
        <v>142.91755453532909</v>
      </c>
      <c r="AE102" s="2">
        <f t="shared" si="34"/>
        <v>137.88317720458065</v>
      </c>
      <c r="AF102" s="2">
        <f t="shared" si="34"/>
        <v>131.38985189248513</v>
      </c>
      <c r="AG102" s="2">
        <f t="shared" si="34"/>
        <v>123.43833019214415</v>
      </c>
      <c r="AH102" s="2">
        <f t="shared" si="34"/>
        <v>114.0279294042019</v>
      </c>
      <c r="AI102" s="2">
        <f t="shared" si="34"/>
        <v>103.15653886882905</v>
      </c>
      <c r="AJ102" s="2">
        <f t="shared" si="34"/>
        <v>90.820624865838397</v>
      </c>
      <c r="AK102" s="2">
        <f t="shared" si="34"/>
        <v>77.015234094728783</v>
      </c>
      <c r="AL102" s="2">
        <f t="shared" si="34"/>
        <v>61.733995745000186</v>
      </c>
      <c r="AM102" s="2">
        <f t="shared" si="34"/>
        <v>44.969122165659456</v>
      </c>
      <c r="AN102" s="2">
        <f t="shared" si="34"/>
        <v>26.71140814140432</v>
      </c>
      <c r="AO102" s="2">
        <f t="shared" si="34"/>
        <v>6.9502287815846842</v>
      </c>
    </row>
    <row r="103" spans="1:41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</row>
    <row r="104" spans="1:41">
      <c r="A104" t="s">
        <v>98</v>
      </c>
      <c r="B104" t="str">
        <f>"Load factor of "&amp;B99</f>
        <v>Load factor of High carbon operating as baseload plant</v>
      </c>
      <c r="C104" s="4">
        <f>IF(C99&gt;0,C82,0%)</f>
        <v>1</v>
      </c>
      <c r="D104" s="4">
        <f t="shared" ref="D104:AO104" si="35">IF(D99&gt;0,D82,0%)</f>
        <v>1</v>
      </c>
      <c r="E104" s="4">
        <f t="shared" si="35"/>
        <v>1</v>
      </c>
      <c r="F104" s="4">
        <f t="shared" si="35"/>
        <v>1</v>
      </c>
      <c r="G104" s="4">
        <f t="shared" si="35"/>
        <v>1</v>
      </c>
      <c r="H104" s="4">
        <f t="shared" si="35"/>
        <v>1</v>
      </c>
      <c r="I104" s="4">
        <f t="shared" si="35"/>
        <v>1</v>
      </c>
      <c r="J104" s="4">
        <f t="shared" si="35"/>
        <v>1</v>
      </c>
      <c r="K104" s="4">
        <f t="shared" si="35"/>
        <v>0</v>
      </c>
      <c r="L104" s="4">
        <f t="shared" si="35"/>
        <v>0</v>
      </c>
      <c r="M104" s="4">
        <f t="shared" si="35"/>
        <v>0</v>
      </c>
      <c r="N104" s="4">
        <f t="shared" si="35"/>
        <v>0</v>
      </c>
      <c r="O104" s="4">
        <f t="shared" si="35"/>
        <v>0</v>
      </c>
      <c r="P104" s="4">
        <f t="shared" si="35"/>
        <v>0</v>
      </c>
      <c r="Q104" s="4">
        <f t="shared" si="35"/>
        <v>0</v>
      </c>
      <c r="R104" s="4">
        <f t="shared" si="35"/>
        <v>0</v>
      </c>
      <c r="S104" s="4">
        <f t="shared" si="35"/>
        <v>0</v>
      </c>
      <c r="T104" s="4">
        <f t="shared" si="35"/>
        <v>0</v>
      </c>
      <c r="U104" s="4">
        <f t="shared" si="35"/>
        <v>0</v>
      </c>
      <c r="V104" s="4">
        <f t="shared" si="35"/>
        <v>0</v>
      </c>
      <c r="W104" s="4">
        <f t="shared" si="35"/>
        <v>0</v>
      </c>
      <c r="X104" s="4">
        <f t="shared" si="35"/>
        <v>0</v>
      </c>
      <c r="Y104" s="4">
        <f t="shared" si="35"/>
        <v>0</v>
      </c>
      <c r="Z104" s="4">
        <f t="shared" si="35"/>
        <v>0</v>
      </c>
      <c r="AA104" s="4">
        <f t="shared" si="35"/>
        <v>0</v>
      </c>
      <c r="AB104" s="4">
        <f t="shared" si="35"/>
        <v>0</v>
      </c>
      <c r="AC104" s="4">
        <f t="shared" si="35"/>
        <v>0</v>
      </c>
      <c r="AD104" s="4">
        <f t="shared" si="35"/>
        <v>0</v>
      </c>
      <c r="AE104" s="4">
        <f t="shared" si="35"/>
        <v>0</v>
      </c>
      <c r="AF104" s="4">
        <f t="shared" si="35"/>
        <v>0</v>
      </c>
      <c r="AG104" s="4">
        <f t="shared" si="35"/>
        <v>0</v>
      </c>
      <c r="AH104" s="4">
        <f t="shared" si="35"/>
        <v>0</v>
      </c>
      <c r="AI104" s="4">
        <f t="shared" si="35"/>
        <v>0</v>
      </c>
      <c r="AJ104" s="4">
        <f t="shared" si="35"/>
        <v>0</v>
      </c>
      <c r="AK104" s="4">
        <f t="shared" si="35"/>
        <v>0</v>
      </c>
      <c r="AL104" s="4">
        <f t="shared" si="35"/>
        <v>0</v>
      </c>
      <c r="AM104" s="4">
        <f t="shared" si="35"/>
        <v>0</v>
      </c>
      <c r="AN104" s="4">
        <f t="shared" si="35"/>
        <v>0</v>
      </c>
      <c r="AO104" s="4">
        <f t="shared" si="35"/>
        <v>0</v>
      </c>
    </row>
    <row r="105" spans="1:41">
      <c r="A105" t="s">
        <v>98</v>
      </c>
      <c r="B105" t="str">
        <f>"Load factor of "&amp;B100</f>
        <v>Load factor of High carbon operating as mid-merit plant</v>
      </c>
      <c r="C105" s="8">
        <f>IF(C100&gt;0,((C77*AVERAGE(C82:C83))-(C89*C94))/C100,0%)</f>
        <v>0.75</v>
      </c>
      <c r="D105" s="8">
        <f t="shared" ref="D105:AO105" si="36">IF(D100&gt;0,((D77*AVERAGE(D82:D83))-(D89*D94))/D100,0%)</f>
        <v>0.75</v>
      </c>
      <c r="E105" s="8">
        <f t="shared" si="36"/>
        <v>0.74999999999999989</v>
      </c>
      <c r="F105" s="8">
        <f t="shared" si="36"/>
        <v>0.75000000000000011</v>
      </c>
      <c r="G105" s="8">
        <f t="shared" si="36"/>
        <v>0.75</v>
      </c>
      <c r="H105" s="8">
        <f t="shared" si="36"/>
        <v>0.75</v>
      </c>
      <c r="I105" s="8">
        <f t="shared" si="36"/>
        <v>0.75</v>
      </c>
      <c r="J105" s="8">
        <f t="shared" si="36"/>
        <v>0.75</v>
      </c>
      <c r="K105" s="8">
        <f t="shared" si="36"/>
        <v>0.7352635079102684</v>
      </c>
      <c r="L105" s="8">
        <f t="shared" si="36"/>
        <v>0.71132674348779346</v>
      </c>
      <c r="M105" s="8">
        <f t="shared" si="36"/>
        <v>0.67164484856698481</v>
      </c>
      <c r="N105" s="8">
        <f t="shared" si="36"/>
        <v>0.60864453079151726</v>
      </c>
      <c r="O105" s="8">
        <f t="shared" si="36"/>
        <v>0.54317328939826215</v>
      </c>
      <c r="P105" s="8">
        <f t="shared" si="36"/>
        <v>0.48108432061840162</v>
      </c>
      <c r="Q105" s="8">
        <f t="shared" si="36"/>
        <v>0</v>
      </c>
      <c r="R105" s="8">
        <f t="shared" si="36"/>
        <v>0</v>
      </c>
      <c r="S105" s="8">
        <f t="shared" si="36"/>
        <v>0</v>
      </c>
      <c r="T105" s="8">
        <f t="shared" si="36"/>
        <v>0</v>
      </c>
      <c r="U105" s="8">
        <f t="shared" si="36"/>
        <v>0</v>
      </c>
      <c r="V105" s="8">
        <f t="shared" si="36"/>
        <v>0</v>
      </c>
      <c r="W105" s="8">
        <f t="shared" si="36"/>
        <v>0</v>
      </c>
      <c r="X105" s="8">
        <f t="shared" si="36"/>
        <v>0</v>
      </c>
      <c r="Y105" s="8">
        <f t="shared" si="36"/>
        <v>0</v>
      </c>
      <c r="Z105" s="8">
        <f t="shared" si="36"/>
        <v>0</v>
      </c>
      <c r="AA105" s="8">
        <f t="shared" si="36"/>
        <v>0</v>
      </c>
      <c r="AB105" s="8">
        <f t="shared" si="36"/>
        <v>0</v>
      </c>
      <c r="AC105" s="8">
        <f t="shared" si="36"/>
        <v>0</v>
      </c>
      <c r="AD105" s="8">
        <f t="shared" si="36"/>
        <v>0</v>
      </c>
      <c r="AE105" s="8">
        <f t="shared" si="36"/>
        <v>0</v>
      </c>
      <c r="AF105" s="8">
        <f t="shared" si="36"/>
        <v>0</v>
      </c>
      <c r="AG105" s="8">
        <f t="shared" si="36"/>
        <v>0</v>
      </c>
      <c r="AH105" s="8">
        <f t="shared" si="36"/>
        <v>0</v>
      </c>
      <c r="AI105" s="8">
        <f t="shared" si="36"/>
        <v>0</v>
      </c>
      <c r="AJ105" s="8">
        <f t="shared" si="36"/>
        <v>0</v>
      </c>
      <c r="AK105" s="8">
        <f t="shared" si="36"/>
        <v>0</v>
      </c>
      <c r="AL105" s="8">
        <f t="shared" si="36"/>
        <v>0</v>
      </c>
      <c r="AM105" s="8">
        <f t="shared" si="36"/>
        <v>0</v>
      </c>
      <c r="AN105" s="8">
        <f t="shared" si="36"/>
        <v>0</v>
      </c>
      <c r="AO105" s="8">
        <f t="shared" si="36"/>
        <v>0</v>
      </c>
    </row>
    <row r="106" spans="1:41">
      <c r="A106" t="s">
        <v>98</v>
      </c>
      <c r="B106" t="str">
        <f>"Load factor of "&amp;B101</f>
        <v>Load factor of High carbon operating as low-merit plant</v>
      </c>
      <c r="C106" s="8">
        <f>IF(C101&gt;0,((C78*AVERAGE(C83:C84))-(C90*C95))/C101,0%)</f>
        <v>0.25043427909669952</v>
      </c>
      <c r="D106" s="8">
        <f t="shared" ref="D106:AO106" si="37">IF(D101&gt;0,((D78*AVERAGE(D83:D84))-(D90*D95))/D101,0%)</f>
        <v>0.25000000000000006</v>
      </c>
      <c r="E106" s="8">
        <f t="shared" si="37"/>
        <v>0.25000000000000006</v>
      </c>
      <c r="F106" s="8">
        <f t="shared" si="37"/>
        <v>0.24999999999999997</v>
      </c>
      <c r="G106" s="8">
        <f t="shared" si="37"/>
        <v>0.25000000000000006</v>
      </c>
      <c r="H106" s="8">
        <f t="shared" si="37"/>
        <v>0.25</v>
      </c>
      <c r="I106" s="8">
        <f t="shared" si="37"/>
        <v>0.25000000000000011</v>
      </c>
      <c r="J106" s="8">
        <f t="shared" si="37"/>
        <v>0.25</v>
      </c>
      <c r="K106" s="8">
        <f t="shared" si="37"/>
        <v>0.2464381573315875</v>
      </c>
      <c r="L106" s="8">
        <f t="shared" si="37"/>
        <v>0.242943499726262</v>
      </c>
      <c r="M106" s="8">
        <f t="shared" si="37"/>
        <v>0.23951430022947154</v>
      </c>
      <c r="N106" s="8">
        <f t="shared" si="37"/>
        <v>0.23614889007241266</v>
      </c>
      <c r="O106" s="8">
        <f t="shared" si="37"/>
        <v>0.23284565623951178</v>
      </c>
      <c r="P106" s="8">
        <f t="shared" si="37"/>
        <v>0.22960303915696567</v>
      </c>
      <c r="Q106" s="8">
        <f t="shared" si="37"/>
        <v>0.20550382884908105</v>
      </c>
      <c r="R106" s="8">
        <f t="shared" si="37"/>
        <v>0.17130314473189406</v>
      </c>
      <c r="S106" s="8">
        <f t="shared" si="37"/>
        <v>0.14208812298397733</v>
      </c>
      <c r="T106" s="8">
        <f t="shared" si="37"/>
        <v>0.11725169645493666</v>
      </c>
      <c r="U106" s="8">
        <f t="shared" si="37"/>
        <v>9.6257706655638736E-2</v>
      </c>
      <c r="V106" s="8">
        <f t="shared" si="37"/>
        <v>7.8632441504032355E-2</v>
      </c>
      <c r="W106" s="8">
        <f t="shared" si="37"/>
        <v>6.3957238083089535E-2</v>
      </c>
      <c r="X106" s="8">
        <f t="shared" si="37"/>
        <v>5.1862006682518363E-2</v>
      </c>
      <c r="Y106" s="8">
        <f t="shared" si="37"/>
        <v>4.2019553356104411E-2</v>
      </c>
      <c r="Z106" s="8">
        <f t="shared" si="37"/>
        <v>3.4140595877931633E-2</v>
      </c>
      <c r="AA106" s="8">
        <f t="shared" si="37"/>
        <v>2.7969382887562174E-2</v>
      </c>
      <c r="AB106" s="8">
        <f t="shared" si="37"/>
        <v>2.327983863725774E-2</v>
      </c>
      <c r="AC106" s="8">
        <f t="shared" si="37"/>
        <v>1.9872166471058279E-2</v>
      </c>
      <c r="AD106" s="8">
        <f t="shared" si="37"/>
        <v>1.7569853286441454E-2</v>
      </c>
      <c r="AE106" s="8">
        <f t="shared" si="37"/>
        <v>1.6217025010485799E-2</v>
      </c>
      <c r="AF106" s="8">
        <f t="shared" si="37"/>
        <v>1.5676109775876423E-2</v>
      </c>
      <c r="AG106" s="8">
        <f t="shared" si="37"/>
        <v>1.5825771183645598E-2</v>
      </c>
      <c r="AH106" s="8">
        <f t="shared" si="37"/>
        <v>1.6559078935693007E-2</v>
      </c>
      <c r="AI106" s="8">
        <f t="shared" si="37"/>
        <v>1.7781888333169366E-2</v>
      </c>
      <c r="AJ106" s="8">
        <f t="shared" si="37"/>
        <v>1.9411403769010585E-2</v>
      </c>
      <c r="AK106" s="8">
        <f t="shared" si="37"/>
        <v>2.1374904480285999E-2</v>
      </c>
      <c r="AL106" s="8">
        <f t="shared" si="37"/>
        <v>2.3608613540773458E-2</v>
      </c>
      <c r="AM106" s="8">
        <f t="shared" si="37"/>
        <v>2.6056693427312188E-2</v>
      </c>
      <c r="AN106" s="8">
        <f t="shared" si="37"/>
        <v>2.8670353536537491E-2</v>
      </c>
      <c r="AO106" s="8">
        <f t="shared" si="37"/>
        <v>3.1407056805288554E-2</v>
      </c>
    </row>
    <row r="107" spans="1:41">
      <c r="A107" t="s">
        <v>98</v>
      </c>
      <c r="B107" t="str">
        <f>"Load factor of "&amp;B102</f>
        <v>Load factor of High carbon operating as reserve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</row>
    <row r="108" spans="1:41">
      <c r="A108" t="s">
        <v>98</v>
      </c>
      <c r="B108" t="s">
        <v>24</v>
      </c>
      <c r="C108" s="8">
        <f>SUMPRODUCT(C99:C102,C104:C107)/C74</f>
        <v>0.58978622327790975</v>
      </c>
      <c r="D108" s="8">
        <f t="shared" ref="D108:AO108" si="38">SUMPRODUCT(D99:D102,D104:D107)/D74</f>
        <v>0.57929631739270915</v>
      </c>
      <c r="E108" s="8">
        <f t="shared" si="38"/>
        <v>0.56863467572736592</v>
      </c>
      <c r="F108" s="8">
        <f t="shared" si="38"/>
        <v>0.55732811860278397</v>
      </c>
      <c r="G108" s="8">
        <f t="shared" si="38"/>
        <v>0.54531686457357476</v>
      </c>
      <c r="H108" s="8">
        <f t="shared" si="38"/>
        <v>0.5325335055405539</v>
      </c>
      <c r="I108" s="8">
        <f t="shared" si="38"/>
        <v>0.51890175047107312</v>
      </c>
      <c r="J108" s="8">
        <f t="shared" si="38"/>
        <v>0.50433491233505945</v>
      </c>
      <c r="K108" s="8">
        <f t="shared" si="38"/>
        <v>0.48186440965190291</v>
      </c>
      <c r="L108" s="8">
        <f t="shared" si="38"/>
        <v>0.45521937997458028</v>
      </c>
      <c r="M108" s="8">
        <f t="shared" si="38"/>
        <v>0.41269253192263744</v>
      </c>
      <c r="N108" s="8">
        <f t="shared" si="38"/>
        <v>0.33252012086427352</v>
      </c>
      <c r="O108" s="8">
        <f t="shared" si="38"/>
        <v>0.25753633639881313</v>
      </c>
      <c r="P108" s="8">
        <f t="shared" si="38"/>
        <v>0.19784951311801377</v>
      </c>
      <c r="Q108" s="8">
        <f t="shared" si="38"/>
        <v>0.15204690643431121</v>
      </c>
      <c r="R108" s="8">
        <f t="shared" si="38"/>
        <v>0.11588680096111235</v>
      </c>
      <c r="S108" s="8">
        <f t="shared" si="38"/>
        <v>8.7415831331050284E-2</v>
      </c>
      <c r="T108" s="8">
        <f t="shared" si="38"/>
        <v>6.5237427064515491E-2</v>
      </c>
      <c r="U108" s="8">
        <f t="shared" si="38"/>
        <v>4.816516831470815E-2</v>
      </c>
      <c r="V108" s="8">
        <f t="shared" si="38"/>
        <v>3.5196131321358674E-2</v>
      </c>
      <c r="W108" s="8">
        <f t="shared" si="38"/>
        <v>2.5487780098051038E-2</v>
      </c>
      <c r="X108" s="8">
        <f t="shared" si="38"/>
        <v>1.8337916993537026E-2</v>
      </c>
      <c r="Y108" s="8">
        <f t="shared" si="38"/>
        <v>1.3167276795869334E-2</v>
      </c>
      <c r="Z108" s="8">
        <f t="shared" si="38"/>
        <v>9.5044096463031622E-3</v>
      </c>
      <c r="AA108" s="8">
        <f t="shared" si="38"/>
        <v>6.9725491528966014E-3</v>
      </c>
      <c r="AB108" s="8">
        <f t="shared" si="38"/>
        <v>5.2782053376120922E-3</v>
      </c>
      <c r="AC108" s="8">
        <f t="shared" si="38"/>
        <v>4.2012587229784577E-3</v>
      </c>
      <c r="AD108" s="8">
        <f t="shared" si="38"/>
        <v>3.5863630397225854E-3</v>
      </c>
      <c r="AE108" s="8">
        <f t="shared" si="38"/>
        <v>3.3354906014771788E-3</v>
      </c>
      <c r="AF108" s="8">
        <f t="shared" si="38"/>
        <v>3.4014770798474437E-3</v>
      </c>
      <c r="AG108" s="8">
        <f t="shared" si="38"/>
        <v>3.7824418310611484E-3</v>
      </c>
      <c r="AH108" s="8">
        <f t="shared" si="38"/>
        <v>4.5169765803133467E-3</v>
      </c>
      <c r="AI108" s="8">
        <f t="shared" si="38"/>
        <v>5.6800095841339805E-3</v>
      </c>
      <c r="AJ108" s="8">
        <f t="shared" si="38"/>
        <v>7.3792647180476621E-3</v>
      </c>
      <c r="AK108" s="8">
        <f t="shared" si="38"/>
        <v>9.7522455729579013E-3</v>
      </c>
      <c r="AL108" s="8">
        <f t="shared" si="38"/>
        <v>1.2963683838390336E-2</v>
      </c>
      <c r="AM108" s="8">
        <f t="shared" si="38"/>
        <v>1.7203399214182756E-2</v>
      </c>
      <c r="AN108" s="8">
        <f t="shared" si="38"/>
        <v>2.2684525002039446E-2</v>
      </c>
      <c r="AO108" s="8">
        <f t="shared" si="38"/>
        <v>2.964205953502861E-2</v>
      </c>
    </row>
    <row r="109" spans="1:41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1:41">
      <c r="A110" t="s">
        <v>0</v>
      </c>
      <c r="B110" t="s">
        <v>102</v>
      </c>
      <c r="C110" s="1">
        <f>C97*C61</f>
        <v>97.7</v>
      </c>
      <c r="D110" s="1">
        <f t="shared" ref="D110:AO110" si="39">D97*D61</f>
        <v>107.35306652936944</v>
      </c>
      <c r="E110" s="1">
        <f t="shared" si="39"/>
        <v>117.00613305873888</v>
      </c>
      <c r="F110" s="1">
        <f t="shared" si="39"/>
        <v>126.65919958810832</v>
      </c>
      <c r="G110" s="1">
        <f t="shared" si="39"/>
        <v>136.31226611747778</v>
      </c>
      <c r="H110" s="1">
        <f t="shared" si="39"/>
        <v>145.96533264684723</v>
      </c>
      <c r="I110" s="1">
        <f t="shared" si="39"/>
        <v>155.61839917621668</v>
      </c>
      <c r="J110" s="1">
        <f t="shared" si="39"/>
        <v>165.27146570558614</v>
      </c>
      <c r="K110" s="1">
        <f t="shared" si="39"/>
        <v>174.8420225886546</v>
      </c>
      <c r="L110" s="1">
        <f t="shared" si="39"/>
        <v>191.17259378713476</v>
      </c>
      <c r="M110" s="1">
        <f t="shared" si="39"/>
        <v>216.47707303315104</v>
      </c>
      <c r="N110" s="1">
        <f t="shared" si="39"/>
        <v>252.4682691018464</v>
      </c>
      <c r="O110" s="1">
        <f t="shared" si="39"/>
        <v>285.24657191409699</v>
      </c>
      <c r="P110" s="1">
        <f t="shared" si="39"/>
        <v>312.13925461463242</v>
      </c>
      <c r="Q110" s="1">
        <f t="shared" si="39"/>
        <v>334.06315999593238</v>
      </c>
      <c r="R110" s="1">
        <f t="shared" si="39"/>
        <v>352.61278223676237</v>
      </c>
      <c r="S110" s="1">
        <f t="shared" si="39"/>
        <v>368.60500460207163</v>
      </c>
      <c r="T110" s="1">
        <f t="shared" si="39"/>
        <v>382.6292202067271</v>
      </c>
      <c r="U110" s="1">
        <f t="shared" si="39"/>
        <v>395.16188186734769</v>
      </c>
      <c r="V110" s="1">
        <f t="shared" si="39"/>
        <v>406.58602981332837</v>
      </c>
      <c r="W110" s="1">
        <f t="shared" si="39"/>
        <v>417.2076028549933</v>
      </c>
      <c r="X110" s="1">
        <f t="shared" si="39"/>
        <v>427.26905853839855</v>
      </c>
      <c r="Y110" s="1">
        <f t="shared" si="39"/>
        <v>436.96074043605586</v>
      </c>
      <c r="Z110" s="1">
        <f t="shared" si="39"/>
        <v>446.43035837839864</v>
      </c>
      <c r="AA110" s="1">
        <f t="shared" si="39"/>
        <v>455.79088741581393</v>
      </c>
      <c r="AB110" s="1">
        <f t="shared" si="39"/>
        <v>465.12714142189049</v>
      </c>
      <c r="AC110" s="1">
        <f t="shared" si="39"/>
        <v>474.5012357217384</v>
      </c>
      <c r="AD110" s="1">
        <f t="shared" si="39"/>
        <v>483.9571185007045</v>
      </c>
      <c r="AE110" s="1">
        <f t="shared" si="39"/>
        <v>493.52432182967692</v>
      </c>
      <c r="AF110" s="1">
        <f t="shared" si="39"/>
        <v>503.22105895894447</v>
      </c>
      <c r="AG110" s="1">
        <f t="shared" si="39"/>
        <v>513.05677428246042</v>
      </c>
      <c r="AH110" s="1">
        <f t="shared" si="39"/>
        <v>523.0342353988184</v>
      </c>
      <c r="AI110" s="1">
        <f t="shared" si="39"/>
        <v>533.15124244980177</v>
      </c>
      <c r="AJ110" s="1">
        <f t="shared" si="39"/>
        <v>543.40201795165717</v>
      </c>
      <c r="AK110" s="1">
        <f t="shared" si="39"/>
        <v>553.77833027492898</v>
      </c>
      <c r="AL110" s="1">
        <f t="shared" si="39"/>
        <v>564.27039546577851</v>
      </c>
      <c r="AM110" s="1">
        <f t="shared" si="39"/>
        <v>574.86759497725711</v>
      </c>
      <c r="AN110" s="1">
        <f t="shared" si="39"/>
        <v>585.55904087810086</v>
      </c>
      <c r="AO110" s="1">
        <f t="shared" si="39"/>
        <v>596.33401504982442</v>
      </c>
    </row>
    <row r="111" spans="1:41">
      <c r="A111" t="s">
        <v>0</v>
      </c>
      <c r="B111" t="s">
        <v>103</v>
      </c>
      <c r="C111" s="1">
        <f>C108*C74</f>
        <v>248.3</v>
      </c>
      <c r="D111" s="1">
        <f t="shared" ref="D111:AO111" si="40">D108*D74</f>
        <v>237.26293347063054</v>
      </c>
      <c r="E111" s="1">
        <f t="shared" si="40"/>
        <v>226.23140294126105</v>
      </c>
      <c r="F111" s="1">
        <f t="shared" si="40"/>
        <v>215.20538626789167</v>
      </c>
      <c r="G111" s="1">
        <f t="shared" si="40"/>
        <v>204.18486139509818</v>
      </c>
      <c r="H111" s="1">
        <f t="shared" si="40"/>
        <v>193.16980635567839</v>
      </c>
      <c r="I111" s="1">
        <f t="shared" si="40"/>
        <v>182.16019927029888</v>
      </c>
      <c r="J111" s="1">
        <f t="shared" si="40"/>
        <v>171.15601834714334</v>
      </c>
      <c r="K111" s="1">
        <f t="shared" si="40"/>
        <v>160.23975152786394</v>
      </c>
      <c r="L111" s="1">
        <f t="shared" si="40"/>
        <v>150.47955327186074</v>
      </c>
      <c r="M111" s="1">
        <f t="shared" si="40"/>
        <v>131.8742805962232</v>
      </c>
      <c r="N111" s="1">
        <f t="shared" si="40"/>
        <v>102.71365093000182</v>
      </c>
      <c r="O111" s="1">
        <f t="shared" si="40"/>
        <v>76.899850091000218</v>
      </c>
      <c r="P111" s="1">
        <f t="shared" si="40"/>
        <v>57.108231178940791</v>
      </c>
      <c r="Q111" s="1">
        <f t="shared" si="40"/>
        <v>42.424629141898812</v>
      </c>
      <c r="R111" s="1">
        <f t="shared" si="40"/>
        <v>31.257280047515771</v>
      </c>
      <c r="S111" s="1">
        <f t="shared" si="40"/>
        <v>22.792084412650276</v>
      </c>
      <c r="T111" s="1">
        <f t="shared" si="40"/>
        <v>16.442487489380625</v>
      </c>
      <c r="U111" s="1">
        <f t="shared" si="40"/>
        <v>11.7349304834907</v>
      </c>
      <c r="V111" s="1">
        <f t="shared" si="40"/>
        <v>8.2893239347524101</v>
      </c>
      <c r="W111" s="1">
        <f t="shared" si="40"/>
        <v>5.8027376614786954</v>
      </c>
      <c r="X111" s="1">
        <f t="shared" si="40"/>
        <v>4.0357817402446443</v>
      </c>
      <c r="Y111" s="1">
        <f t="shared" si="40"/>
        <v>2.8012403719337513</v>
      </c>
      <c r="Z111" s="1">
        <f t="shared" si="40"/>
        <v>1.9545928297242199</v>
      </c>
      <c r="AA111" s="1">
        <f t="shared" si="40"/>
        <v>1.3861156996360364</v>
      </c>
      <c r="AB111" s="1">
        <f t="shared" si="40"/>
        <v>1.0143105034428572</v>
      </c>
      <c r="AC111" s="1">
        <f t="shared" si="40"/>
        <v>0.78044232055492557</v>
      </c>
      <c r="AD111" s="1">
        <f t="shared" si="40"/>
        <v>0.6440096540209197</v>
      </c>
      <c r="AE111" s="1">
        <f t="shared" si="40"/>
        <v>0.57899470493457272</v>
      </c>
      <c r="AF111" s="1">
        <f t="shared" si="40"/>
        <v>0.57076740377320345</v>
      </c>
      <c r="AG111" s="1">
        <f t="shared" si="40"/>
        <v>0.61353679731500688</v>
      </c>
      <c r="AH111" s="1">
        <f t="shared" si="40"/>
        <v>0.70826036533998149</v>
      </c>
      <c r="AI111" s="1">
        <f t="shared" si="40"/>
        <v>0.86093608677003886</v>
      </c>
      <c r="AJ111" s="1">
        <f t="shared" si="40"/>
        <v>1.0812140406295896</v>
      </c>
      <c r="AK111" s="1">
        <f t="shared" si="40"/>
        <v>1.3812743865274371</v>
      </c>
      <c r="AL111" s="1">
        <f t="shared" si="40"/>
        <v>1.7749270322901225</v>
      </c>
      <c r="AM111" s="1">
        <f t="shared" si="40"/>
        <v>2.2768954208347623</v>
      </c>
      <c r="AN111" s="1">
        <f t="shared" si="40"/>
        <v>2.9022528692911749</v>
      </c>
      <c r="AO111" s="1">
        <f t="shared" si="40"/>
        <v>3.6659849501742774</v>
      </c>
    </row>
    <row r="112" spans="1:41">
      <c r="A112" t="s">
        <v>0</v>
      </c>
      <c r="B112" t="s">
        <v>104</v>
      </c>
      <c r="C112" s="1">
        <f t="shared" ref="C112:AN112" si="41">SUM(C110:C111)</f>
        <v>346</v>
      </c>
      <c r="D112" s="1">
        <f t="shared" si="41"/>
        <v>344.61599999999999</v>
      </c>
      <c r="E112" s="1">
        <f t="shared" si="41"/>
        <v>343.23753599999992</v>
      </c>
      <c r="F112" s="1">
        <f t="shared" si="41"/>
        <v>341.86458585599996</v>
      </c>
      <c r="G112" s="1">
        <f t="shared" si="41"/>
        <v>340.49712751257596</v>
      </c>
      <c r="H112" s="1">
        <f t="shared" si="41"/>
        <v>339.13513900252565</v>
      </c>
      <c r="I112" s="1">
        <f t="shared" si="41"/>
        <v>337.77859844651556</v>
      </c>
      <c r="J112" s="1">
        <f t="shared" si="41"/>
        <v>336.42748405272948</v>
      </c>
      <c r="K112" s="1">
        <f t="shared" si="41"/>
        <v>335.08177411651855</v>
      </c>
      <c r="L112" s="1">
        <f t="shared" si="41"/>
        <v>341.65214705899552</v>
      </c>
      <c r="M112" s="1">
        <f t="shared" si="41"/>
        <v>348.35135362937422</v>
      </c>
      <c r="N112" s="1">
        <f t="shared" si="41"/>
        <v>355.18192003184822</v>
      </c>
      <c r="O112" s="1">
        <f t="shared" si="41"/>
        <v>362.14642200509718</v>
      </c>
      <c r="P112" s="1">
        <f t="shared" si="41"/>
        <v>369.24748579357322</v>
      </c>
      <c r="Q112" s="1">
        <f t="shared" si="41"/>
        <v>376.48778913783121</v>
      </c>
      <c r="R112" s="1">
        <f t="shared" si="41"/>
        <v>383.87006228427816</v>
      </c>
      <c r="S112" s="1">
        <f t="shared" si="41"/>
        <v>391.39708901472193</v>
      </c>
      <c r="T112" s="1">
        <f t="shared" si="41"/>
        <v>399.07170769610775</v>
      </c>
      <c r="U112" s="1">
        <f t="shared" si="41"/>
        <v>406.89681235083839</v>
      </c>
      <c r="V112" s="1">
        <f t="shared" si="41"/>
        <v>414.87535374808078</v>
      </c>
      <c r="W112" s="1">
        <f t="shared" si="41"/>
        <v>423.01034051647201</v>
      </c>
      <c r="X112" s="1">
        <f t="shared" si="41"/>
        <v>431.30484027864321</v>
      </c>
      <c r="Y112" s="1">
        <f t="shared" si="41"/>
        <v>439.76198080798963</v>
      </c>
      <c r="Z112" s="1">
        <f t="shared" si="41"/>
        <v>448.38495120812286</v>
      </c>
      <c r="AA112" s="1">
        <f t="shared" si="41"/>
        <v>457.17700311544996</v>
      </c>
      <c r="AB112" s="1">
        <f t="shared" si="41"/>
        <v>466.14145192533334</v>
      </c>
      <c r="AC112" s="1">
        <f t="shared" si="41"/>
        <v>475.28167804229332</v>
      </c>
      <c r="AD112" s="1">
        <f t="shared" si="41"/>
        <v>484.60112815472542</v>
      </c>
      <c r="AE112" s="1">
        <f t="shared" si="41"/>
        <v>494.10331653461151</v>
      </c>
      <c r="AF112" s="1">
        <f t="shared" si="41"/>
        <v>503.7918263627177</v>
      </c>
      <c r="AG112" s="1">
        <f t="shared" si="41"/>
        <v>513.67031107977539</v>
      </c>
      <c r="AH112" s="1">
        <f t="shared" si="41"/>
        <v>523.74249576415832</v>
      </c>
      <c r="AI112" s="1">
        <f t="shared" si="41"/>
        <v>534.01217853657181</v>
      </c>
      <c r="AJ112" s="1">
        <f t="shared" si="41"/>
        <v>544.48323199228673</v>
      </c>
      <c r="AK112" s="1">
        <f t="shared" si="41"/>
        <v>555.15960466145646</v>
      </c>
      <c r="AL112" s="1">
        <f t="shared" si="41"/>
        <v>566.04532249806857</v>
      </c>
      <c r="AM112" s="1">
        <f t="shared" si="41"/>
        <v>577.14449039809188</v>
      </c>
      <c r="AN112" s="1">
        <f t="shared" si="41"/>
        <v>588.46129374739201</v>
      </c>
      <c r="AO112" s="1">
        <f>SUM(AO110:AO111)</f>
        <v>599.99999999999875</v>
      </c>
    </row>
    <row r="113" spans="1:41">
      <c r="A113" t="s">
        <v>0</v>
      </c>
      <c r="B113" t="s">
        <v>97</v>
      </c>
      <c r="C113" s="1">
        <f t="shared" ref="C113:AN113" si="42">C63-C112</f>
        <v>0</v>
      </c>
      <c r="D113" s="1">
        <f t="shared" si="42"/>
        <v>0</v>
      </c>
      <c r="E113" s="1">
        <f t="shared" si="42"/>
        <v>0</v>
      </c>
      <c r="F113" s="1">
        <f t="shared" si="42"/>
        <v>0</v>
      </c>
      <c r="G113" s="1">
        <f t="shared" si="42"/>
        <v>0</v>
      </c>
      <c r="H113" s="1">
        <f t="shared" si="42"/>
        <v>0</v>
      </c>
      <c r="I113" s="1">
        <f t="shared" si="42"/>
        <v>0</v>
      </c>
      <c r="J113" s="1">
        <f t="shared" si="42"/>
        <v>0</v>
      </c>
      <c r="K113" s="1">
        <f t="shared" si="42"/>
        <v>0</v>
      </c>
      <c r="L113" s="1">
        <f t="shared" si="42"/>
        <v>0</v>
      </c>
      <c r="M113" s="1">
        <f t="shared" si="42"/>
        <v>0</v>
      </c>
      <c r="N113" s="1">
        <f t="shared" si="42"/>
        <v>0</v>
      </c>
      <c r="O113" s="1">
        <f t="shared" si="42"/>
        <v>0</v>
      </c>
      <c r="P113" s="1">
        <f t="shared" si="42"/>
        <v>0</v>
      </c>
      <c r="Q113" s="1">
        <f t="shared" si="42"/>
        <v>0</v>
      </c>
      <c r="R113" s="1">
        <f t="shared" si="42"/>
        <v>0</v>
      </c>
      <c r="S113" s="1">
        <f t="shared" si="42"/>
        <v>0</v>
      </c>
      <c r="T113" s="1">
        <f t="shared" si="42"/>
        <v>0</v>
      </c>
      <c r="U113" s="1">
        <f t="shared" si="42"/>
        <v>0</v>
      </c>
      <c r="V113" s="1">
        <f t="shared" si="42"/>
        <v>0</v>
      </c>
      <c r="W113" s="1">
        <f t="shared" si="42"/>
        <v>0</v>
      </c>
      <c r="X113" s="1">
        <f t="shared" si="42"/>
        <v>0</v>
      </c>
      <c r="Y113" s="1">
        <f t="shared" si="42"/>
        <v>0</v>
      </c>
      <c r="Z113" s="1">
        <f t="shared" si="42"/>
        <v>0</v>
      </c>
      <c r="AA113" s="1">
        <f t="shared" si="42"/>
        <v>0</v>
      </c>
      <c r="AB113" s="1">
        <f t="shared" si="42"/>
        <v>0</v>
      </c>
      <c r="AC113" s="1">
        <f t="shared" si="42"/>
        <v>0</v>
      </c>
      <c r="AD113" s="1">
        <f t="shared" si="42"/>
        <v>0</v>
      </c>
      <c r="AE113" s="1">
        <f t="shared" si="42"/>
        <v>0</v>
      </c>
      <c r="AF113" s="1">
        <f t="shared" si="42"/>
        <v>0</v>
      </c>
      <c r="AG113" s="1">
        <f t="shared" si="42"/>
        <v>0</v>
      </c>
      <c r="AH113" s="1">
        <f t="shared" si="42"/>
        <v>0</v>
      </c>
      <c r="AI113" s="1">
        <f t="shared" si="42"/>
        <v>0</v>
      </c>
      <c r="AJ113" s="1">
        <f t="shared" si="42"/>
        <v>0</v>
      </c>
      <c r="AK113" s="1">
        <f t="shared" si="42"/>
        <v>0</v>
      </c>
      <c r="AL113" s="1">
        <f t="shared" si="42"/>
        <v>0</v>
      </c>
      <c r="AM113" s="1">
        <f t="shared" si="42"/>
        <v>0</v>
      </c>
      <c r="AN113" s="1">
        <f t="shared" si="42"/>
        <v>0</v>
      </c>
      <c r="AO113" s="1">
        <f>AO63-AO112</f>
        <v>0</v>
      </c>
    </row>
    <row r="114" spans="1:41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1:41">
      <c r="A115" t="s">
        <v>1</v>
      </c>
      <c r="B115" t="s">
        <v>106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</row>
    <row r="116" spans="1:41">
      <c r="A116" t="s">
        <v>1</v>
      </c>
      <c r="B116" t="s">
        <v>105</v>
      </c>
      <c r="C116">
        <f>C38</f>
        <v>650</v>
      </c>
      <c r="D116" s="11">
        <f t="shared" ref="D116:K116" si="43">C116+$C$44</f>
        <v>615</v>
      </c>
      <c r="E116" s="11">
        <f t="shared" si="43"/>
        <v>580</v>
      </c>
      <c r="F116" s="11">
        <f t="shared" si="43"/>
        <v>545</v>
      </c>
      <c r="G116" s="11">
        <f t="shared" si="43"/>
        <v>510</v>
      </c>
      <c r="H116" s="11">
        <f t="shared" si="43"/>
        <v>475</v>
      </c>
      <c r="I116" s="11">
        <f t="shared" si="43"/>
        <v>440</v>
      </c>
      <c r="J116" s="11">
        <f t="shared" si="43"/>
        <v>405</v>
      </c>
      <c r="K116" s="11">
        <f t="shared" si="43"/>
        <v>370</v>
      </c>
      <c r="L116" s="11">
        <f t="shared" ref="L116:AO116" si="44">K116+$C$45</f>
        <v>369.33333333333331</v>
      </c>
      <c r="M116" s="11">
        <f t="shared" si="44"/>
        <v>368.66666666666663</v>
      </c>
      <c r="N116" s="11">
        <f t="shared" si="44"/>
        <v>367.99999999999994</v>
      </c>
      <c r="O116" s="11">
        <f t="shared" si="44"/>
        <v>367.33333333333326</v>
      </c>
      <c r="P116" s="11">
        <f t="shared" si="44"/>
        <v>366.66666666666657</v>
      </c>
      <c r="Q116" s="11">
        <f t="shared" si="44"/>
        <v>365.99999999999989</v>
      </c>
      <c r="R116" s="11">
        <f t="shared" si="44"/>
        <v>365.3333333333332</v>
      </c>
      <c r="S116" s="11">
        <f t="shared" si="44"/>
        <v>364.66666666666652</v>
      </c>
      <c r="T116" s="11">
        <f t="shared" si="44"/>
        <v>363.99999999999983</v>
      </c>
      <c r="U116" s="11">
        <f t="shared" si="44"/>
        <v>363.33333333333314</v>
      </c>
      <c r="V116" s="11">
        <f t="shared" si="44"/>
        <v>362.66666666666646</v>
      </c>
      <c r="W116" s="11">
        <f t="shared" si="44"/>
        <v>361.99999999999977</v>
      </c>
      <c r="X116" s="11">
        <f t="shared" si="44"/>
        <v>361.33333333333309</v>
      </c>
      <c r="Y116" s="11">
        <f t="shared" si="44"/>
        <v>360.6666666666664</v>
      </c>
      <c r="Z116" s="11">
        <f t="shared" si="44"/>
        <v>359.99999999999972</v>
      </c>
      <c r="AA116" s="11">
        <f t="shared" si="44"/>
        <v>359.33333333333303</v>
      </c>
      <c r="AB116" s="11">
        <f t="shared" si="44"/>
        <v>358.66666666666634</v>
      </c>
      <c r="AC116" s="11">
        <f t="shared" si="44"/>
        <v>357.99999999999966</v>
      </c>
      <c r="AD116" s="11">
        <f t="shared" si="44"/>
        <v>357.33333333333297</v>
      </c>
      <c r="AE116" s="11">
        <f t="shared" si="44"/>
        <v>356.66666666666629</v>
      </c>
      <c r="AF116" s="11">
        <f t="shared" si="44"/>
        <v>355.9999999999996</v>
      </c>
      <c r="AG116" s="11">
        <f t="shared" si="44"/>
        <v>355.33333333333292</v>
      </c>
      <c r="AH116" s="11">
        <f t="shared" si="44"/>
        <v>354.66666666666623</v>
      </c>
      <c r="AI116" s="11">
        <f t="shared" si="44"/>
        <v>353.99999999999955</v>
      </c>
      <c r="AJ116" s="11">
        <f t="shared" si="44"/>
        <v>353.33333333333286</v>
      </c>
      <c r="AK116" s="11">
        <f t="shared" si="44"/>
        <v>352.66666666666617</v>
      </c>
      <c r="AL116" s="11">
        <f t="shared" si="44"/>
        <v>351.99999999999949</v>
      </c>
      <c r="AM116" s="11">
        <f t="shared" si="44"/>
        <v>351.3333333333328</v>
      </c>
      <c r="AN116" s="11">
        <f t="shared" si="44"/>
        <v>350.66666666666612</v>
      </c>
      <c r="AO116" s="11">
        <f t="shared" si="44"/>
        <v>349.99999999999943</v>
      </c>
    </row>
    <row r="117" spans="1:41">
      <c r="A117" t="s">
        <v>1</v>
      </c>
      <c r="B117" t="s">
        <v>107</v>
      </c>
      <c r="C117" s="20">
        <f>SUMPRODUCT(C110:C111,C115:C116)/C63</f>
        <v>466.45953757225436</v>
      </c>
      <c r="D117" s="20">
        <f t="shared" ref="D117:AO117" si="45">SUMPRODUCT(D110:D111,D115:D116)/D63</f>
        <v>423.41825128385733</v>
      </c>
      <c r="E117" s="20">
        <f t="shared" si="45"/>
        <v>382.28398687121279</v>
      </c>
      <c r="F117" s="20">
        <f t="shared" si="45"/>
        <v>343.08009770103683</v>
      </c>
      <c r="G117" s="20">
        <f t="shared" si="45"/>
        <v>305.83012571127773</v>
      </c>
      <c r="H117" s="20">
        <f t="shared" si="45"/>
        <v>270.55780267660174</v>
      </c>
      <c r="I117" s="20">
        <f t="shared" si="45"/>
        <v>237.28705148151258</v>
      </c>
      <c r="J117" s="20">
        <f t="shared" si="45"/>
        <v>206.04198740114992</v>
      </c>
      <c r="K117" s="20">
        <f t="shared" si="45"/>
        <v>176.93802720733206</v>
      </c>
      <c r="L117" s="20">
        <f t="shared" si="45"/>
        <v>162.67163981501437</v>
      </c>
      <c r="M117" s="20">
        <f t="shared" si="45"/>
        <v>139.56498500706459</v>
      </c>
      <c r="N117" s="20">
        <f t="shared" si="45"/>
        <v>106.42046064408729</v>
      </c>
      <c r="O117" s="20">
        <f t="shared" si="45"/>
        <v>78.001262887979479</v>
      </c>
      <c r="P117" s="20">
        <f t="shared" si="45"/>
        <v>56.7090787919891</v>
      </c>
      <c r="Q117" s="20">
        <f t="shared" si="45"/>
        <v>41.242809764144603</v>
      </c>
      <c r="R117" s="20">
        <f t="shared" si="45"/>
        <v>29.747895010983559</v>
      </c>
      <c r="S117" s="20">
        <f t="shared" si="45"/>
        <v>21.235501444503171</v>
      </c>
      <c r="T117" s="20">
        <f t="shared" si="45"/>
        <v>14.997468702271821</v>
      </c>
      <c r="U117" s="20">
        <f t="shared" si="45"/>
        <v>10.478556920532814</v>
      </c>
      <c r="V117" s="20">
        <f t="shared" si="45"/>
        <v>7.2461799747263962</v>
      </c>
      <c r="W117" s="20">
        <f t="shared" si="45"/>
        <v>4.9658148566547622</v>
      </c>
      <c r="X117" s="20">
        <f t="shared" si="45"/>
        <v>3.3810482346228512</v>
      </c>
      <c r="Y117" s="20">
        <f t="shared" si="45"/>
        <v>2.2974110349902341</v>
      </c>
      <c r="Z117" s="20">
        <f t="shared" si="45"/>
        <v>1.5693065005968723</v>
      </c>
      <c r="AA117" s="20">
        <f t="shared" si="45"/>
        <v>1.0894633180184339</v>
      </c>
      <c r="AB117" s="20">
        <f t="shared" si="45"/>
        <v>0.78044843626803495</v>
      </c>
      <c r="AC117" s="20">
        <f t="shared" si="45"/>
        <v>0.58785845040254325</v>
      </c>
      <c r="AD117" s="20">
        <f t="shared" si="45"/>
        <v>0.47487738471930702</v>
      </c>
      <c r="AE117" s="20">
        <f t="shared" si="45"/>
        <v>0.41794520400107116</v>
      </c>
      <c r="AF117" s="20">
        <f t="shared" si="45"/>
        <v>0.40332769431826021</v>
      </c>
      <c r="AG117" s="20">
        <f t="shared" si="45"/>
        <v>0.42441634373285952</v>
      </c>
      <c r="AH117" s="20">
        <f t="shared" si="45"/>
        <v>0.47961802782633162</v>
      </c>
      <c r="AI117" s="20">
        <f t="shared" si="45"/>
        <v>0.5707198954746705</v>
      </c>
      <c r="AJ117" s="20">
        <f t="shared" si="45"/>
        <v>0.70163586052888105</v>
      </c>
      <c r="AK117" s="20">
        <f t="shared" si="45"/>
        <v>0.87745835532420147</v>
      </c>
      <c r="AL117" s="20">
        <f t="shared" si="45"/>
        <v>1.1037531634549529</v>
      </c>
      <c r="AM117" s="20">
        <f t="shared" si="45"/>
        <v>1.3860467719296854</v>
      </c>
      <c r="AN117" s="20">
        <f t="shared" si="45"/>
        <v>1.72946521769872</v>
      </c>
      <c r="AO117" s="20">
        <f t="shared" si="45"/>
        <v>2.1384912209349962</v>
      </c>
    </row>
    <row r="118" spans="1:41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1:41">
      <c r="A119" t="s">
        <v>4</v>
      </c>
      <c r="B119" t="s">
        <v>112</v>
      </c>
      <c r="C119" s="20">
        <f>C117*C63/1000</f>
        <v>161.39500000000001</v>
      </c>
      <c r="D119" s="20">
        <f t="shared" ref="D119:AO119" si="46">D117*D63/1000</f>
        <v>145.91670408443778</v>
      </c>
      <c r="E119" s="20">
        <f t="shared" si="46"/>
        <v>131.2142137059314</v>
      </c>
      <c r="F119" s="20">
        <f t="shared" si="46"/>
        <v>117.28693551600095</v>
      </c>
      <c r="G119" s="20">
        <f t="shared" si="46"/>
        <v>104.13427931150007</v>
      </c>
      <c r="H119" s="20">
        <f t="shared" si="46"/>
        <v>91.75565801894723</v>
      </c>
      <c r="I119" s="20">
        <f t="shared" si="46"/>
        <v>80.150487678931498</v>
      </c>
      <c r="J119" s="20">
        <f t="shared" si="46"/>
        <v>69.318187430593056</v>
      </c>
      <c r="K119" s="20">
        <f t="shared" si="46"/>
        <v>59.288708065309649</v>
      </c>
      <c r="L119" s="20">
        <f t="shared" si="46"/>
        <v>55.577115008407233</v>
      </c>
      <c r="M119" s="20">
        <f t="shared" si="46"/>
        <v>48.617651446474277</v>
      </c>
      <c r="N119" s="20">
        <f t="shared" si="46"/>
        <v>37.798623542240662</v>
      </c>
      <c r="O119" s="20">
        <f t="shared" si="46"/>
        <v>28.24787826676074</v>
      </c>
      <c r="P119" s="20">
        <f t="shared" si="46"/>
        <v>20.93968476561162</v>
      </c>
      <c r="Q119" s="20">
        <f t="shared" si="46"/>
        <v>15.52741426593496</v>
      </c>
      <c r="R119" s="20">
        <f t="shared" si="46"/>
        <v>11.419326310692425</v>
      </c>
      <c r="S119" s="20">
        <f t="shared" si="46"/>
        <v>8.3115134491464637</v>
      </c>
      <c r="T119" s="20">
        <f t="shared" si="46"/>
        <v>5.9850654461345449</v>
      </c>
      <c r="U119" s="20">
        <f t="shared" si="46"/>
        <v>4.2636914090016189</v>
      </c>
      <c r="V119" s="20">
        <f t="shared" si="46"/>
        <v>3.0062614803368723</v>
      </c>
      <c r="W119" s="20">
        <f t="shared" si="46"/>
        <v>2.1005910334552862</v>
      </c>
      <c r="X119" s="20">
        <f t="shared" si="46"/>
        <v>1.4582624688083972</v>
      </c>
      <c r="Y119" s="20">
        <f t="shared" si="46"/>
        <v>1.0103140274774389</v>
      </c>
      <c r="Z119" s="20">
        <f t="shared" si="46"/>
        <v>0.70365341870071862</v>
      </c>
      <c r="AA119" s="20">
        <f t="shared" si="46"/>
        <v>0.49807757473588204</v>
      </c>
      <c r="AB119" s="20">
        <f t="shared" si="46"/>
        <v>0.3637993672348378</v>
      </c>
      <c r="AC119" s="20">
        <f t="shared" si="46"/>
        <v>0.27939835075866309</v>
      </c>
      <c r="AD119" s="20">
        <f t="shared" si="46"/>
        <v>0.23012611637014174</v>
      </c>
      <c r="AE119" s="20">
        <f t="shared" si="46"/>
        <v>0.20650811142666403</v>
      </c>
      <c r="AF119" s="20">
        <f t="shared" si="46"/>
        <v>0.2031931957432602</v>
      </c>
      <c r="AG119" s="20">
        <f t="shared" si="46"/>
        <v>0.21801007531259883</v>
      </c>
      <c r="AH119" s="20">
        <f t="shared" si="46"/>
        <v>0.25119634290724646</v>
      </c>
      <c r="AI119" s="20">
        <f t="shared" si="46"/>
        <v>0.30477137471659338</v>
      </c>
      <c r="AJ119" s="20">
        <f t="shared" si="46"/>
        <v>0.38202896102245448</v>
      </c>
      <c r="AK119" s="20">
        <f t="shared" si="46"/>
        <v>0.48712943364867545</v>
      </c>
      <c r="AL119" s="20">
        <f t="shared" si="46"/>
        <v>0.62477431536612216</v>
      </c>
      <c r="AM119" s="20">
        <f t="shared" si="46"/>
        <v>0.79994925785327864</v>
      </c>
      <c r="AN119" s="20">
        <f t="shared" si="46"/>
        <v>1.0177233394981038</v>
      </c>
      <c r="AO119" s="20">
        <f t="shared" si="46"/>
        <v>1.2830947325609949</v>
      </c>
    </row>
    <row r="120" spans="1:41">
      <c r="A120" t="s">
        <v>4</v>
      </c>
      <c r="B120" t="s">
        <v>113</v>
      </c>
      <c r="C120" s="11">
        <v>90</v>
      </c>
      <c r="D120" s="11">
        <f>C120*(1+$C$31)</f>
        <v>89.1</v>
      </c>
      <c r="E120" s="11">
        <f t="shared" ref="E120:AN120" si="47">D120*(1+$C$31)</f>
        <v>88.208999999999989</v>
      </c>
      <c r="F120" s="11">
        <f t="shared" si="47"/>
        <v>87.326909999999984</v>
      </c>
      <c r="G120" s="11">
        <f t="shared" si="47"/>
        <v>86.453640899999982</v>
      </c>
      <c r="H120" s="11">
        <f t="shared" si="47"/>
        <v>85.589104490999986</v>
      </c>
      <c r="I120" s="11">
        <f t="shared" si="47"/>
        <v>84.733213446089991</v>
      </c>
      <c r="J120" s="11">
        <f t="shared" si="47"/>
        <v>83.885881311629092</v>
      </c>
      <c r="K120" s="11">
        <f t="shared" si="47"/>
        <v>83.047022498512803</v>
      </c>
      <c r="L120" s="11">
        <f t="shared" si="47"/>
        <v>82.216552273527668</v>
      </c>
      <c r="M120" s="11">
        <f t="shared" si="47"/>
        <v>81.394386750792393</v>
      </c>
      <c r="N120" s="11">
        <f t="shared" si="47"/>
        <v>80.580442883284462</v>
      </c>
      <c r="O120" s="11">
        <f t="shared" si="47"/>
        <v>79.774638454451619</v>
      </c>
      <c r="P120" s="11">
        <f t="shared" si="47"/>
        <v>78.976892069907109</v>
      </c>
      <c r="Q120" s="11">
        <f t="shared" si="47"/>
        <v>78.187123149208034</v>
      </c>
      <c r="R120" s="11">
        <f t="shared" si="47"/>
        <v>77.405251917715958</v>
      </c>
      <c r="S120" s="11">
        <f t="shared" si="47"/>
        <v>76.631199398538797</v>
      </c>
      <c r="T120" s="11">
        <f t="shared" si="47"/>
        <v>75.864887404553414</v>
      </c>
      <c r="U120" s="11">
        <f t="shared" si="47"/>
        <v>75.106238530507881</v>
      </c>
      <c r="V120" s="11">
        <f t="shared" si="47"/>
        <v>74.355176145202805</v>
      </c>
      <c r="W120" s="11">
        <f t="shared" si="47"/>
        <v>73.61162438375078</v>
      </c>
      <c r="X120" s="11">
        <f t="shared" si="47"/>
        <v>72.875508139913265</v>
      </c>
      <c r="Y120" s="11">
        <f t="shared" si="47"/>
        <v>72.146753058514136</v>
      </c>
      <c r="Z120" s="11">
        <f t="shared" si="47"/>
        <v>71.425285527928992</v>
      </c>
      <c r="AA120" s="11">
        <f t="shared" si="47"/>
        <v>70.711032672649708</v>
      </c>
      <c r="AB120" s="11">
        <f t="shared" si="47"/>
        <v>70.003922345923215</v>
      </c>
      <c r="AC120" s="11">
        <f t="shared" si="47"/>
        <v>69.303883122463986</v>
      </c>
      <c r="AD120" s="11">
        <f t="shared" si="47"/>
        <v>68.610844291239346</v>
      </c>
      <c r="AE120" s="11">
        <f t="shared" si="47"/>
        <v>67.924735848326947</v>
      </c>
      <c r="AF120" s="11">
        <f t="shared" si="47"/>
        <v>67.24548848984368</v>
      </c>
      <c r="AG120" s="11">
        <f t="shared" si="47"/>
        <v>66.573033604945238</v>
      </c>
      <c r="AH120" s="11">
        <f t="shared" si="47"/>
        <v>65.907303268895788</v>
      </c>
      <c r="AI120" s="11">
        <f t="shared" si="47"/>
        <v>65.248230236206822</v>
      </c>
      <c r="AJ120" s="11">
        <f t="shared" si="47"/>
        <v>64.595747933844748</v>
      </c>
      <c r="AK120" s="11">
        <f t="shared" si="47"/>
        <v>63.949790454506299</v>
      </c>
      <c r="AL120" s="11">
        <f t="shared" si="47"/>
        <v>63.310292549961233</v>
      </c>
      <c r="AM120" s="11">
        <f t="shared" si="47"/>
        <v>62.677189624461619</v>
      </c>
      <c r="AN120" s="11">
        <f t="shared" si="47"/>
        <v>62.050417728216999</v>
      </c>
      <c r="AO120" s="11">
        <f>AN120*(1+$C$31)</f>
        <v>61.429913550934828</v>
      </c>
    </row>
    <row r="121" spans="1:41">
      <c r="A121" t="s">
        <v>4</v>
      </c>
      <c r="B121" t="s">
        <v>114</v>
      </c>
      <c r="C121" s="11">
        <f>SUM(C119:C120)</f>
        <v>251.39500000000001</v>
      </c>
      <c r="D121" s="11">
        <f t="shared" ref="D121:AO121" si="48">SUM(D119:D120)</f>
        <v>235.01670408443778</v>
      </c>
      <c r="E121" s="11">
        <f t="shared" si="48"/>
        <v>219.4232137059314</v>
      </c>
      <c r="F121" s="11">
        <f t="shared" si="48"/>
        <v>204.61384551600094</v>
      </c>
      <c r="G121" s="11">
        <f t="shared" si="48"/>
        <v>190.58792021150003</v>
      </c>
      <c r="H121" s="11">
        <f t="shared" si="48"/>
        <v>177.3447625099472</v>
      </c>
      <c r="I121" s="11">
        <f t="shared" si="48"/>
        <v>164.8837011250215</v>
      </c>
      <c r="J121" s="11">
        <f t="shared" si="48"/>
        <v>153.20406874222215</v>
      </c>
      <c r="K121" s="11">
        <f t="shared" si="48"/>
        <v>142.33573056382244</v>
      </c>
      <c r="L121" s="11">
        <f t="shared" si="48"/>
        <v>137.79366728193492</v>
      </c>
      <c r="M121" s="11">
        <f t="shared" si="48"/>
        <v>130.01203819726666</v>
      </c>
      <c r="N121" s="11">
        <f t="shared" si="48"/>
        <v>118.37906642552512</v>
      </c>
      <c r="O121" s="11">
        <f t="shared" si="48"/>
        <v>108.02251672121236</v>
      </c>
      <c r="P121" s="11">
        <f t="shared" si="48"/>
        <v>99.916576835518725</v>
      </c>
      <c r="Q121" s="11">
        <f t="shared" si="48"/>
        <v>93.714537415142999</v>
      </c>
      <c r="R121" s="11">
        <f t="shared" si="48"/>
        <v>88.824578228408384</v>
      </c>
      <c r="S121" s="11">
        <f t="shared" si="48"/>
        <v>84.942712847685257</v>
      </c>
      <c r="T121" s="11">
        <f t="shared" si="48"/>
        <v>81.849952850687956</v>
      </c>
      <c r="U121" s="11">
        <f t="shared" si="48"/>
        <v>79.369929939509504</v>
      </c>
      <c r="V121" s="11">
        <f t="shared" si="48"/>
        <v>77.361437625539679</v>
      </c>
      <c r="W121" s="11">
        <f t="shared" si="48"/>
        <v>75.712215417206068</v>
      </c>
      <c r="X121" s="11">
        <f t="shared" si="48"/>
        <v>74.333770608721665</v>
      </c>
      <c r="Y121" s="11">
        <f t="shared" si="48"/>
        <v>73.157067085991571</v>
      </c>
      <c r="Z121" s="11">
        <f t="shared" si="48"/>
        <v>72.128938946629717</v>
      </c>
      <c r="AA121" s="11">
        <f t="shared" si="48"/>
        <v>71.209110247385595</v>
      </c>
      <c r="AB121" s="11">
        <f t="shared" si="48"/>
        <v>70.367721713158048</v>
      </c>
      <c r="AC121" s="11">
        <f t="shared" si="48"/>
        <v>69.583281473222655</v>
      </c>
      <c r="AD121" s="11">
        <f t="shared" si="48"/>
        <v>68.84097040760949</v>
      </c>
      <c r="AE121" s="11">
        <f t="shared" si="48"/>
        <v>68.131243959753604</v>
      </c>
      <c r="AF121" s="11">
        <f t="shared" si="48"/>
        <v>67.448681685586934</v>
      </c>
      <c r="AG121" s="11">
        <f t="shared" si="48"/>
        <v>66.791043680257843</v>
      </c>
      <c r="AH121" s="11">
        <f t="shared" si="48"/>
        <v>66.158499611803038</v>
      </c>
      <c r="AI121" s="11">
        <f t="shared" si="48"/>
        <v>65.553001610923417</v>
      </c>
      <c r="AJ121" s="11">
        <f t="shared" si="48"/>
        <v>64.977776894867205</v>
      </c>
      <c r="AK121" s="11">
        <f t="shared" si="48"/>
        <v>64.436919888154975</v>
      </c>
      <c r="AL121" s="11">
        <f t="shared" si="48"/>
        <v>63.935066865327357</v>
      </c>
      <c r="AM121" s="11">
        <f t="shared" si="48"/>
        <v>63.477138882314897</v>
      </c>
      <c r="AN121" s="11">
        <f t="shared" si="48"/>
        <v>63.068141067715104</v>
      </c>
      <c r="AO121" s="11">
        <f t="shared" si="48"/>
        <v>62.713008283495824</v>
      </c>
    </row>
    <row r="122" spans="1:41">
      <c r="A122" t="s">
        <v>4</v>
      </c>
      <c r="B122" t="s">
        <v>116</v>
      </c>
      <c r="C122" s="11">
        <f>1233/5</f>
        <v>246.6</v>
      </c>
      <c r="D122" s="11">
        <f>1073/5</f>
        <v>214.6</v>
      </c>
      <c r="E122" s="11">
        <f t="shared" ref="E122:H123" si="49">1073/5</f>
        <v>214.6</v>
      </c>
      <c r="F122" s="11">
        <f t="shared" si="49"/>
        <v>214.6</v>
      </c>
      <c r="G122" s="11">
        <f t="shared" si="49"/>
        <v>214.6</v>
      </c>
      <c r="H122" s="11">
        <f t="shared" si="49"/>
        <v>214.6</v>
      </c>
      <c r="I122" s="11">
        <f>983/5</f>
        <v>196.6</v>
      </c>
      <c r="J122" s="11">
        <f t="shared" ref="J122:M123" si="50">983/5</f>
        <v>196.6</v>
      </c>
      <c r="K122" s="11">
        <f t="shared" si="50"/>
        <v>196.6</v>
      </c>
      <c r="L122" s="11">
        <f t="shared" si="50"/>
        <v>196.6</v>
      </c>
      <c r="M122" s="11">
        <f t="shared" si="50"/>
        <v>196.6</v>
      </c>
      <c r="N122" s="11">
        <f>690/5</f>
        <v>138</v>
      </c>
      <c r="O122" s="11">
        <f t="shared" ref="O122:R122" si="51">690/5</f>
        <v>138</v>
      </c>
      <c r="P122" s="11">
        <f t="shared" si="51"/>
        <v>138</v>
      </c>
      <c r="Q122" s="11">
        <f t="shared" si="51"/>
        <v>138</v>
      </c>
      <c r="R122" s="11">
        <f t="shared" si="51"/>
        <v>138</v>
      </c>
    </row>
    <row r="123" spans="1:41">
      <c r="A123" t="s">
        <v>4</v>
      </c>
      <c r="B123" t="s">
        <v>117</v>
      </c>
      <c r="C123" s="11">
        <f>1233/5</f>
        <v>246.6</v>
      </c>
      <c r="D123" s="11">
        <f t="shared" ref="D123" si="52">1073/5</f>
        <v>214.6</v>
      </c>
      <c r="E123" s="11">
        <f t="shared" si="49"/>
        <v>214.6</v>
      </c>
      <c r="F123" s="11">
        <f t="shared" si="49"/>
        <v>214.6</v>
      </c>
      <c r="G123" s="11">
        <f t="shared" si="49"/>
        <v>214.6</v>
      </c>
      <c r="H123" s="11">
        <f t="shared" si="49"/>
        <v>214.6</v>
      </c>
      <c r="I123" s="11">
        <f t="shared" ref="I123" si="53">983/5</f>
        <v>196.6</v>
      </c>
      <c r="J123" s="11">
        <f t="shared" si="50"/>
        <v>196.6</v>
      </c>
      <c r="K123" s="11">
        <f t="shared" si="50"/>
        <v>196.6</v>
      </c>
      <c r="L123" s="11">
        <f t="shared" si="50"/>
        <v>196.6</v>
      </c>
      <c r="M123" s="11">
        <f t="shared" si="50"/>
        <v>196.6</v>
      </c>
      <c r="N123" s="11">
        <f>860/5</f>
        <v>172</v>
      </c>
      <c r="O123" s="11">
        <f t="shared" ref="O123:R123" si="54">860/5</f>
        <v>172</v>
      </c>
      <c r="P123" s="11">
        <f t="shared" si="54"/>
        <v>172</v>
      </c>
      <c r="Q123" s="11">
        <f t="shared" si="54"/>
        <v>172</v>
      </c>
      <c r="R123" s="11">
        <f t="shared" si="54"/>
        <v>172</v>
      </c>
    </row>
  </sheetData>
  <hyperlinks>
    <hyperlink ref="B4" r:id="rId1"/>
  </hyperlinks>
  <pageMargins left="0.7" right="0.7" top="0.75" bottom="0.75" header="0.3" footer="0.3"/>
  <pageSetup paperSize="9" orientation="portrait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DECC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Counsell Thomas (Strategy)</dc:creator>
  <cp:lastModifiedBy>Thomas Counsell</cp:lastModifiedBy>
  <dcterms:created xsi:type="dcterms:W3CDTF">2013-04-08T14:34:55Z</dcterms:created>
  <dcterms:modified xsi:type="dcterms:W3CDTF">2013-05-14T14:47:06Z</dcterms:modified>
</cp:coreProperties>
</file>