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30"/>
  <workbookPr hidePivotFieldList="1" defaultThemeVersion="166925"/>
  <xr:revisionPtr revIDLastSave="0" documentId="8_{9CB6B31E-8869-45CD-80B0-1D6B9DB19EC5}" xr6:coauthVersionLast="47" xr6:coauthVersionMax="47" xr10:uidLastSave="{00000000-0000-0000-0000-000000000000}"/>
  <bookViews>
    <workbookView xWindow="240" yWindow="105" windowWidth="14805" windowHeight="8010" firstSheet="8" activeTab="10" xr2:uid="{00000000-000D-0000-FFFF-FFFF00000000}"/>
  </bookViews>
  <sheets>
    <sheet name="Errors" sheetId="1" r:id="rId1"/>
    <sheet name="DataLogging" sheetId="2" r:id="rId2"/>
    <sheet name="NimbusTreatments" sheetId="3" r:id="rId3"/>
    <sheet name="Robots" sheetId="5" r:id="rId4"/>
    <sheet name="Sheet1" sheetId="18" r:id="rId5"/>
    <sheet name="ProblemIDs" sheetId="8" r:id="rId6"/>
    <sheet name="Detail1" sheetId="12" r:id="rId7"/>
    <sheet name="support_3rdline" sheetId="4" r:id="rId8"/>
    <sheet name="Error-codes" sheetId="6" r:id="rId9"/>
    <sheet name="Sheet2" sheetId="19" r:id="rId10"/>
    <sheet name="support_V2" sheetId="7" r:id="rId11"/>
    <sheet name="Error-code-pivot" sheetId="11" r:id="rId12"/>
    <sheet name="Diagnose-pivot" sheetId="13" r:id="rId13"/>
    <sheet name="Error-code-diagnose-relation" sheetId="14" r:id="rId14"/>
    <sheet name="Lane-pivot" sheetId="16" r:id="rId15"/>
    <sheet name="Diagnose-testing" sheetId="17" r:id="rId16"/>
  </sheets>
  <definedNames>
    <definedName name="_xlnm._FilterDatabase" localSheetId="1" hidden="1">DataLogging!$A$1:$K$1</definedName>
    <definedName name="_xlnm._FilterDatabase" localSheetId="0" hidden="1">Errors!$A$1:$R$1</definedName>
    <definedName name="_xlnm._FilterDatabase" localSheetId="2" hidden="1">NimbusTreatments!$A$1:$O$1</definedName>
    <definedName name="_xlnm._FilterDatabase" localSheetId="7" hidden="1">support_3rdline!$A$1:$S$144</definedName>
    <definedName name="_xlnm._FilterDatabase" localSheetId="10" hidden="1">support_V2!$A$1:$V$774</definedName>
    <definedName name="_xlnm._FilterDatabase" localSheetId="8" hidden="1">'Error-codes'!$A$1:$C$1</definedName>
  </definedNames>
  <calcPr calcId="191028"/>
  <pivotCaches>
    <pivotCache cacheId="34178" r:id="rId1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2316" i="7" l="1"/>
  <c r="U2315" i="7"/>
  <c r="U2314" i="7"/>
  <c r="U2313" i="7"/>
  <c r="U2312" i="7"/>
  <c r="U2311" i="7"/>
  <c r="U2310" i="7"/>
  <c r="U2309" i="7"/>
  <c r="O2316" i="7"/>
  <c r="O2315" i="7"/>
  <c r="O2314" i="7"/>
  <c r="O2313" i="7"/>
  <c r="O2312" i="7"/>
  <c r="O2311" i="7"/>
  <c r="O2310" i="7"/>
  <c r="O2309" i="7"/>
  <c r="U2308" i="7"/>
  <c r="U2307" i="7"/>
  <c r="U2306" i="7"/>
  <c r="U2305" i="7"/>
  <c r="U2304" i="7"/>
  <c r="U2303" i="7"/>
  <c r="O2308" i="7"/>
  <c r="O2307" i="7"/>
  <c r="O2306" i="7"/>
  <c r="O2305" i="7"/>
  <c r="O2304" i="7"/>
  <c r="O2303" i="7"/>
  <c r="U2297" i="7"/>
  <c r="U2298" i="7"/>
  <c r="U2299" i="7"/>
  <c r="U2300" i="7"/>
  <c r="U2301" i="7"/>
  <c r="U2302" i="7"/>
  <c r="O2297" i="7"/>
  <c r="O2298" i="7"/>
  <c r="O2299" i="7"/>
  <c r="O2300" i="7"/>
  <c r="O2301" i="7"/>
  <c r="O2302" i="7"/>
  <c r="U2296" i="7"/>
  <c r="U2295" i="7"/>
  <c r="U2294" i="7"/>
  <c r="U2293" i="7"/>
  <c r="U2292" i="7"/>
  <c r="U2291" i="7"/>
  <c r="U2290" i="7"/>
  <c r="U2289" i="7"/>
  <c r="U2288" i="7"/>
  <c r="U2287" i="7"/>
  <c r="U2286" i="7"/>
  <c r="O2296" i="7"/>
  <c r="O2295" i="7"/>
  <c r="O2294" i="7"/>
  <c r="O2293" i="7"/>
  <c r="O2292" i="7"/>
  <c r="O2291" i="7"/>
  <c r="O2290" i="7"/>
  <c r="O2289" i="7"/>
  <c r="O2288" i="7"/>
  <c r="O2287" i="7"/>
  <c r="O2286" i="7"/>
  <c r="U2285" i="7"/>
  <c r="U2284" i="7"/>
  <c r="O2285" i="7"/>
  <c r="O2284" i="7"/>
  <c r="U2283" i="7"/>
  <c r="U2282" i="7"/>
  <c r="O2283" i="7"/>
  <c r="O2282" i="7"/>
  <c r="U2281" i="7"/>
  <c r="U2280" i="7"/>
  <c r="U2279" i="7"/>
  <c r="U2278" i="7"/>
  <c r="U2277" i="7"/>
  <c r="U2276" i="7"/>
  <c r="U2275" i="7"/>
  <c r="U2274" i="7"/>
  <c r="U2273" i="7"/>
  <c r="U2272" i="7"/>
  <c r="U2271" i="7"/>
  <c r="U2270" i="7"/>
  <c r="U2269" i="7"/>
  <c r="U2268" i="7"/>
  <c r="U2267" i="7"/>
  <c r="U2266" i="7"/>
  <c r="U2265" i="7"/>
  <c r="U2264" i="7"/>
  <c r="U2263" i="7"/>
  <c r="U2262" i="7"/>
  <c r="U2261" i="7"/>
  <c r="U2260" i="7"/>
  <c r="U2259" i="7"/>
  <c r="U2258" i="7"/>
  <c r="U2257" i="7"/>
  <c r="U2256" i="7"/>
  <c r="U2255" i="7"/>
  <c r="U2254" i="7"/>
  <c r="U2253" i="7"/>
  <c r="U2252" i="7"/>
  <c r="U2251" i="7"/>
  <c r="U2250" i="7"/>
  <c r="U2249" i="7"/>
  <c r="U2248" i="7"/>
  <c r="U2247" i="7"/>
  <c r="U2246" i="7"/>
  <c r="U2245" i="7"/>
  <c r="U2244" i="7"/>
  <c r="U2243" i="7"/>
  <c r="U2242" i="7"/>
  <c r="U2241" i="7"/>
  <c r="U2240" i="7"/>
  <c r="U2239" i="7"/>
  <c r="U2238" i="7"/>
  <c r="U2237" i="7"/>
  <c r="U2236" i="7"/>
  <c r="U2235" i="7"/>
  <c r="U2234" i="7"/>
  <c r="U2233" i="7"/>
  <c r="U2232" i="7"/>
  <c r="U2231" i="7"/>
  <c r="U2230" i="7"/>
  <c r="U2229" i="7"/>
  <c r="U2228" i="7"/>
  <c r="U2227" i="7"/>
  <c r="U2226" i="7"/>
  <c r="U2225" i="7"/>
  <c r="U2224" i="7"/>
  <c r="U2223" i="7"/>
  <c r="U2222" i="7"/>
  <c r="U2221" i="7"/>
  <c r="U2220" i="7"/>
  <c r="U2219" i="7"/>
  <c r="U2218" i="7"/>
  <c r="U2217" i="7"/>
  <c r="U2216" i="7"/>
  <c r="U2215" i="7"/>
  <c r="U2214" i="7"/>
  <c r="U2213" i="7"/>
  <c r="U2212" i="7"/>
  <c r="U2211" i="7"/>
  <c r="U2210" i="7"/>
  <c r="U2209" i="7"/>
  <c r="U2208" i="7"/>
  <c r="U2207" i="7"/>
  <c r="U2206" i="7"/>
  <c r="U2205" i="7"/>
  <c r="U2204" i="7"/>
  <c r="U2203" i="7"/>
  <c r="U2202" i="7"/>
  <c r="U2201" i="7"/>
  <c r="U2200" i="7"/>
  <c r="U2199" i="7"/>
  <c r="U2198" i="7"/>
  <c r="U2197" i="7"/>
  <c r="U2196" i="7"/>
  <c r="U2195" i="7"/>
  <c r="U2194" i="7"/>
  <c r="U2193" i="7"/>
  <c r="U2192" i="7"/>
  <c r="U2191" i="7"/>
  <c r="U2190" i="7"/>
  <c r="U2189" i="7"/>
  <c r="U2188" i="7"/>
  <c r="U2187" i="7"/>
  <c r="U2186" i="7"/>
  <c r="U2185" i="7"/>
  <c r="U2184" i="7"/>
  <c r="U2183" i="7"/>
  <c r="U2182" i="7"/>
  <c r="U2181" i="7"/>
  <c r="U2180" i="7"/>
  <c r="U2179" i="7"/>
  <c r="U2178" i="7"/>
  <c r="U2177" i="7"/>
  <c r="U2176" i="7"/>
  <c r="U2175" i="7"/>
  <c r="U2174" i="7"/>
  <c r="U2173" i="7"/>
  <c r="U2172" i="7"/>
  <c r="U2171" i="7"/>
  <c r="U2170" i="7"/>
  <c r="U2169" i="7"/>
  <c r="U2168" i="7"/>
  <c r="U2167" i="7"/>
  <c r="U2166" i="7"/>
  <c r="U2165" i="7"/>
  <c r="U2164" i="7"/>
  <c r="U2163" i="7"/>
  <c r="U2162" i="7"/>
  <c r="U2161" i="7"/>
  <c r="U2160" i="7"/>
  <c r="U2159" i="7"/>
  <c r="U2158" i="7"/>
  <c r="U2157" i="7"/>
  <c r="O2281" i="7"/>
  <c r="O2280" i="7"/>
  <c r="O2279" i="7"/>
  <c r="O2278" i="7"/>
  <c r="O2277" i="7"/>
  <c r="O2276" i="7"/>
  <c r="O2275" i="7"/>
  <c r="O2274" i="7"/>
  <c r="O2273" i="7"/>
  <c r="O2272" i="7"/>
  <c r="O2271" i="7"/>
  <c r="O2270" i="7"/>
  <c r="O2269" i="7"/>
  <c r="O2268" i="7"/>
  <c r="O2267" i="7"/>
  <c r="O2266" i="7"/>
  <c r="O2265" i="7"/>
  <c r="O2264" i="7"/>
  <c r="O2263" i="7"/>
  <c r="O2262" i="7"/>
  <c r="O2261" i="7"/>
  <c r="O2260" i="7"/>
  <c r="O2259" i="7"/>
  <c r="O2258" i="7"/>
  <c r="O2257" i="7"/>
  <c r="O2256" i="7"/>
  <c r="O2255" i="7"/>
  <c r="O2254" i="7"/>
  <c r="O2253" i="7"/>
  <c r="O2252" i="7"/>
  <c r="O2251" i="7"/>
  <c r="O2250" i="7"/>
  <c r="O2249" i="7"/>
  <c r="O2248" i="7"/>
  <c r="O2247" i="7"/>
  <c r="O2246" i="7"/>
  <c r="O2245" i="7"/>
  <c r="O2244" i="7"/>
  <c r="O2243" i="7"/>
  <c r="O2242" i="7"/>
  <c r="O2241" i="7"/>
  <c r="O2240" i="7"/>
  <c r="O2239" i="7"/>
  <c r="O2238" i="7"/>
  <c r="O2237" i="7"/>
  <c r="O2236" i="7"/>
  <c r="O2235" i="7"/>
  <c r="O2234" i="7"/>
  <c r="O2233" i="7"/>
  <c r="O2232" i="7"/>
  <c r="O2231" i="7"/>
  <c r="O2230" i="7"/>
  <c r="O2229" i="7"/>
  <c r="O2228" i="7"/>
  <c r="O2227" i="7"/>
  <c r="O2226" i="7"/>
  <c r="O2225" i="7"/>
  <c r="O2224" i="7"/>
  <c r="O2223" i="7"/>
  <c r="O2222" i="7"/>
  <c r="O2221" i="7"/>
  <c r="O2220" i="7"/>
  <c r="O2219" i="7"/>
  <c r="O2218" i="7"/>
  <c r="O2217" i="7"/>
  <c r="O2216" i="7"/>
  <c r="O2215" i="7"/>
  <c r="O2214" i="7"/>
  <c r="O2213" i="7"/>
  <c r="O2212" i="7"/>
  <c r="O2211" i="7"/>
  <c r="O2210" i="7"/>
  <c r="O2209" i="7"/>
  <c r="O2208" i="7"/>
  <c r="O2207" i="7"/>
  <c r="O2206" i="7"/>
  <c r="O2205" i="7"/>
  <c r="O2204" i="7"/>
  <c r="O2203" i="7"/>
  <c r="O2202" i="7"/>
  <c r="O2201" i="7"/>
  <c r="O2200" i="7"/>
  <c r="O2199" i="7"/>
  <c r="O2198" i="7"/>
  <c r="O2197" i="7"/>
  <c r="O2196" i="7"/>
  <c r="O2195" i="7"/>
  <c r="O2194" i="7"/>
  <c r="O2193" i="7"/>
  <c r="O2192" i="7"/>
  <c r="O2191" i="7"/>
  <c r="O2190" i="7"/>
  <c r="O2189" i="7"/>
  <c r="O2188" i="7"/>
  <c r="O2187" i="7"/>
  <c r="O2186" i="7"/>
  <c r="O2185" i="7"/>
  <c r="O2184" i="7"/>
  <c r="O2183" i="7"/>
  <c r="O2182" i="7"/>
  <c r="O2181" i="7"/>
  <c r="O2180" i="7"/>
  <c r="O2179" i="7"/>
  <c r="O2178" i="7"/>
  <c r="O2177" i="7"/>
  <c r="O2176" i="7"/>
  <c r="O2175" i="7"/>
  <c r="O2174" i="7"/>
  <c r="O2173" i="7"/>
  <c r="O2172" i="7"/>
  <c r="O2171" i="7"/>
  <c r="O2170" i="7"/>
  <c r="O2169" i="7"/>
  <c r="O2168" i="7"/>
  <c r="O2167" i="7"/>
  <c r="O2166" i="7"/>
  <c r="O2165" i="7"/>
  <c r="O2164" i="7"/>
  <c r="O2163" i="7"/>
  <c r="O2162" i="7"/>
  <c r="O2161" i="7"/>
  <c r="O2160" i="7"/>
  <c r="O2159" i="7"/>
  <c r="O2158" i="7"/>
  <c r="O2157" i="7"/>
  <c r="U2156" i="7"/>
  <c r="U2155" i="7"/>
  <c r="U2154" i="7"/>
  <c r="U2153" i="7"/>
  <c r="U2152" i="7"/>
  <c r="U2151" i="7"/>
  <c r="U2150" i="7"/>
  <c r="U2149" i="7"/>
  <c r="O2156" i="7"/>
  <c r="O2155" i="7"/>
  <c r="O2154" i="7"/>
  <c r="O2153" i="7"/>
  <c r="O2152" i="7"/>
  <c r="O2151" i="7"/>
  <c r="O2150" i="7"/>
  <c r="O2149" i="7"/>
  <c r="O2148" i="7"/>
  <c r="U2148" i="7"/>
  <c r="O2146" i="7"/>
  <c r="O2147" i="7"/>
  <c r="U2146" i="7"/>
  <c r="U2147" i="7"/>
  <c r="O2137" i="7"/>
  <c r="O2138" i="7"/>
  <c r="O2139" i="7"/>
  <c r="O2140" i="7"/>
  <c r="O2141" i="7"/>
  <c r="O2142" i="7"/>
  <c r="O2143" i="7"/>
  <c r="O2144" i="7"/>
  <c r="O2145" i="7"/>
  <c r="U2137" i="7"/>
  <c r="U2138" i="7"/>
  <c r="U2139" i="7"/>
  <c r="U2140" i="7"/>
  <c r="U2141" i="7"/>
  <c r="U2142" i="7"/>
  <c r="U2143" i="7"/>
  <c r="U2144" i="7"/>
  <c r="U2145" i="7"/>
  <c r="M2145" i="7"/>
  <c r="M2144" i="7"/>
  <c r="M2143" i="7"/>
  <c r="M2142" i="7"/>
  <c r="M2141" i="7"/>
  <c r="M2140" i="7"/>
  <c r="M2139" i="7"/>
  <c r="M2138" i="7"/>
  <c r="M2137" i="7"/>
  <c r="O2135" i="7"/>
  <c r="O2136" i="7"/>
  <c r="U2135" i="7"/>
  <c r="U2136" i="7"/>
  <c r="O2133" i="7"/>
  <c r="O2134" i="7"/>
  <c r="U2133" i="7"/>
  <c r="U2134" i="7"/>
  <c r="O2045" i="7"/>
  <c r="O2046" i="7"/>
  <c r="O2047" i="7"/>
  <c r="O2048" i="7"/>
  <c r="O2049" i="7"/>
  <c r="O2050" i="7"/>
  <c r="O2051" i="7"/>
  <c r="O2052" i="7"/>
  <c r="O2053" i="7"/>
  <c r="O2054" i="7"/>
  <c r="O2055" i="7"/>
  <c r="O2056" i="7"/>
  <c r="O2057" i="7"/>
  <c r="O2058" i="7"/>
  <c r="O2059" i="7"/>
  <c r="O2060" i="7"/>
  <c r="O2061" i="7"/>
  <c r="O2062" i="7"/>
  <c r="O2063" i="7"/>
  <c r="O2064" i="7"/>
  <c r="O2065" i="7"/>
  <c r="O2066" i="7"/>
  <c r="O2067" i="7"/>
  <c r="O2068" i="7"/>
  <c r="O2069" i="7"/>
  <c r="O2070" i="7"/>
  <c r="O2071" i="7"/>
  <c r="O2072" i="7"/>
  <c r="O2073" i="7"/>
  <c r="O2074" i="7"/>
  <c r="O2075" i="7"/>
  <c r="O2076" i="7"/>
  <c r="O2077" i="7"/>
  <c r="O2078" i="7"/>
  <c r="O2079" i="7"/>
  <c r="O2080" i="7"/>
  <c r="O2081" i="7"/>
  <c r="O2082" i="7"/>
  <c r="O2083" i="7"/>
  <c r="O2084" i="7"/>
  <c r="O2085" i="7"/>
  <c r="O2086" i="7"/>
  <c r="O2087" i="7"/>
  <c r="O2088" i="7"/>
  <c r="O2089" i="7"/>
  <c r="O2090" i="7"/>
  <c r="O2091" i="7"/>
  <c r="O2092" i="7"/>
  <c r="O2093" i="7"/>
  <c r="O2094" i="7"/>
  <c r="O2095" i="7"/>
  <c r="O2096" i="7"/>
  <c r="O2097" i="7"/>
  <c r="O2098" i="7"/>
  <c r="O2099" i="7"/>
  <c r="O2100" i="7"/>
  <c r="O2101" i="7"/>
  <c r="O2102" i="7"/>
  <c r="O2103" i="7"/>
  <c r="O2104" i="7"/>
  <c r="O2105" i="7"/>
  <c r="O2106" i="7"/>
  <c r="O2107" i="7"/>
  <c r="O2108" i="7"/>
  <c r="O2109" i="7"/>
  <c r="O2110" i="7"/>
  <c r="O2111" i="7"/>
  <c r="O2112" i="7"/>
  <c r="O2113" i="7"/>
  <c r="O2114" i="7"/>
  <c r="O2115" i="7"/>
  <c r="O2116" i="7"/>
  <c r="O2117" i="7"/>
  <c r="O2118" i="7"/>
  <c r="O2119" i="7"/>
  <c r="O2120" i="7"/>
  <c r="O2121" i="7"/>
  <c r="O2122" i="7"/>
  <c r="O2123" i="7"/>
  <c r="O2124" i="7"/>
  <c r="O2125" i="7"/>
  <c r="O2126" i="7"/>
  <c r="O2127" i="7"/>
  <c r="O2128" i="7"/>
  <c r="O2129" i="7"/>
  <c r="O2130" i="7"/>
  <c r="O2131" i="7"/>
  <c r="O2132" i="7"/>
  <c r="U2045" i="7"/>
  <c r="U2046" i="7"/>
  <c r="U2047" i="7"/>
  <c r="U2048" i="7"/>
  <c r="U2049" i="7"/>
  <c r="U2050" i="7"/>
  <c r="U2051" i="7"/>
  <c r="U2052" i="7"/>
  <c r="U2053" i="7"/>
  <c r="U2054" i="7"/>
  <c r="U2055" i="7"/>
  <c r="U2056" i="7"/>
  <c r="U2057" i="7"/>
  <c r="U2058" i="7"/>
  <c r="U2059" i="7"/>
  <c r="U2060" i="7"/>
  <c r="U2061" i="7"/>
  <c r="U2062" i="7"/>
  <c r="U2063" i="7"/>
  <c r="U2064" i="7"/>
  <c r="U2065" i="7"/>
  <c r="U2066" i="7"/>
  <c r="U2067" i="7"/>
  <c r="U2068" i="7"/>
  <c r="U2069" i="7"/>
  <c r="U2070" i="7"/>
  <c r="U2071" i="7"/>
  <c r="U2072" i="7"/>
  <c r="U2073" i="7"/>
  <c r="U2074" i="7"/>
  <c r="U2075" i="7"/>
  <c r="U2076" i="7"/>
  <c r="U2077" i="7"/>
  <c r="U2078" i="7"/>
  <c r="U2079" i="7"/>
  <c r="U2080" i="7"/>
  <c r="U2081" i="7"/>
  <c r="U2082" i="7"/>
  <c r="U2083" i="7"/>
  <c r="U2084" i="7"/>
  <c r="U2085" i="7"/>
  <c r="U2086" i="7"/>
  <c r="U2087" i="7"/>
  <c r="U2088" i="7"/>
  <c r="U2089" i="7"/>
  <c r="U2090" i="7"/>
  <c r="U2091" i="7"/>
  <c r="U2092" i="7"/>
  <c r="U2093" i="7"/>
  <c r="U2094" i="7"/>
  <c r="U2095" i="7"/>
  <c r="U2096" i="7"/>
  <c r="U2097" i="7"/>
  <c r="U2098" i="7"/>
  <c r="U2099" i="7"/>
  <c r="U2100" i="7"/>
  <c r="U2101" i="7"/>
  <c r="U2102" i="7"/>
  <c r="U2103" i="7"/>
  <c r="U2104" i="7"/>
  <c r="U2105" i="7"/>
  <c r="U2106" i="7"/>
  <c r="U2107" i="7"/>
  <c r="U2108" i="7"/>
  <c r="U2109" i="7"/>
  <c r="U2110" i="7"/>
  <c r="U2111" i="7"/>
  <c r="U2112" i="7"/>
  <c r="U2113" i="7"/>
  <c r="U2114" i="7"/>
  <c r="U2115" i="7"/>
  <c r="U2116" i="7"/>
  <c r="U2117" i="7"/>
  <c r="U2118" i="7"/>
  <c r="U2119" i="7"/>
  <c r="U2120" i="7"/>
  <c r="U2121" i="7"/>
  <c r="U2122" i="7"/>
  <c r="U2123" i="7"/>
  <c r="U2124" i="7"/>
  <c r="U2125" i="7"/>
  <c r="U2126" i="7"/>
  <c r="U2127" i="7"/>
  <c r="U2128" i="7"/>
  <c r="U2129" i="7"/>
  <c r="U2130" i="7"/>
  <c r="U2131" i="7"/>
  <c r="U2132" i="7"/>
  <c r="O2044" i="7"/>
  <c r="U2044" i="7"/>
  <c r="M2044" i="7"/>
  <c r="O2031" i="7"/>
  <c r="O2032" i="7"/>
  <c r="O2033" i="7"/>
  <c r="O2034" i="7"/>
  <c r="O2035" i="7"/>
  <c r="O2036" i="7"/>
  <c r="O2037" i="7"/>
  <c r="O2038" i="7"/>
  <c r="O2039" i="7"/>
  <c r="O2040" i="7"/>
  <c r="O2041" i="7"/>
  <c r="O2042" i="7"/>
  <c r="O2043" i="7"/>
  <c r="U2031" i="7"/>
  <c r="U2032" i="7"/>
  <c r="U2033" i="7"/>
  <c r="U2034" i="7"/>
  <c r="U2035" i="7"/>
  <c r="U2036" i="7"/>
  <c r="U2037" i="7"/>
  <c r="U2038" i="7"/>
  <c r="U2039" i="7"/>
  <c r="U2040" i="7"/>
  <c r="U2041" i="7"/>
  <c r="U2042" i="7"/>
  <c r="U2043" i="7"/>
  <c r="M2033" i="7"/>
  <c r="M2032" i="7"/>
  <c r="M2031" i="7"/>
  <c r="O2005" i="7"/>
  <c r="O2006" i="7"/>
  <c r="O2007" i="7"/>
  <c r="O2008" i="7"/>
  <c r="O2009" i="7"/>
  <c r="O2010" i="7"/>
  <c r="O2011" i="7"/>
  <c r="O2012" i="7"/>
  <c r="O2013" i="7"/>
  <c r="O2014" i="7"/>
  <c r="O2015" i="7"/>
  <c r="O2016" i="7"/>
  <c r="O2017" i="7"/>
  <c r="O2018" i="7"/>
  <c r="O2019" i="7"/>
  <c r="O2020" i="7"/>
  <c r="O2021" i="7"/>
  <c r="O2022" i="7"/>
  <c r="O2023" i="7"/>
  <c r="O2024" i="7"/>
  <c r="O2025" i="7"/>
  <c r="O2026" i="7"/>
  <c r="O2027" i="7"/>
  <c r="O2028" i="7"/>
  <c r="O2029" i="7"/>
  <c r="O2030" i="7"/>
  <c r="U2005" i="7"/>
  <c r="U2006" i="7"/>
  <c r="U2007" i="7"/>
  <c r="U2008" i="7"/>
  <c r="U2009" i="7"/>
  <c r="U2010" i="7"/>
  <c r="U2011" i="7"/>
  <c r="U2012" i="7"/>
  <c r="U2013" i="7"/>
  <c r="U2014" i="7"/>
  <c r="U2015" i="7"/>
  <c r="U2016" i="7"/>
  <c r="U2017" i="7"/>
  <c r="U2018" i="7"/>
  <c r="U2019" i="7"/>
  <c r="U2020" i="7"/>
  <c r="U2021" i="7"/>
  <c r="U2022" i="7"/>
  <c r="U2023" i="7"/>
  <c r="U2024" i="7"/>
  <c r="U2025" i="7"/>
  <c r="U2026" i="7"/>
  <c r="U2027" i="7"/>
  <c r="U2028" i="7"/>
  <c r="U2029" i="7"/>
  <c r="U2030" i="7"/>
  <c r="M2026" i="7"/>
  <c r="M2025" i="7"/>
  <c r="M2024" i="7"/>
  <c r="M2022" i="7"/>
  <c r="O2003" i="7"/>
  <c r="O2004" i="7"/>
  <c r="O2002" i="7"/>
  <c r="U2003" i="7"/>
  <c r="U2004" i="7"/>
  <c r="U2002" i="7"/>
  <c r="O1985" i="7"/>
  <c r="O1986" i="7"/>
  <c r="O1987" i="7"/>
  <c r="O1988" i="7"/>
  <c r="O1989" i="7"/>
  <c r="O1990" i="7"/>
  <c r="O1991" i="7"/>
  <c r="O1992" i="7"/>
  <c r="O1993" i="7"/>
  <c r="O1994" i="7"/>
  <c r="O1995" i="7"/>
  <c r="O1996" i="7"/>
  <c r="O1997" i="7"/>
  <c r="O1998" i="7"/>
  <c r="O1999" i="7"/>
  <c r="O2000" i="7"/>
  <c r="O2001" i="7"/>
  <c r="U1985" i="7"/>
  <c r="U1986" i="7"/>
  <c r="U1987" i="7"/>
  <c r="U1988" i="7"/>
  <c r="U1989" i="7"/>
  <c r="U1990" i="7"/>
  <c r="U1991" i="7"/>
  <c r="U1992" i="7"/>
  <c r="U1993" i="7"/>
  <c r="U1994" i="7"/>
  <c r="U1995" i="7"/>
  <c r="U1996" i="7"/>
  <c r="U1997" i="7"/>
  <c r="U1998" i="7"/>
  <c r="U1999" i="7"/>
  <c r="U2000" i="7"/>
  <c r="U2001" i="7"/>
  <c r="M2001" i="7"/>
  <c r="M2000" i="7"/>
  <c r="M1994" i="7"/>
  <c r="M1993" i="7"/>
  <c r="M1991" i="7"/>
  <c r="M1990" i="7"/>
  <c r="O1977" i="7"/>
  <c r="O1978" i="7"/>
  <c r="O1979" i="7"/>
  <c r="O1980" i="7"/>
  <c r="O1981" i="7"/>
  <c r="O1982" i="7"/>
  <c r="O1983" i="7"/>
  <c r="O1984" i="7"/>
  <c r="U1977" i="7"/>
  <c r="U1978" i="7"/>
  <c r="U1979" i="7"/>
  <c r="U1980" i="7"/>
  <c r="U1981" i="7"/>
  <c r="U1982" i="7"/>
  <c r="U1983" i="7"/>
  <c r="U1984" i="7"/>
  <c r="M1984" i="7"/>
  <c r="M1983" i="7"/>
  <c r="M1979" i="7"/>
  <c r="M1978" i="7"/>
  <c r="M1977" i="7"/>
  <c r="O1956" i="7"/>
  <c r="O1957" i="7"/>
  <c r="O1958" i="7"/>
  <c r="O1959" i="7"/>
  <c r="O1960" i="7"/>
  <c r="O1961" i="7"/>
  <c r="O1962" i="7"/>
  <c r="O1963" i="7"/>
  <c r="O1964" i="7"/>
  <c r="O1965" i="7"/>
  <c r="O1966" i="7"/>
  <c r="O1967" i="7"/>
  <c r="O1968" i="7"/>
  <c r="O1969" i="7"/>
  <c r="O1970" i="7"/>
  <c r="O1971" i="7"/>
  <c r="O1972" i="7"/>
  <c r="O1973" i="7"/>
  <c r="O1974" i="7"/>
  <c r="O1975" i="7"/>
  <c r="O1976" i="7"/>
  <c r="U1956" i="7"/>
  <c r="U1957" i="7"/>
  <c r="U1958" i="7"/>
  <c r="U1959" i="7"/>
  <c r="U1960" i="7"/>
  <c r="U1961" i="7"/>
  <c r="U1962" i="7"/>
  <c r="U1963" i="7"/>
  <c r="U1964" i="7"/>
  <c r="U1965" i="7"/>
  <c r="U1966" i="7"/>
  <c r="U1967" i="7"/>
  <c r="U1968" i="7"/>
  <c r="U1969" i="7"/>
  <c r="U1970" i="7"/>
  <c r="U1971" i="7"/>
  <c r="U1972" i="7"/>
  <c r="U1973" i="7"/>
  <c r="U1974" i="7"/>
  <c r="U1975" i="7"/>
  <c r="U1976" i="7"/>
  <c r="M1976" i="7"/>
  <c r="M1975" i="7"/>
  <c r="M1974" i="7"/>
  <c r="M1973" i="7"/>
  <c r="M1970" i="7"/>
  <c r="M1969" i="7"/>
  <c r="M1968" i="7"/>
  <c r="M1966" i="7"/>
  <c r="M1965" i="7"/>
  <c r="M1962" i="7"/>
  <c r="M1961" i="7"/>
  <c r="M1960" i="7"/>
  <c r="M1959" i="7"/>
  <c r="M1958" i="7"/>
  <c r="M1957" i="7"/>
  <c r="M1956" i="7"/>
  <c r="O1939" i="7"/>
  <c r="O1940" i="7"/>
  <c r="O1941" i="7"/>
  <c r="O1942" i="7"/>
  <c r="O1943" i="7"/>
  <c r="O1944" i="7"/>
  <c r="O1945" i="7"/>
  <c r="O1946" i="7"/>
  <c r="O1947" i="7"/>
  <c r="O1948" i="7"/>
  <c r="O1949" i="7"/>
  <c r="O1950" i="7"/>
  <c r="O1951" i="7"/>
  <c r="O1952" i="7"/>
  <c r="O1953" i="7"/>
  <c r="O1954" i="7"/>
  <c r="O1955" i="7"/>
  <c r="U1939" i="7"/>
  <c r="U1940" i="7"/>
  <c r="U1941" i="7"/>
  <c r="U1942" i="7"/>
  <c r="U1943" i="7"/>
  <c r="U1944" i="7"/>
  <c r="U1945" i="7"/>
  <c r="U1946" i="7"/>
  <c r="U1947" i="7"/>
  <c r="U1948" i="7"/>
  <c r="U1949" i="7"/>
  <c r="U1950" i="7"/>
  <c r="U1951" i="7"/>
  <c r="U1952" i="7"/>
  <c r="U1953" i="7"/>
  <c r="U1954" i="7"/>
  <c r="U1955" i="7"/>
  <c r="M1955" i="7"/>
  <c r="M1954" i="7"/>
  <c r="M1953" i="7"/>
  <c r="M1952" i="7"/>
  <c r="M1951" i="7"/>
  <c r="M1950" i="7"/>
  <c r="M1948" i="7"/>
  <c r="M1947" i="7"/>
  <c r="M1946" i="7"/>
  <c r="M1944" i="7"/>
  <c r="M1943" i="7"/>
  <c r="M1942" i="7"/>
  <c r="M1941" i="7"/>
  <c r="M1940" i="7"/>
  <c r="M1939" i="7"/>
  <c r="O1914" i="7"/>
  <c r="O1915" i="7"/>
  <c r="O1916" i="7"/>
  <c r="O1917" i="7"/>
  <c r="O1918" i="7"/>
  <c r="O1919" i="7"/>
  <c r="O1920" i="7"/>
  <c r="O1921" i="7"/>
  <c r="O1922" i="7"/>
  <c r="O1923" i="7"/>
  <c r="O1924" i="7"/>
  <c r="O1925" i="7"/>
  <c r="O1926" i="7"/>
  <c r="O1927" i="7"/>
  <c r="O1928" i="7"/>
  <c r="O1929" i="7"/>
  <c r="O1930" i="7"/>
  <c r="O1931" i="7"/>
  <c r="O1932" i="7"/>
  <c r="O1933" i="7"/>
  <c r="O1934" i="7"/>
  <c r="O1935" i="7"/>
  <c r="O1936" i="7"/>
  <c r="O1937" i="7"/>
  <c r="O1938" i="7"/>
  <c r="O1913" i="7"/>
  <c r="O1909" i="7"/>
  <c r="O1910" i="7"/>
  <c r="O1911" i="7"/>
  <c r="O1912" i="7"/>
  <c r="O1908" i="7"/>
  <c r="O1906" i="7"/>
  <c r="O1907" i="7"/>
  <c r="O1905" i="7"/>
  <c r="O1824" i="7"/>
  <c r="O1825" i="7"/>
  <c r="O1826" i="7"/>
  <c r="O1827" i="7"/>
  <c r="O1828" i="7"/>
  <c r="O1829" i="7"/>
  <c r="O1830" i="7"/>
  <c r="O1831" i="7"/>
  <c r="O1832" i="7"/>
  <c r="O1833" i="7"/>
  <c r="O1834" i="7"/>
  <c r="O1835" i="7"/>
  <c r="O1836" i="7"/>
  <c r="O1837" i="7"/>
  <c r="O1838" i="7"/>
  <c r="O1839" i="7"/>
  <c r="O1840" i="7"/>
  <c r="O1841" i="7"/>
  <c r="O1842" i="7"/>
  <c r="O1843" i="7"/>
  <c r="O1844" i="7"/>
  <c r="O1845" i="7"/>
  <c r="O1846" i="7"/>
  <c r="O1847" i="7"/>
  <c r="O1848" i="7"/>
  <c r="O1849" i="7"/>
  <c r="O1850" i="7"/>
  <c r="O1851" i="7"/>
  <c r="O1852" i="7"/>
  <c r="O1853" i="7"/>
  <c r="O1854" i="7"/>
  <c r="O1855" i="7"/>
  <c r="O1856" i="7"/>
  <c r="O1857" i="7"/>
  <c r="O1858" i="7"/>
  <c r="O1859" i="7"/>
  <c r="O1860" i="7"/>
  <c r="O1861" i="7"/>
  <c r="O1862" i="7"/>
  <c r="O1863" i="7"/>
  <c r="O1864" i="7"/>
  <c r="O1865" i="7"/>
  <c r="O1866" i="7"/>
  <c r="O1867" i="7"/>
  <c r="O1868" i="7"/>
  <c r="O1869" i="7"/>
  <c r="O1870" i="7"/>
  <c r="O1871" i="7"/>
  <c r="O1872" i="7"/>
  <c r="O1873" i="7"/>
  <c r="O1874" i="7"/>
  <c r="O1875" i="7"/>
  <c r="O1806" i="7"/>
  <c r="O1876" i="7"/>
  <c r="O1877" i="7"/>
  <c r="O1878" i="7"/>
  <c r="O1879" i="7"/>
  <c r="O1807" i="7"/>
  <c r="O1880" i="7"/>
  <c r="O1881" i="7"/>
  <c r="O1882" i="7"/>
  <c r="O1883" i="7"/>
  <c r="O1808" i="7"/>
  <c r="O1809" i="7"/>
  <c r="O1884" i="7"/>
  <c r="O1810" i="7"/>
  <c r="O1885" i="7"/>
  <c r="O1886" i="7"/>
  <c r="O1811" i="7"/>
  <c r="O1812" i="7"/>
  <c r="O1887" i="7"/>
  <c r="O1813" i="7"/>
  <c r="O1888" i="7"/>
  <c r="O1889" i="7"/>
  <c r="O1814" i="7"/>
  <c r="O1815" i="7"/>
  <c r="O1816" i="7"/>
  <c r="O1817" i="7"/>
  <c r="O1818" i="7"/>
  <c r="O1890" i="7"/>
  <c r="O1819" i="7"/>
  <c r="O1820" i="7"/>
  <c r="O1891" i="7"/>
  <c r="O1892" i="7"/>
  <c r="O1821" i="7"/>
  <c r="O1822" i="7"/>
  <c r="O1823" i="7"/>
  <c r="O1893" i="7"/>
  <c r="O1894" i="7"/>
  <c r="O1895" i="7"/>
  <c r="O1896" i="7"/>
  <c r="O1897" i="7"/>
  <c r="O1898" i="7"/>
  <c r="O1899" i="7"/>
  <c r="O1900" i="7"/>
  <c r="O1901" i="7"/>
  <c r="O1902" i="7"/>
  <c r="O1903" i="7"/>
  <c r="O1904" i="7"/>
  <c r="O1805" i="7"/>
  <c r="O1804" i="7"/>
  <c r="O1802" i="7"/>
  <c r="O1803" i="7"/>
  <c r="O1693" i="7"/>
  <c r="O1694" i="7"/>
  <c r="O1695" i="7"/>
  <c r="O1696" i="7"/>
  <c r="O1697" i="7"/>
  <c r="O1698" i="7"/>
  <c r="O1699" i="7"/>
  <c r="O1700" i="7"/>
  <c r="O1701" i="7"/>
  <c r="O1702" i="7"/>
  <c r="O1703" i="7"/>
  <c r="O1704" i="7"/>
  <c r="O1705" i="7"/>
  <c r="O1706" i="7"/>
  <c r="O1707" i="7"/>
  <c r="O1708" i="7"/>
  <c r="O1709" i="7"/>
  <c r="O1710" i="7"/>
  <c r="O1711" i="7"/>
  <c r="O1712" i="7"/>
  <c r="O1713" i="7"/>
  <c r="O1714" i="7"/>
  <c r="O1715" i="7"/>
  <c r="O1716" i="7"/>
  <c r="O1717" i="7"/>
  <c r="O1718" i="7"/>
  <c r="O1719" i="7"/>
  <c r="O1720" i="7"/>
  <c r="O1721" i="7"/>
  <c r="O1722" i="7"/>
  <c r="O1723" i="7"/>
  <c r="O1724" i="7"/>
  <c r="O1725" i="7"/>
  <c r="O1726" i="7"/>
  <c r="O1727" i="7"/>
  <c r="O1728" i="7"/>
  <c r="O1729" i="7"/>
  <c r="O1730" i="7"/>
  <c r="O1731" i="7"/>
  <c r="O1732" i="7"/>
  <c r="O1733" i="7"/>
  <c r="O1734" i="7"/>
  <c r="O1735" i="7"/>
  <c r="O1736" i="7"/>
  <c r="O1737" i="7"/>
  <c r="O1738" i="7"/>
  <c r="O1739" i="7"/>
  <c r="O1740" i="7"/>
  <c r="O1741" i="7"/>
  <c r="O1742" i="7"/>
  <c r="O1743" i="7"/>
  <c r="O1744" i="7"/>
  <c r="O1745" i="7"/>
  <c r="O1746" i="7"/>
  <c r="O1747" i="7"/>
  <c r="O1748" i="7"/>
  <c r="O1749" i="7"/>
  <c r="O1750" i="7"/>
  <c r="O1751" i="7"/>
  <c r="O1752" i="7"/>
  <c r="O1753" i="7"/>
  <c r="O1754" i="7"/>
  <c r="O1755" i="7"/>
  <c r="O1756" i="7"/>
  <c r="O1757" i="7"/>
  <c r="O1758" i="7"/>
  <c r="O1759" i="7"/>
  <c r="O1760" i="7"/>
  <c r="O1761" i="7"/>
  <c r="O1762" i="7"/>
  <c r="O1763" i="7"/>
  <c r="O1764" i="7"/>
  <c r="O1765" i="7"/>
  <c r="O1766" i="7"/>
  <c r="O1767" i="7"/>
  <c r="O1768" i="7"/>
  <c r="O1769" i="7"/>
  <c r="O1770" i="7"/>
  <c r="O1771" i="7"/>
  <c r="O1772" i="7"/>
  <c r="O1773" i="7"/>
  <c r="O1774" i="7"/>
  <c r="O1775" i="7"/>
  <c r="O1776" i="7"/>
  <c r="O1777" i="7"/>
  <c r="O1778" i="7"/>
  <c r="O1779" i="7"/>
  <c r="O1780" i="7"/>
  <c r="O1781" i="7"/>
  <c r="O1782" i="7"/>
  <c r="O1783" i="7"/>
  <c r="O1784" i="7"/>
  <c r="O1785" i="7"/>
  <c r="O1786" i="7"/>
  <c r="O1787" i="7"/>
  <c r="O1788" i="7"/>
  <c r="O1789" i="7"/>
  <c r="O1790" i="7"/>
  <c r="O1791" i="7"/>
  <c r="O1792" i="7"/>
  <c r="O1793" i="7"/>
  <c r="O1794" i="7"/>
  <c r="O1795" i="7"/>
  <c r="O1796" i="7"/>
  <c r="O1797" i="7"/>
  <c r="O1798" i="7"/>
  <c r="O1799" i="7"/>
  <c r="O1800" i="7"/>
  <c r="O1801" i="7"/>
  <c r="O1661" i="7"/>
  <c r="O1662" i="7"/>
  <c r="O1663" i="7"/>
  <c r="O1664" i="7"/>
  <c r="O1665" i="7"/>
  <c r="O1666" i="7"/>
  <c r="O1667" i="7"/>
  <c r="O1668" i="7"/>
  <c r="O1669" i="7"/>
  <c r="O1670" i="7"/>
  <c r="O1671" i="7"/>
  <c r="O1672" i="7"/>
  <c r="O1673" i="7"/>
  <c r="O1674" i="7"/>
  <c r="O1675" i="7"/>
  <c r="O1676" i="7"/>
  <c r="O1677" i="7"/>
  <c r="O1678" i="7"/>
  <c r="O1679" i="7"/>
  <c r="O1680" i="7"/>
  <c r="O1681" i="7"/>
  <c r="O1682" i="7"/>
  <c r="O1683" i="7"/>
  <c r="O1684" i="7"/>
  <c r="O1685" i="7"/>
  <c r="O1686" i="7"/>
  <c r="O1687" i="7"/>
  <c r="O1688" i="7"/>
  <c r="O1689" i="7"/>
  <c r="O1690" i="7"/>
  <c r="O1691" i="7"/>
  <c r="O1692" i="7"/>
  <c r="O1659" i="7"/>
  <c r="O1660" i="7"/>
  <c r="O1657" i="7"/>
  <c r="O1658" i="7"/>
  <c r="O1656" i="7"/>
  <c r="O1654" i="7"/>
  <c r="O1655" i="7"/>
  <c r="O1653" i="7"/>
  <c r="O1652" i="7"/>
  <c r="O1650" i="7"/>
  <c r="O1651" i="7"/>
  <c r="O1648" i="7"/>
  <c r="O1649" i="7"/>
  <c r="O1646" i="7"/>
  <c r="O1647" i="7"/>
  <c r="U1914" i="7"/>
  <c r="U1915" i="7"/>
  <c r="U1916" i="7"/>
  <c r="U1917" i="7"/>
  <c r="U1918" i="7"/>
  <c r="U1919" i="7"/>
  <c r="U1920" i="7"/>
  <c r="U1921" i="7"/>
  <c r="U1922" i="7"/>
  <c r="U1923" i="7"/>
  <c r="U1924" i="7"/>
  <c r="U1925" i="7"/>
  <c r="U1926" i="7"/>
  <c r="U1927" i="7"/>
  <c r="U1928" i="7"/>
  <c r="U1929" i="7"/>
  <c r="U1930" i="7"/>
  <c r="U1931" i="7"/>
  <c r="U1932" i="7"/>
  <c r="U1933" i="7"/>
  <c r="U1934" i="7"/>
  <c r="U1935" i="7"/>
  <c r="U1936" i="7"/>
  <c r="U1937" i="7"/>
  <c r="U1938" i="7"/>
  <c r="U1913" i="7"/>
  <c r="U1909" i="7"/>
  <c r="U1910" i="7"/>
  <c r="U1911" i="7"/>
  <c r="U1912" i="7"/>
  <c r="U1908" i="7"/>
  <c r="U1906" i="7"/>
  <c r="U1907" i="7"/>
  <c r="U1905" i="7"/>
  <c r="U1824" i="7"/>
  <c r="U1825" i="7"/>
  <c r="U1826" i="7"/>
  <c r="U1827" i="7"/>
  <c r="U1828" i="7"/>
  <c r="U1829" i="7"/>
  <c r="U1830" i="7"/>
  <c r="U1831" i="7"/>
  <c r="U1832" i="7"/>
  <c r="U1833" i="7"/>
  <c r="U1834" i="7"/>
  <c r="U1835" i="7"/>
  <c r="U1836" i="7"/>
  <c r="U1837" i="7"/>
  <c r="U1838" i="7"/>
  <c r="U1839" i="7"/>
  <c r="U1840" i="7"/>
  <c r="U1841" i="7"/>
  <c r="U1842" i="7"/>
  <c r="U1843" i="7"/>
  <c r="U1844" i="7"/>
  <c r="U1845" i="7"/>
  <c r="U1846" i="7"/>
  <c r="U1847" i="7"/>
  <c r="U1848" i="7"/>
  <c r="U1849" i="7"/>
  <c r="U1850" i="7"/>
  <c r="U1851" i="7"/>
  <c r="U1852" i="7"/>
  <c r="U1853" i="7"/>
  <c r="U1854" i="7"/>
  <c r="U1855" i="7"/>
  <c r="U1856" i="7"/>
  <c r="U1857" i="7"/>
  <c r="U1858" i="7"/>
  <c r="U1859" i="7"/>
  <c r="U1860" i="7"/>
  <c r="U1861" i="7"/>
  <c r="U1862" i="7"/>
  <c r="U1863" i="7"/>
  <c r="U1864" i="7"/>
  <c r="U1865" i="7"/>
  <c r="U1866" i="7"/>
  <c r="U1867" i="7"/>
  <c r="U1868" i="7"/>
  <c r="U1869" i="7"/>
  <c r="U1870" i="7"/>
  <c r="U1871" i="7"/>
  <c r="U1872" i="7"/>
  <c r="U1873" i="7"/>
  <c r="U1874" i="7"/>
  <c r="U1875" i="7"/>
  <c r="U1806" i="7"/>
  <c r="U1876" i="7"/>
  <c r="U1877" i="7"/>
  <c r="U1878" i="7"/>
  <c r="U1879" i="7"/>
  <c r="U1807" i="7"/>
  <c r="U1880" i="7"/>
  <c r="U1881" i="7"/>
  <c r="U1882" i="7"/>
  <c r="U1883" i="7"/>
  <c r="U1808" i="7"/>
  <c r="U1809" i="7"/>
  <c r="U1884" i="7"/>
  <c r="U1810" i="7"/>
  <c r="U1885" i="7"/>
  <c r="U1886" i="7"/>
  <c r="U1811" i="7"/>
  <c r="U1812" i="7"/>
  <c r="U1887" i="7"/>
  <c r="U1813" i="7"/>
  <c r="U1888" i="7"/>
  <c r="U1889" i="7"/>
  <c r="U1814" i="7"/>
  <c r="U1815" i="7"/>
  <c r="U1816" i="7"/>
  <c r="U1817" i="7"/>
  <c r="U1818" i="7"/>
  <c r="U1890" i="7"/>
  <c r="U1819" i="7"/>
  <c r="U1820" i="7"/>
  <c r="U1891" i="7"/>
  <c r="U1892" i="7"/>
  <c r="U1821" i="7"/>
  <c r="U1822" i="7"/>
  <c r="U1823" i="7"/>
  <c r="U1893" i="7"/>
  <c r="U1894" i="7"/>
  <c r="U1895" i="7"/>
  <c r="U1896" i="7"/>
  <c r="U1897" i="7"/>
  <c r="U1898" i="7"/>
  <c r="U1899" i="7"/>
  <c r="U1900" i="7"/>
  <c r="U1901" i="7"/>
  <c r="U1902" i="7"/>
  <c r="U1903" i="7"/>
  <c r="U1904" i="7"/>
  <c r="U1805" i="7"/>
  <c r="U1804" i="7"/>
  <c r="U1802" i="7"/>
  <c r="U1803" i="7"/>
  <c r="U1693" i="7"/>
  <c r="U1694" i="7"/>
  <c r="U1695" i="7"/>
  <c r="U1696" i="7"/>
  <c r="U1697" i="7"/>
  <c r="U1698" i="7"/>
  <c r="U1699" i="7"/>
  <c r="U1700" i="7"/>
  <c r="U1701" i="7"/>
  <c r="U1702" i="7"/>
  <c r="U1703" i="7"/>
  <c r="U1704" i="7"/>
  <c r="U1705" i="7"/>
  <c r="U1706" i="7"/>
  <c r="U1707" i="7"/>
  <c r="U1708" i="7"/>
  <c r="U1709" i="7"/>
  <c r="U1710" i="7"/>
  <c r="U1711" i="7"/>
  <c r="U1712" i="7"/>
  <c r="U1713" i="7"/>
  <c r="U1714" i="7"/>
  <c r="U1715" i="7"/>
  <c r="U1716" i="7"/>
  <c r="U1717" i="7"/>
  <c r="U1718" i="7"/>
  <c r="U1719" i="7"/>
  <c r="U1720" i="7"/>
  <c r="U1721" i="7"/>
  <c r="U1722" i="7"/>
  <c r="U1723" i="7"/>
  <c r="U1724" i="7"/>
  <c r="U1725" i="7"/>
  <c r="U1726" i="7"/>
  <c r="U1727" i="7"/>
  <c r="U1728" i="7"/>
  <c r="U1729" i="7"/>
  <c r="U1730" i="7"/>
  <c r="U1731" i="7"/>
  <c r="U1732" i="7"/>
  <c r="U1733" i="7"/>
  <c r="U1734" i="7"/>
  <c r="U1735" i="7"/>
  <c r="U1736" i="7"/>
  <c r="U1737" i="7"/>
  <c r="U1738" i="7"/>
  <c r="U1739" i="7"/>
  <c r="U1740" i="7"/>
  <c r="U1741" i="7"/>
  <c r="U1742" i="7"/>
  <c r="U1743" i="7"/>
  <c r="U1744" i="7"/>
  <c r="U1745" i="7"/>
  <c r="U1746" i="7"/>
  <c r="U1747" i="7"/>
  <c r="U1748" i="7"/>
  <c r="U1749" i="7"/>
  <c r="U1750" i="7"/>
  <c r="U1751" i="7"/>
  <c r="U1752" i="7"/>
  <c r="U1753" i="7"/>
  <c r="U1754" i="7"/>
  <c r="U1755" i="7"/>
  <c r="U1756" i="7"/>
  <c r="U1757" i="7"/>
  <c r="U1758" i="7"/>
  <c r="U1759" i="7"/>
  <c r="U1760" i="7"/>
  <c r="U1761" i="7"/>
  <c r="U1762" i="7"/>
  <c r="U1763" i="7"/>
  <c r="U1764" i="7"/>
  <c r="U1765" i="7"/>
  <c r="U1766" i="7"/>
  <c r="U1767" i="7"/>
  <c r="U1768" i="7"/>
  <c r="U1769" i="7"/>
  <c r="U1770" i="7"/>
  <c r="U1771" i="7"/>
  <c r="U1772" i="7"/>
  <c r="U1773" i="7"/>
  <c r="U1774" i="7"/>
  <c r="U1775" i="7"/>
  <c r="U1776" i="7"/>
  <c r="U1777" i="7"/>
  <c r="U1778" i="7"/>
  <c r="U1779" i="7"/>
  <c r="U1780" i="7"/>
  <c r="U1781" i="7"/>
  <c r="U1782" i="7"/>
  <c r="U1783" i="7"/>
  <c r="U1784" i="7"/>
  <c r="U1785" i="7"/>
  <c r="U1786" i="7"/>
  <c r="U1787" i="7"/>
  <c r="U1788" i="7"/>
  <c r="U1789" i="7"/>
  <c r="U1790" i="7"/>
  <c r="U1791" i="7"/>
  <c r="U1792" i="7"/>
  <c r="U1793" i="7"/>
  <c r="U1794" i="7"/>
  <c r="U1795" i="7"/>
  <c r="U1796" i="7"/>
  <c r="U1797" i="7"/>
  <c r="U1798" i="7"/>
  <c r="U1799" i="7"/>
  <c r="U1800" i="7"/>
  <c r="U1801" i="7"/>
  <c r="U1661" i="7"/>
  <c r="U1662" i="7"/>
  <c r="U1663" i="7"/>
  <c r="U1664" i="7"/>
  <c r="U1665" i="7"/>
  <c r="U1666" i="7"/>
  <c r="U1667" i="7"/>
  <c r="U1668" i="7"/>
  <c r="U1669" i="7"/>
  <c r="U1670" i="7"/>
  <c r="U1671" i="7"/>
  <c r="U1672" i="7"/>
  <c r="U1673" i="7"/>
  <c r="U1674" i="7"/>
  <c r="U1675" i="7"/>
  <c r="U1676" i="7"/>
  <c r="U1677" i="7"/>
  <c r="U1678" i="7"/>
  <c r="U1679" i="7"/>
  <c r="U1680" i="7"/>
  <c r="U1681" i="7"/>
  <c r="U1682" i="7"/>
  <c r="U1683" i="7"/>
  <c r="U1684" i="7"/>
  <c r="U1685" i="7"/>
  <c r="U1686" i="7"/>
  <c r="U1687" i="7"/>
  <c r="U1688" i="7"/>
  <c r="U1689" i="7"/>
  <c r="U1690" i="7"/>
  <c r="U1691" i="7"/>
  <c r="U1692" i="7"/>
  <c r="U1659" i="7"/>
  <c r="U1660" i="7"/>
  <c r="U1657" i="7"/>
  <c r="U1658" i="7"/>
  <c r="U1656" i="7"/>
  <c r="U1654" i="7"/>
  <c r="U1655" i="7"/>
  <c r="U1653" i="7"/>
  <c r="U1652" i="7"/>
  <c r="U1650" i="7"/>
  <c r="U1651" i="7"/>
  <c r="U1648" i="7"/>
  <c r="U1649" i="7"/>
  <c r="U1646" i="7"/>
  <c r="U1647" i="7"/>
  <c r="M1647" i="7"/>
  <c r="M1646" i="7"/>
  <c r="M1651" i="7"/>
  <c r="M1650" i="7"/>
  <c r="M1652" i="7"/>
  <c r="M1653" i="7"/>
  <c r="M1655" i="7"/>
  <c r="M1654" i="7"/>
  <c r="M1656" i="7"/>
  <c r="M1659" i="7"/>
  <c r="M1803" i="7"/>
  <c r="M1802" i="7"/>
  <c r="M1805" i="7"/>
  <c r="M1904" i="7"/>
  <c r="M1903" i="7"/>
  <c r="M1902" i="7"/>
  <c r="M1901" i="7"/>
  <c r="M1900" i="7"/>
  <c r="M1899" i="7"/>
  <c r="M1898" i="7"/>
  <c r="M1897" i="7"/>
  <c r="M1896" i="7"/>
  <c r="M1895" i="7"/>
  <c r="M1894" i="7"/>
  <c r="M1893" i="7"/>
  <c r="M1892" i="7"/>
  <c r="M1891" i="7"/>
  <c r="M1890" i="7"/>
  <c r="M1889" i="7"/>
  <c r="M1888" i="7"/>
  <c r="M1887" i="7"/>
  <c r="M1884" i="7"/>
  <c r="M1883" i="7"/>
  <c r="M1882" i="7"/>
  <c r="M1881" i="7"/>
  <c r="M1880" i="7"/>
  <c r="M1879" i="7"/>
  <c r="M1878" i="7"/>
  <c r="M1877" i="7"/>
  <c r="M1876" i="7"/>
  <c r="M1875" i="7"/>
  <c r="M1874" i="7"/>
  <c r="M1873" i="7"/>
  <c r="M1872" i="7"/>
  <c r="M1871" i="7"/>
  <c r="M1870" i="7"/>
  <c r="M1869" i="7"/>
  <c r="M1868" i="7"/>
  <c r="M1867" i="7"/>
  <c r="M1866" i="7"/>
  <c r="M1865" i="7"/>
  <c r="M1864" i="7"/>
  <c r="M1863" i="7"/>
  <c r="M1862" i="7"/>
  <c r="M1861" i="7"/>
  <c r="M1860" i="7"/>
  <c r="M1859" i="7"/>
  <c r="M1858" i="7"/>
  <c r="M1857" i="7"/>
  <c r="M1856" i="7"/>
  <c r="M1855" i="7"/>
  <c r="M1854" i="7"/>
  <c r="M1853" i="7"/>
  <c r="M1852" i="7"/>
  <c r="M1851" i="7"/>
  <c r="M1850" i="7"/>
  <c r="M1849" i="7"/>
  <c r="M1848" i="7"/>
  <c r="M1847" i="7"/>
  <c r="M1846" i="7"/>
  <c r="M1845" i="7"/>
  <c r="M1844" i="7"/>
  <c r="M1843" i="7"/>
  <c r="M1842" i="7"/>
  <c r="M1841" i="7"/>
  <c r="M1840" i="7"/>
  <c r="M1839" i="7"/>
  <c r="M1838" i="7"/>
  <c r="M1837" i="7"/>
  <c r="M1836" i="7"/>
  <c r="M1835" i="7"/>
  <c r="M1834" i="7"/>
  <c r="M1833" i="7"/>
  <c r="M1832" i="7"/>
  <c r="M1831" i="7"/>
  <c r="M1830" i="7"/>
  <c r="M1829" i="7"/>
  <c r="M1828" i="7"/>
  <c r="M1827" i="7"/>
  <c r="M1826" i="7"/>
  <c r="M1825" i="7"/>
  <c r="M1824" i="7"/>
  <c r="M1912" i="7"/>
  <c r="M1911" i="7"/>
  <c r="M1910" i="7"/>
  <c r="M1909" i="7"/>
  <c r="M1913" i="7"/>
  <c r="M1938" i="7"/>
  <c r="M1937" i="7"/>
  <c r="M1936" i="7"/>
  <c r="M1935" i="7"/>
  <c r="M1934" i="7"/>
  <c r="M1933" i="7"/>
  <c r="M1932" i="7"/>
  <c r="M1931" i="7"/>
  <c r="M1930" i="7"/>
  <c r="M1929" i="7"/>
  <c r="M1928" i="7"/>
  <c r="M1927" i="7"/>
  <c r="M1926" i="7"/>
  <c r="M1925" i="7"/>
  <c r="M1924" i="7"/>
  <c r="M1923" i="7"/>
  <c r="M1922" i="7"/>
  <c r="M1921" i="7"/>
  <c r="M1920" i="7"/>
  <c r="M1919" i="7"/>
  <c r="M1918" i="7"/>
  <c r="M1917" i="7"/>
  <c r="M1916" i="7"/>
  <c r="M1915" i="7"/>
  <c r="M1914" i="7"/>
  <c r="O1624" i="7"/>
  <c r="O1625" i="7"/>
  <c r="O1626" i="7"/>
  <c r="O1627" i="7"/>
  <c r="O1628" i="7"/>
  <c r="O1629" i="7"/>
  <c r="O1630" i="7"/>
  <c r="O1631" i="7"/>
  <c r="O1632" i="7"/>
  <c r="O1633" i="7"/>
  <c r="O1634" i="7"/>
  <c r="O1635" i="7"/>
  <c r="O1636" i="7"/>
  <c r="O1637" i="7"/>
  <c r="O1638" i="7"/>
  <c r="O1639" i="7"/>
  <c r="O1640" i="7"/>
  <c r="O1641" i="7"/>
  <c r="O1642" i="7"/>
  <c r="O1643" i="7"/>
  <c r="O1644" i="7"/>
  <c r="O1645" i="7"/>
  <c r="U1624" i="7"/>
  <c r="U1625" i="7"/>
  <c r="U1626" i="7"/>
  <c r="U1627" i="7"/>
  <c r="U1628" i="7"/>
  <c r="U1629" i="7"/>
  <c r="U1630" i="7"/>
  <c r="U1631" i="7"/>
  <c r="U1632" i="7"/>
  <c r="U1633" i="7"/>
  <c r="U1634" i="7"/>
  <c r="U1635" i="7"/>
  <c r="U1636" i="7"/>
  <c r="U1637" i="7"/>
  <c r="U1638" i="7"/>
  <c r="U1639" i="7"/>
  <c r="U1640" i="7"/>
  <c r="U1641" i="7"/>
  <c r="U1642" i="7"/>
  <c r="U1643" i="7"/>
  <c r="U1644" i="7"/>
  <c r="U1645" i="7"/>
  <c r="M1645" i="7"/>
  <c r="M1644" i="7"/>
  <c r="M1643" i="7"/>
  <c r="M1637" i="7"/>
  <c r="M1632" i="7"/>
  <c r="M1631" i="7"/>
  <c r="M1630" i="7"/>
  <c r="M1629" i="7"/>
  <c r="M1628" i="7"/>
  <c r="M1627" i="7"/>
  <c r="O3" i="7"/>
  <c r="O4" i="7"/>
  <c r="O5" i="7"/>
  <c r="O6" i="7"/>
  <c r="O7" i="7"/>
  <c r="O8" i="7"/>
  <c r="O9" i="7"/>
  <c r="O10" i="7"/>
  <c r="O11" i="7"/>
  <c r="O12" i="7"/>
  <c r="O13" i="7"/>
  <c r="O14" i="7"/>
  <c r="O15" i="7"/>
  <c r="O16" i="7"/>
  <c r="O17" i="7"/>
  <c r="O18" i="7"/>
  <c r="O19" i="7"/>
  <c r="O20" i="7"/>
  <c r="O21" i="7"/>
  <c r="O22" i="7"/>
  <c r="O23" i="7"/>
  <c r="O24" i="7"/>
  <c r="O25" i="7"/>
  <c r="O26" i="7"/>
  <c r="O27" i="7"/>
  <c r="O28" i="7"/>
  <c r="O29" i="7"/>
  <c r="O30" i="7"/>
  <c r="O31" i="7"/>
  <c r="O32" i="7"/>
  <c r="O33" i="7"/>
  <c r="O34" i="7"/>
  <c r="O35" i="7"/>
  <c r="O36" i="7"/>
  <c r="O37" i="7"/>
  <c r="O38" i="7"/>
  <c r="O39" i="7"/>
  <c r="O40" i="7"/>
  <c r="O41" i="7"/>
  <c r="O42" i="7"/>
  <c r="O43" i="7"/>
  <c r="O44" i="7"/>
  <c r="O45" i="7"/>
  <c r="O46" i="7"/>
  <c r="O47" i="7"/>
  <c r="O48" i="7"/>
  <c r="O49" i="7"/>
  <c r="O50" i="7"/>
  <c r="O51" i="7"/>
  <c r="O52" i="7"/>
  <c r="O53" i="7"/>
  <c r="O54" i="7"/>
  <c r="O55" i="7"/>
  <c r="O56" i="7"/>
  <c r="O57" i="7"/>
  <c r="O58" i="7"/>
  <c r="O59" i="7"/>
  <c r="O60" i="7"/>
  <c r="O61" i="7"/>
  <c r="O62" i="7"/>
  <c r="O63" i="7"/>
  <c r="O64" i="7"/>
  <c r="O65" i="7"/>
  <c r="O66" i="7"/>
  <c r="O67" i="7"/>
  <c r="O68" i="7"/>
  <c r="O69" i="7"/>
  <c r="O70" i="7"/>
  <c r="O71" i="7"/>
  <c r="O72" i="7"/>
  <c r="O73" i="7"/>
  <c r="O74" i="7"/>
  <c r="O75" i="7"/>
  <c r="O76" i="7"/>
  <c r="O77" i="7"/>
  <c r="O78" i="7"/>
  <c r="O79" i="7"/>
  <c r="O80" i="7"/>
  <c r="O81" i="7"/>
  <c r="O82" i="7"/>
  <c r="O83" i="7"/>
  <c r="O84" i="7"/>
  <c r="O85" i="7"/>
  <c r="O86" i="7"/>
  <c r="O87" i="7"/>
  <c r="O88" i="7"/>
  <c r="O89" i="7"/>
  <c r="O90" i="7"/>
  <c r="O91" i="7"/>
  <c r="O92" i="7"/>
  <c r="O93" i="7"/>
  <c r="O94" i="7"/>
  <c r="O95" i="7"/>
  <c r="O96" i="7"/>
  <c r="O97" i="7"/>
  <c r="O98" i="7"/>
  <c r="O99" i="7"/>
  <c r="O100" i="7"/>
  <c r="O101" i="7"/>
  <c r="O102" i="7"/>
  <c r="O103" i="7"/>
  <c r="O104" i="7"/>
  <c r="O105" i="7"/>
  <c r="O106" i="7"/>
  <c r="O107" i="7"/>
  <c r="O108" i="7"/>
  <c r="O109" i="7"/>
  <c r="O110" i="7"/>
  <c r="O111" i="7"/>
  <c r="O112" i="7"/>
  <c r="O113" i="7"/>
  <c r="O114" i="7"/>
  <c r="O115" i="7"/>
  <c r="O116" i="7"/>
  <c r="O117" i="7"/>
  <c r="O118" i="7"/>
  <c r="O119" i="7"/>
  <c r="O120" i="7"/>
  <c r="O121" i="7"/>
  <c r="O122" i="7"/>
  <c r="O123" i="7"/>
  <c r="O124" i="7"/>
  <c r="O125" i="7"/>
  <c r="O126" i="7"/>
  <c r="O127" i="7"/>
  <c r="O128" i="7"/>
  <c r="O129" i="7"/>
  <c r="O130" i="7"/>
  <c r="O131" i="7"/>
  <c r="O132" i="7"/>
  <c r="O133" i="7"/>
  <c r="O134" i="7"/>
  <c r="O135" i="7"/>
  <c r="O136" i="7"/>
  <c r="O137" i="7"/>
  <c r="O138" i="7"/>
  <c r="O139" i="7"/>
  <c r="O140" i="7"/>
  <c r="O141" i="7"/>
  <c r="O142" i="7"/>
  <c r="O143" i="7"/>
  <c r="O144" i="7"/>
  <c r="O145" i="7"/>
  <c r="O146" i="7"/>
  <c r="O147" i="7"/>
  <c r="O148" i="7"/>
  <c r="O149" i="7"/>
  <c r="O150" i="7"/>
  <c r="O151" i="7"/>
  <c r="O152" i="7"/>
  <c r="O153" i="7"/>
  <c r="O154" i="7"/>
  <c r="O155" i="7"/>
  <c r="O156" i="7"/>
  <c r="O157" i="7"/>
  <c r="O158" i="7"/>
  <c r="O159" i="7"/>
  <c r="O160" i="7"/>
  <c r="O161" i="7"/>
  <c r="O162" i="7"/>
  <c r="O163" i="7"/>
  <c r="O164" i="7"/>
  <c r="O165" i="7"/>
  <c r="O166" i="7"/>
  <c r="O167" i="7"/>
  <c r="O168" i="7"/>
  <c r="O169" i="7"/>
  <c r="O170" i="7"/>
  <c r="O171" i="7"/>
  <c r="O172" i="7"/>
  <c r="O173" i="7"/>
  <c r="O174" i="7"/>
  <c r="O175" i="7"/>
  <c r="O176" i="7"/>
  <c r="O177" i="7"/>
  <c r="O178" i="7"/>
  <c r="O179" i="7"/>
  <c r="O180" i="7"/>
  <c r="O181" i="7"/>
  <c r="O182" i="7"/>
  <c r="O183" i="7"/>
  <c r="O184" i="7"/>
  <c r="O185" i="7"/>
  <c r="O186" i="7"/>
  <c r="O187" i="7"/>
  <c r="O188" i="7"/>
  <c r="O189" i="7"/>
  <c r="O190" i="7"/>
  <c r="O191" i="7"/>
  <c r="O192" i="7"/>
  <c r="O193" i="7"/>
  <c r="O194" i="7"/>
  <c r="O195" i="7"/>
  <c r="O196" i="7"/>
  <c r="O197" i="7"/>
  <c r="O198" i="7"/>
  <c r="O199" i="7"/>
  <c r="O200" i="7"/>
  <c r="O201" i="7"/>
  <c r="O202" i="7"/>
  <c r="O203" i="7"/>
  <c r="O204" i="7"/>
  <c r="O205" i="7"/>
  <c r="O206" i="7"/>
  <c r="O207" i="7"/>
  <c r="O208" i="7"/>
  <c r="O209" i="7"/>
  <c r="O210" i="7"/>
  <c r="O211" i="7"/>
  <c r="O212" i="7"/>
  <c r="O213" i="7"/>
  <c r="O214" i="7"/>
  <c r="O215" i="7"/>
  <c r="O216" i="7"/>
  <c r="O217" i="7"/>
  <c r="O218" i="7"/>
  <c r="O219" i="7"/>
  <c r="O220" i="7"/>
  <c r="O221" i="7"/>
  <c r="O222" i="7"/>
  <c r="O223" i="7"/>
  <c r="O224" i="7"/>
  <c r="O225" i="7"/>
  <c r="O226" i="7"/>
  <c r="O227" i="7"/>
  <c r="O228" i="7"/>
  <c r="O229" i="7"/>
  <c r="O230" i="7"/>
  <c r="O231" i="7"/>
  <c r="O232" i="7"/>
  <c r="O233" i="7"/>
  <c r="O234" i="7"/>
  <c r="O235" i="7"/>
  <c r="O236" i="7"/>
  <c r="O237" i="7"/>
  <c r="O238" i="7"/>
  <c r="O239" i="7"/>
  <c r="O240" i="7"/>
  <c r="O241" i="7"/>
  <c r="O242" i="7"/>
  <c r="O243" i="7"/>
  <c r="O244" i="7"/>
  <c r="O245" i="7"/>
  <c r="O246" i="7"/>
  <c r="O247" i="7"/>
  <c r="O248" i="7"/>
  <c r="O249" i="7"/>
  <c r="O250" i="7"/>
  <c r="O251" i="7"/>
  <c r="O252" i="7"/>
  <c r="O253" i="7"/>
  <c r="O254" i="7"/>
  <c r="O255" i="7"/>
  <c r="O256" i="7"/>
  <c r="O257" i="7"/>
  <c r="O258" i="7"/>
  <c r="O259" i="7"/>
  <c r="O260" i="7"/>
  <c r="O261" i="7"/>
  <c r="O262" i="7"/>
  <c r="O263" i="7"/>
  <c r="O264" i="7"/>
  <c r="O265" i="7"/>
  <c r="O266" i="7"/>
  <c r="O267" i="7"/>
  <c r="O268" i="7"/>
  <c r="O269" i="7"/>
  <c r="O270" i="7"/>
  <c r="O271" i="7"/>
  <c r="O272" i="7"/>
  <c r="O273" i="7"/>
  <c r="O274" i="7"/>
  <c r="O275" i="7"/>
  <c r="O276" i="7"/>
  <c r="O277" i="7"/>
  <c r="O278" i="7"/>
  <c r="O279" i="7"/>
  <c r="O280" i="7"/>
  <c r="O281" i="7"/>
  <c r="O282" i="7"/>
  <c r="O283" i="7"/>
  <c r="O284" i="7"/>
  <c r="O285" i="7"/>
  <c r="O286" i="7"/>
  <c r="O287" i="7"/>
  <c r="O288" i="7"/>
  <c r="O289" i="7"/>
  <c r="O290" i="7"/>
  <c r="O291" i="7"/>
  <c r="O292" i="7"/>
  <c r="O293" i="7"/>
  <c r="O294" i="7"/>
  <c r="O295" i="7"/>
  <c r="O296" i="7"/>
  <c r="O297" i="7"/>
  <c r="O298" i="7"/>
  <c r="O299" i="7"/>
  <c r="O300" i="7"/>
  <c r="O301" i="7"/>
  <c r="O302" i="7"/>
  <c r="O303" i="7"/>
  <c r="O304" i="7"/>
  <c r="O305" i="7"/>
  <c r="O306" i="7"/>
  <c r="O307" i="7"/>
  <c r="O308" i="7"/>
  <c r="O309" i="7"/>
  <c r="O310" i="7"/>
  <c r="O311" i="7"/>
  <c r="O312" i="7"/>
  <c r="O313" i="7"/>
  <c r="O314" i="7"/>
  <c r="O315" i="7"/>
  <c r="O316" i="7"/>
  <c r="O317" i="7"/>
  <c r="O318" i="7"/>
  <c r="O319" i="7"/>
  <c r="O320" i="7"/>
  <c r="O321" i="7"/>
  <c r="O322" i="7"/>
  <c r="O323" i="7"/>
  <c r="O324" i="7"/>
  <c r="O325" i="7"/>
  <c r="O326" i="7"/>
  <c r="O327" i="7"/>
  <c r="O328" i="7"/>
  <c r="O329" i="7"/>
  <c r="O330" i="7"/>
  <c r="O331" i="7"/>
  <c r="O332" i="7"/>
  <c r="O333" i="7"/>
  <c r="O334" i="7"/>
  <c r="O335" i="7"/>
  <c r="O336" i="7"/>
  <c r="O337" i="7"/>
  <c r="O338" i="7"/>
  <c r="O339" i="7"/>
  <c r="O340" i="7"/>
  <c r="O341" i="7"/>
  <c r="O342" i="7"/>
  <c r="O343" i="7"/>
  <c r="O344" i="7"/>
  <c r="O345" i="7"/>
  <c r="O346" i="7"/>
  <c r="O347" i="7"/>
  <c r="O348" i="7"/>
  <c r="O349" i="7"/>
  <c r="O350" i="7"/>
  <c r="O351" i="7"/>
  <c r="O352" i="7"/>
  <c r="O353" i="7"/>
  <c r="O354" i="7"/>
  <c r="O355" i="7"/>
  <c r="O356" i="7"/>
  <c r="O357" i="7"/>
  <c r="O358" i="7"/>
  <c r="O359" i="7"/>
  <c r="O360" i="7"/>
  <c r="O361" i="7"/>
  <c r="O362" i="7"/>
  <c r="O363" i="7"/>
  <c r="O364" i="7"/>
  <c r="O365" i="7"/>
  <c r="O366" i="7"/>
  <c r="O367" i="7"/>
  <c r="O368" i="7"/>
  <c r="O369" i="7"/>
  <c r="O370" i="7"/>
  <c r="O371" i="7"/>
  <c r="O372" i="7"/>
  <c r="O373" i="7"/>
  <c r="O374" i="7"/>
  <c r="O375" i="7"/>
  <c r="O376" i="7"/>
  <c r="O377" i="7"/>
  <c r="O378" i="7"/>
  <c r="O379" i="7"/>
  <c r="O380" i="7"/>
  <c r="O381" i="7"/>
  <c r="O382" i="7"/>
  <c r="O383" i="7"/>
  <c r="O384" i="7"/>
  <c r="O385" i="7"/>
  <c r="O386" i="7"/>
  <c r="O387" i="7"/>
  <c r="O388" i="7"/>
  <c r="O389" i="7"/>
  <c r="O390" i="7"/>
  <c r="O391" i="7"/>
  <c r="O392" i="7"/>
  <c r="O393" i="7"/>
  <c r="O394" i="7"/>
  <c r="O395" i="7"/>
  <c r="O396" i="7"/>
  <c r="O397" i="7"/>
  <c r="O398" i="7"/>
  <c r="O399" i="7"/>
  <c r="O400" i="7"/>
  <c r="O401" i="7"/>
  <c r="O402" i="7"/>
  <c r="O403" i="7"/>
  <c r="O404" i="7"/>
  <c r="O405" i="7"/>
  <c r="O406" i="7"/>
  <c r="O407" i="7"/>
  <c r="O408" i="7"/>
  <c r="O409" i="7"/>
  <c r="O410" i="7"/>
  <c r="O411" i="7"/>
  <c r="O412" i="7"/>
  <c r="O413" i="7"/>
  <c r="O414" i="7"/>
  <c r="O415" i="7"/>
  <c r="O416" i="7"/>
  <c r="O417" i="7"/>
  <c r="O418" i="7"/>
  <c r="O419" i="7"/>
  <c r="O420" i="7"/>
  <c r="O421" i="7"/>
  <c r="O422" i="7"/>
  <c r="O423" i="7"/>
  <c r="O424" i="7"/>
  <c r="O425" i="7"/>
  <c r="O426" i="7"/>
  <c r="O427" i="7"/>
  <c r="O428" i="7"/>
  <c r="O429" i="7"/>
  <c r="O430" i="7"/>
  <c r="O431" i="7"/>
  <c r="O432" i="7"/>
  <c r="O433" i="7"/>
  <c r="O434" i="7"/>
  <c r="O435" i="7"/>
  <c r="O436" i="7"/>
  <c r="O437" i="7"/>
  <c r="O438" i="7"/>
  <c r="O439" i="7"/>
  <c r="O440" i="7"/>
  <c r="O441" i="7"/>
  <c r="O442" i="7"/>
  <c r="O443" i="7"/>
  <c r="O444" i="7"/>
  <c r="O445" i="7"/>
  <c r="O446" i="7"/>
  <c r="O447" i="7"/>
  <c r="O448" i="7"/>
  <c r="O449" i="7"/>
  <c r="O450" i="7"/>
  <c r="O451" i="7"/>
  <c r="O452" i="7"/>
  <c r="O453" i="7"/>
  <c r="O454" i="7"/>
  <c r="O455" i="7"/>
  <c r="O456" i="7"/>
  <c r="O457" i="7"/>
  <c r="O458" i="7"/>
  <c r="O459" i="7"/>
  <c r="O460" i="7"/>
  <c r="O461" i="7"/>
  <c r="O462" i="7"/>
  <c r="O463" i="7"/>
  <c r="O464" i="7"/>
  <c r="O465" i="7"/>
  <c r="O466" i="7"/>
  <c r="O467" i="7"/>
  <c r="O468" i="7"/>
  <c r="O469" i="7"/>
  <c r="O470" i="7"/>
  <c r="O471" i="7"/>
  <c r="O472" i="7"/>
  <c r="O473" i="7"/>
  <c r="O474" i="7"/>
  <c r="O475" i="7"/>
  <c r="O476" i="7"/>
  <c r="O477" i="7"/>
  <c r="O478" i="7"/>
  <c r="O479" i="7"/>
  <c r="O480" i="7"/>
  <c r="O481" i="7"/>
  <c r="O482" i="7"/>
  <c r="O483" i="7"/>
  <c r="O484" i="7"/>
  <c r="O485" i="7"/>
  <c r="O486" i="7"/>
  <c r="O487" i="7"/>
  <c r="O488" i="7"/>
  <c r="O489" i="7"/>
  <c r="O490" i="7"/>
  <c r="O491" i="7"/>
  <c r="O492" i="7"/>
  <c r="O493" i="7"/>
  <c r="O494" i="7"/>
  <c r="O495" i="7"/>
  <c r="O496" i="7"/>
  <c r="O497" i="7"/>
  <c r="O498" i="7"/>
  <c r="O499" i="7"/>
  <c r="O500" i="7"/>
  <c r="O501" i="7"/>
  <c r="O502" i="7"/>
  <c r="O503" i="7"/>
  <c r="O504" i="7"/>
  <c r="O505" i="7"/>
  <c r="O506" i="7"/>
  <c r="O507" i="7"/>
  <c r="O508" i="7"/>
  <c r="O509" i="7"/>
  <c r="O510" i="7"/>
  <c r="O511" i="7"/>
  <c r="O512" i="7"/>
  <c r="O513" i="7"/>
  <c r="O514" i="7"/>
  <c r="O515" i="7"/>
  <c r="O516" i="7"/>
  <c r="O517" i="7"/>
  <c r="O518" i="7"/>
  <c r="O519" i="7"/>
  <c r="O520" i="7"/>
  <c r="O521" i="7"/>
  <c r="O522" i="7"/>
  <c r="O523" i="7"/>
  <c r="O524" i="7"/>
  <c r="O525" i="7"/>
  <c r="O526" i="7"/>
  <c r="O527" i="7"/>
  <c r="O528" i="7"/>
  <c r="O529" i="7"/>
  <c r="O530" i="7"/>
  <c r="O531" i="7"/>
  <c r="O532" i="7"/>
  <c r="O533" i="7"/>
  <c r="O534" i="7"/>
  <c r="O535" i="7"/>
  <c r="O536" i="7"/>
  <c r="O537" i="7"/>
  <c r="O538" i="7"/>
  <c r="O539" i="7"/>
  <c r="O540" i="7"/>
  <c r="O541" i="7"/>
  <c r="O542" i="7"/>
  <c r="O543" i="7"/>
  <c r="O544" i="7"/>
  <c r="O545" i="7"/>
  <c r="O546" i="7"/>
  <c r="O547" i="7"/>
  <c r="O548" i="7"/>
  <c r="O549" i="7"/>
  <c r="O550" i="7"/>
  <c r="O551" i="7"/>
  <c r="O552" i="7"/>
  <c r="O553" i="7"/>
  <c r="O554" i="7"/>
  <c r="O555" i="7"/>
  <c r="O556" i="7"/>
  <c r="O557" i="7"/>
  <c r="O558" i="7"/>
  <c r="O559" i="7"/>
  <c r="O560" i="7"/>
  <c r="O561" i="7"/>
  <c r="O562" i="7"/>
  <c r="O563" i="7"/>
  <c r="O564" i="7"/>
  <c r="O565" i="7"/>
  <c r="O566" i="7"/>
  <c r="O567" i="7"/>
  <c r="O568" i="7"/>
  <c r="O569" i="7"/>
  <c r="O570" i="7"/>
  <c r="O571" i="7"/>
  <c r="O572" i="7"/>
  <c r="O573" i="7"/>
  <c r="O574" i="7"/>
  <c r="O575" i="7"/>
  <c r="O576" i="7"/>
  <c r="O577" i="7"/>
  <c r="O578" i="7"/>
  <c r="O579" i="7"/>
  <c r="O580" i="7"/>
  <c r="O581" i="7"/>
  <c r="O582" i="7"/>
  <c r="O583" i="7"/>
  <c r="O584" i="7"/>
  <c r="O585" i="7"/>
  <c r="O586" i="7"/>
  <c r="O587" i="7"/>
  <c r="O588" i="7"/>
  <c r="O589" i="7"/>
  <c r="O590" i="7"/>
  <c r="O591" i="7"/>
  <c r="O592" i="7"/>
  <c r="O593" i="7"/>
  <c r="O594" i="7"/>
  <c r="O595" i="7"/>
  <c r="O596" i="7"/>
  <c r="O597" i="7"/>
  <c r="O598" i="7"/>
  <c r="O599" i="7"/>
  <c r="O600" i="7"/>
  <c r="O601" i="7"/>
  <c r="O602" i="7"/>
  <c r="O603" i="7"/>
  <c r="O604" i="7"/>
  <c r="O605" i="7"/>
  <c r="O606" i="7"/>
  <c r="O607" i="7"/>
  <c r="O608" i="7"/>
  <c r="O609" i="7"/>
  <c r="O610" i="7"/>
  <c r="O611" i="7"/>
  <c r="O612" i="7"/>
  <c r="O613" i="7"/>
  <c r="O614" i="7"/>
  <c r="O615" i="7"/>
  <c r="O616" i="7"/>
  <c r="O617" i="7"/>
  <c r="O618" i="7"/>
  <c r="O619" i="7"/>
  <c r="O620" i="7"/>
  <c r="O621" i="7"/>
  <c r="O622" i="7"/>
  <c r="O623" i="7"/>
  <c r="O624" i="7"/>
  <c r="O625" i="7"/>
  <c r="O626" i="7"/>
  <c r="O627" i="7"/>
  <c r="O628" i="7"/>
  <c r="O629" i="7"/>
  <c r="O630" i="7"/>
  <c r="O631" i="7"/>
  <c r="O632" i="7"/>
  <c r="O633" i="7"/>
  <c r="O634" i="7"/>
  <c r="O635" i="7"/>
  <c r="O636" i="7"/>
  <c r="O637" i="7"/>
  <c r="O638" i="7"/>
  <c r="O639" i="7"/>
  <c r="O640" i="7"/>
  <c r="O641" i="7"/>
  <c r="O642" i="7"/>
  <c r="O643" i="7"/>
  <c r="O644" i="7"/>
  <c r="O645" i="7"/>
  <c r="O646" i="7"/>
  <c r="O647" i="7"/>
  <c r="O648" i="7"/>
  <c r="O649" i="7"/>
  <c r="O650" i="7"/>
  <c r="O651" i="7"/>
  <c r="O652" i="7"/>
  <c r="O653" i="7"/>
  <c r="O654" i="7"/>
  <c r="O655" i="7"/>
  <c r="O656" i="7"/>
  <c r="O657" i="7"/>
  <c r="O658" i="7"/>
  <c r="O659" i="7"/>
  <c r="O660" i="7"/>
  <c r="O661" i="7"/>
  <c r="O662" i="7"/>
  <c r="O663" i="7"/>
  <c r="O664" i="7"/>
  <c r="O665" i="7"/>
  <c r="O666" i="7"/>
  <c r="O667" i="7"/>
  <c r="O668" i="7"/>
  <c r="O669" i="7"/>
  <c r="O670" i="7"/>
  <c r="O671" i="7"/>
  <c r="O672" i="7"/>
  <c r="O673" i="7"/>
  <c r="O674" i="7"/>
  <c r="O675" i="7"/>
  <c r="O676" i="7"/>
  <c r="O677" i="7"/>
  <c r="O678" i="7"/>
  <c r="O679" i="7"/>
  <c r="O680" i="7"/>
  <c r="O681" i="7"/>
  <c r="O682" i="7"/>
  <c r="O683" i="7"/>
  <c r="O684" i="7"/>
  <c r="O685" i="7"/>
  <c r="O686" i="7"/>
  <c r="O687" i="7"/>
  <c r="O688" i="7"/>
  <c r="O689" i="7"/>
  <c r="O690" i="7"/>
  <c r="O691" i="7"/>
  <c r="O692" i="7"/>
  <c r="O693" i="7"/>
  <c r="O694" i="7"/>
  <c r="O695" i="7"/>
  <c r="O696" i="7"/>
  <c r="O697" i="7"/>
  <c r="O698" i="7"/>
  <c r="O699" i="7"/>
  <c r="O700" i="7"/>
  <c r="O701" i="7"/>
  <c r="O702" i="7"/>
  <c r="O703" i="7"/>
  <c r="O704" i="7"/>
  <c r="O705" i="7"/>
  <c r="O706" i="7"/>
  <c r="O707" i="7"/>
  <c r="O708" i="7"/>
  <c r="O709" i="7"/>
  <c r="O710" i="7"/>
  <c r="O711" i="7"/>
  <c r="O712" i="7"/>
  <c r="O713" i="7"/>
  <c r="O714" i="7"/>
  <c r="O715" i="7"/>
  <c r="O716" i="7"/>
  <c r="O717" i="7"/>
  <c r="O718" i="7"/>
  <c r="O719" i="7"/>
  <c r="O720" i="7"/>
  <c r="O721" i="7"/>
  <c r="O722" i="7"/>
  <c r="O723" i="7"/>
  <c r="O724" i="7"/>
  <c r="O725" i="7"/>
  <c r="O726" i="7"/>
  <c r="O727" i="7"/>
  <c r="O728" i="7"/>
  <c r="O729" i="7"/>
  <c r="O730" i="7"/>
  <c r="O731" i="7"/>
  <c r="O732" i="7"/>
  <c r="O733" i="7"/>
  <c r="O734" i="7"/>
  <c r="O735" i="7"/>
  <c r="O736" i="7"/>
  <c r="O737" i="7"/>
  <c r="O738" i="7"/>
  <c r="O739" i="7"/>
  <c r="O740" i="7"/>
  <c r="O741" i="7"/>
  <c r="O742" i="7"/>
  <c r="O743" i="7"/>
  <c r="O744" i="7"/>
  <c r="O745" i="7"/>
  <c r="O746" i="7"/>
  <c r="O747" i="7"/>
  <c r="O748" i="7"/>
  <c r="O749" i="7"/>
  <c r="O750" i="7"/>
  <c r="O751" i="7"/>
  <c r="O752" i="7"/>
  <c r="O753" i="7"/>
  <c r="O754" i="7"/>
  <c r="O755" i="7"/>
  <c r="O756" i="7"/>
  <c r="O757" i="7"/>
  <c r="O758" i="7"/>
  <c r="O759" i="7"/>
  <c r="O760" i="7"/>
  <c r="O761" i="7"/>
  <c r="O762" i="7"/>
  <c r="O763" i="7"/>
  <c r="O764" i="7"/>
  <c r="O765" i="7"/>
  <c r="O766" i="7"/>
  <c r="O767" i="7"/>
  <c r="O768" i="7"/>
  <c r="O769" i="7"/>
  <c r="O770" i="7"/>
  <c r="O771" i="7"/>
  <c r="O772" i="7"/>
  <c r="O773" i="7"/>
  <c r="O774" i="7"/>
  <c r="O775" i="7"/>
  <c r="O776" i="7"/>
  <c r="O777" i="7"/>
  <c r="O778" i="7"/>
  <c r="O779" i="7"/>
  <c r="O780" i="7"/>
  <c r="O781" i="7"/>
  <c r="O782" i="7"/>
  <c r="O783" i="7"/>
  <c r="O784" i="7"/>
  <c r="O785" i="7"/>
  <c r="O786" i="7"/>
  <c r="O787" i="7"/>
  <c r="O788" i="7"/>
  <c r="O789" i="7"/>
  <c r="O790" i="7"/>
  <c r="O791" i="7"/>
  <c r="O792" i="7"/>
  <c r="O793" i="7"/>
  <c r="O794" i="7"/>
  <c r="O795" i="7"/>
  <c r="O796" i="7"/>
  <c r="O797" i="7"/>
  <c r="O798" i="7"/>
  <c r="O799" i="7"/>
  <c r="O800" i="7"/>
  <c r="O801" i="7"/>
  <c r="O802" i="7"/>
  <c r="O803" i="7"/>
  <c r="O804" i="7"/>
  <c r="O805" i="7"/>
  <c r="O806" i="7"/>
  <c r="O807" i="7"/>
  <c r="O808" i="7"/>
  <c r="O809" i="7"/>
  <c r="O810" i="7"/>
  <c r="O811" i="7"/>
  <c r="O812" i="7"/>
  <c r="O813" i="7"/>
  <c r="O814" i="7"/>
  <c r="O815" i="7"/>
  <c r="O816" i="7"/>
  <c r="O817" i="7"/>
  <c r="O818" i="7"/>
  <c r="O819" i="7"/>
  <c r="O820" i="7"/>
  <c r="O821" i="7"/>
  <c r="O822" i="7"/>
  <c r="O823" i="7"/>
  <c r="O824" i="7"/>
  <c r="O825" i="7"/>
  <c r="O826" i="7"/>
  <c r="O827" i="7"/>
  <c r="O828" i="7"/>
  <c r="O829" i="7"/>
  <c r="O830" i="7"/>
  <c r="O831" i="7"/>
  <c r="O832" i="7"/>
  <c r="O833" i="7"/>
  <c r="O834" i="7"/>
  <c r="O835" i="7"/>
  <c r="O836" i="7"/>
  <c r="O837" i="7"/>
  <c r="O838" i="7"/>
  <c r="O839" i="7"/>
  <c r="O840" i="7"/>
  <c r="O841" i="7"/>
  <c r="O842" i="7"/>
  <c r="O843" i="7"/>
  <c r="O844" i="7"/>
  <c r="O845" i="7"/>
  <c r="O846" i="7"/>
  <c r="O847" i="7"/>
  <c r="O848" i="7"/>
  <c r="O849" i="7"/>
  <c r="O850" i="7"/>
  <c r="O851" i="7"/>
  <c r="O852" i="7"/>
  <c r="O853" i="7"/>
  <c r="O854" i="7"/>
  <c r="O855" i="7"/>
  <c r="O856" i="7"/>
  <c r="O857" i="7"/>
  <c r="O858" i="7"/>
  <c r="O859" i="7"/>
  <c r="O860" i="7"/>
  <c r="O861" i="7"/>
  <c r="O862" i="7"/>
  <c r="O863" i="7"/>
  <c r="O864" i="7"/>
  <c r="O868" i="7"/>
  <c r="O867" i="7"/>
  <c r="O866" i="7"/>
  <c r="O865" i="7"/>
  <c r="O870" i="7"/>
  <c r="O871" i="7"/>
  <c r="O872" i="7"/>
  <c r="O875" i="7"/>
  <c r="O869" i="7"/>
  <c r="O873" i="7"/>
  <c r="O874" i="7"/>
  <c r="O882" i="7"/>
  <c r="O878" i="7"/>
  <c r="O876" i="7"/>
  <c r="O880" i="7"/>
  <c r="O884" i="7"/>
  <c r="O902" i="7"/>
  <c r="O894" i="7"/>
  <c r="O896" i="7"/>
  <c r="O898" i="7"/>
  <c r="O900" i="7"/>
  <c r="O904" i="7"/>
  <c r="O906" i="7"/>
  <c r="O908" i="7"/>
  <c r="O910" i="7"/>
  <c r="O912" i="7"/>
  <c r="O914" i="7"/>
  <c r="O916" i="7"/>
  <c r="O918" i="7"/>
  <c r="O920" i="7"/>
  <c r="O963" i="7"/>
  <c r="O938" i="7"/>
  <c r="O940" i="7"/>
  <c r="O942" i="7"/>
  <c r="O944" i="7"/>
  <c r="O946" i="7"/>
  <c r="O948" i="7"/>
  <c r="O921" i="7"/>
  <c r="O923" i="7"/>
  <c r="O925" i="7"/>
  <c r="O928" i="7"/>
  <c r="O950" i="7"/>
  <c r="O957" i="7"/>
  <c r="O959" i="7"/>
  <c r="O961" i="7"/>
  <c r="O965" i="7"/>
  <c r="O967" i="7"/>
  <c r="O969" i="7"/>
  <c r="O971" i="7"/>
  <c r="O973" i="7"/>
  <c r="O974" i="7"/>
  <c r="O975" i="7"/>
  <c r="O976" i="7"/>
  <c r="O978" i="7"/>
  <c r="O980" i="7"/>
  <c r="O981" i="7"/>
  <c r="O982" i="7"/>
  <c r="O983" i="7"/>
  <c r="O990" i="7"/>
  <c r="O991" i="7"/>
  <c r="O989" i="7"/>
  <c r="O988" i="7"/>
  <c r="O977" i="7"/>
  <c r="O979" i="7"/>
  <c r="O984" i="7"/>
  <c r="O985" i="7"/>
  <c r="O986" i="7"/>
  <c r="O987" i="7"/>
  <c r="O955" i="7"/>
  <c r="O953" i="7"/>
  <c r="O952" i="7"/>
  <c r="O951" i="7"/>
  <c r="O937" i="7"/>
  <c r="O936" i="7"/>
  <c r="O933" i="7"/>
  <c r="O934" i="7"/>
  <c r="O935" i="7"/>
  <c r="O932" i="7"/>
  <c r="O930" i="7"/>
  <c r="O931" i="7"/>
  <c r="O954" i="7"/>
  <c r="O892" i="7"/>
  <c r="O893" i="7"/>
  <c r="O890" i="7"/>
  <c r="O891" i="7"/>
  <c r="O889" i="7"/>
  <c r="O888" i="7"/>
  <c r="O886" i="7"/>
  <c r="O887" i="7"/>
  <c r="O964" i="7"/>
  <c r="O939" i="7"/>
  <c r="O941" i="7"/>
  <c r="O943" i="7"/>
  <c r="O945" i="7"/>
  <c r="O947" i="7"/>
  <c r="O949" i="7"/>
  <c r="O903" i="7"/>
  <c r="O895" i="7"/>
  <c r="O883" i="7"/>
  <c r="O879" i="7"/>
  <c r="O877" i="7"/>
  <c r="O927" i="7"/>
  <c r="O897" i="7"/>
  <c r="O899" i="7"/>
  <c r="O901" i="7"/>
  <c r="O881" i="7"/>
  <c r="O885" i="7"/>
  <c r="O972" i="7"/>
  <c r="O970" i="7"/>
  <c r="O960" i="7"/>
  <c r="O962" i="7"/>
  <c r="O966" i="7"/>
  <c r="O968" i="7"/>
  <c r="O958" i="7"/>
  <c r="O956" i="7"/>
  <c r="O929" i="7"/>
  <c r="O926" i="7"/>
  <c r="O924" i="7"/>
  <c r="O922" i="7"/>
  <c r="O919" i="7"/>
  <c r="O917" i="7"/>
  <c r="O915" i="7"/>
  <c r="O913" i="7"/>
  <c r="O911" i="7"/>
  <c r="O909" i="7"/>
  <c r="O907" i="7"/>
  <c r="O905" i="7"/>
  <c r="O1063" i="7"/>
  <c r="O1064" i="7"/>
  <c r="O1055" i="7"/>
  <c r="O1058" i="7"/>
  <c r="O1061" i="7"/>
  <c r="O1052" i="7"/>
  <c r="O1053" i="7"/>
  <c r="O1051" i="7"/>
  <c r="O1050" i="7"/>
  <c r="O1049" i="7"/>
  <c r="O1046" i="7"/>
  <c r="O1047" i="7"/>
  <c r="O1048" i="7"/>
  <c r="O1041" i="7"/>
  <c r="O1042" i="7"/>
  <c r="O1038" i="7"/>
  <c r="O1039" i="7"/>
  <c r="O1036" i="7"/>
  <c r="O1035" i="7"/>
  <c r="O1014" i="7"/>
  <c r="O1009" i="7"/>
  <c r="O1005" i="7"/>
  <c r="O1001" i="7"/>
  <c r="O1000" i="7"/>
  <c r="O999" i="7"/>
  <c r="O1054" i="7"/>
  <c r="O1059" i="7"/>
  <c r="O1060" i="7"/>
  <c r="O1045" i="7"/>
  <c r="O1044" i="7"/>
  <c r="O1043" i="7"/>
  <c r="O1040" i="7"/>
  <c r="O1007" i="7"/>
  <c r="O1008" i="7"/>
  <c r="O1006" i="7"/>
  <c r="O1004" i="7"/>
  <c r="O1002" i="7"/>
  <c r="O1003" i="7"/>
  <c r="O996" i="7"/>
  <c r="O997" i="7"/>
  <c r="O998" i="7"/>
  <c r="O995" i="7"/>
  <c r="O994" i="7"/>
  <c r="O992" i="7"/>
  <c r="O993" i="7"/>
  <c r="O1056" i="7"/>
  <c r="O1011" i="7"/>
  <c r="O1012" i="7"/>
  <c r="O1019" i="7"/>
  <c r="O1020" i="7"/>
  <c r="O1021" i="7"/>
  <c r="O1023" i="7"/>
  <c r="O1057" i="7"/>
  <c r="O1013" i="7"/>
  <c r="O1016" i="7"/>
  <c r="O1062" i="7"/>
  <c r="O1037" i="7"/>
  <c r="O1022" i="7"/>
  <c r="O1018" i="7"/>
  <c r="O1017" i="7"/>
  <c r="O1015" i="7"/>
  <c r="O1010" i="7"/>
  <c r="O1034" i="7"/>
  <c r="O1033" i="7"/>
  <c r="O1032" i="7"/>
  <c r="O1031" i="7"/>
  <c r="O1024" i="7"/>
  <c r="O1030" i="7"/>
  <c r="O1029" i="7"/>
  <c r="O1025" i="7"/>
  <c r="O1026" i="7"/>
  <c r="O1027" i="7"/>
  <c r="O1028" i="7"/>
  <c r="O1101" i="7"/>
  <c r="O1103" i="7"/>
  <c r="O1087" i="7"/>
  <c r="O1088" i="7"/>
  <c r="O1089" i="7"/>
  <c r="O1078" i="7"/>
  <c r="O1080" i="7"/>
  <c r="O1081" i="7"/>
  <c r="O1102" i="7"/>
  <c r="O1104" i="7"/>
  <c r="O1097" i="7"/>
  <c r="O1098" i="7"/>
  <c r="O1099" i="7"/>
  <c r="O1100" i="7"/>
  <c r="O1086" i="7"/>
  <c r="O1084" i="7"/>
  <c r="O1079" i="7"/>
  <c r="O1082" i="7"/>
  <c r="O1083" i="7"/>
  <c r="O1065" i="7"/>
  <c r="O1077" i="7"/>
  <c r="O1095" i="7"/>
  <c r="O1096" i="7"/>
  <c r="O1090" i="7"/>
  <c r="O1091" i="7"/>
  <c r="O1092" i="7"/>
  <c r="O1066" i="7"/>
  <c r="O1067" i="7"/>
  <c r="O1068" i="7"/>
  <c r="O1069" i="7"/>
  <c r="O1070" i="7"/>
  <c r="O1071" i="7"/>
  <c r="O1072" i="7"/>
  <c r="O1073" i="7"/>
  <c r="O1074" i="7"/>
  <c r="O1093" i="7"/>
  <c r="O1094" i="7"/>
  <c r="O1075" i="7"/>
  <c r="O1076" i="7"/>
  <c r="O1085" i="7"/>
  <c r="O1121" i="7"/>
  <c r="O1113" i="7"/>
  <c r="O1114" i="7"/>
  <c r="O1117" i="7"/>
  <c r="O1118" i="7"/>
  <c r="O1119" i="7"/>
  <c r="O1120" i="7"/>
  <c r="O1108" i="7"/>
  <c r="O1109" i="7"/>
  <c r="O1110" i="7"/>
  <c r="O1115" i="7"/>
  <c r="O1105" i="7"/>
  <c r="O1116" i="7"/>
  <c r="O1106" i="7"/>
  <c r="O1107" i="7"/>
  <c r="O1111" i="7"/>
  <c r="O1112" i="7"/>
  <c r="O1138" i="7"/>
  <c r="O1126" i="7"/>
  <c r="O1127" i="7"/>
  <c r="O1128" i="7"/>
  <c r="O1129" i="7"/>
  <c r="O1125" i="7"/>
  <c r="O1122" i="7"/>
  <c r="O1123" i="7"/>
  <c r="O1124" i="7"/>
  <c r="O1130" i="7"/>
  <c r="O1135" i="7"/>
  <c r="O1134" i="7"/>
  <c r="O1131" i="7"/>
  <c r="O1133" i="7"/>
  <c r="O1136" i="7"/>
  <c r="O1137" i="7"/>
  <c r="O1132" i="7"/>
  <c r="O1144" i="7"/>
  <c r="O1145" i="7"/>
  <c r="O1139" i="7"/>
  <c r="O1140" i="7"/>
  <c r="O1148" i="7"/>
  <c r="O1149" i="7"/>
  <c r="O1152" i="7"/>
  <c r="O1153" i="7"/>
  <c r="O1150" i="7"/>
  <c r="O1151" i="7"/>
  <c r="O1154" i="7"/>
  <c r="O1141" i="7"/>
  <c r="O1142" i="7"/>
  <c r="O1143" i="7"/>
  <c r="O1146" i="7"/>
  <c r="O1147" i="7"/>
  <c r="O1155" i="7"/>
  <c r="O1181" i="7"/>
  <c r="O1177" i="7"/>
  <c r="O1178" i="7"/>
  <c r="O1179" i="7"/>
  <c r="O1180" i="7"/>
  <c r="O1175" i="7"/>
  <c r="O1176" i="7"/>
  <c r="O1164" i="7"/>
  <c r="O1170" i="7"/>
  <c r="O1171" i="7"/>
  <c r="O1160" i="7"/>
  <c r="O1184" i="7"/>
  <c r="O1182" i="7"/>
  <c r="O1173" i="7"/>
  <c r="O1169" i="7"/>
  <c r="O1172" i="7"/>
  <c r="O1157" i="7"/>
  <c r="O1158" i="7"/>
  <c r="O1159" i="7"/>
  <c r="O1191" i="7"/>
  <c r="O1192" i="7"/>
  <c r="O1194" i="7"/>
  <c r="O1195" i="7"/>
  <c r="O1196" i="7"/>
  <c r="O1197" i="7"/>
  <c r="O1185" i="7"/>
  <c r="O1186" i="7"/>
  <c r="O1187" i="7"/>
  <c r="O1188" i="7"/>
  <c r="O1189" i="7"/>
  <c r="O1190" i="7"/>
  <c r="O1161" i="7"/>
  <c r="O1162" i="7"/>
  <c r="O1163" i="7"/>
  <c r="O1167" i="7"/>
  <c r="O1193" i="7"/>
  <c r="O1198" i="7"/>
  <c r="O1165" i="7"/>
  <c r="O1166" i="7"/>
  <c r="O1168" i="7"/>
  <c r="O1156" i="7"/>
  <c r="O1174" i="7"/>
  <c r="O1183" i="7"/>
  <c r="O1201" i="7"/>
  <c r="O1199" i="7"/>
  <c r="O1200" i="7"/>
  <c r="O1214" i="7"/>
  <c r="O1206" i="7"/>
  <c r="O1207" i="7"/>
  <c r="O1203" i="7"/>
  <c r="O1210" i="7"/>
  <c r="O1211" i="7"/>
  <c r="O1212" i="7"/>
  <c r="O1215" i="7"/>
  <c r="O1204" i="7"/>
  <c r="O1205" i="7"/>
  <c r="O1221" i="7"/>
  <c r="O1219" i="7"/>
  <c r="O1217" i="7"/>
  <c r="O1218" i="7"/>
  <c r="O1216" i="7"/>
  <c r="O1208" i="7"/>
  <c r="O1202" i="7"/>
  <c r="O1213" i="7"/>
  <c r="O1220" i="7"/>
  <c r="O1209" i="7"/>
  <c r="O1234" i="7"/>
  <c r="O1237" i="7"/>
  <c r="O1228" i="7"/>
  <c r="O1225" i="7"/>
  <c r="O1231" i="7"/>
  <c r="O1235" i="7"/>
  <c r="O1224" i="7"/>
  <c r="O1223" i="7"/>
  <c r="O1222" i="7"/>
  <c r="O1242" i="7"/>
  <c r="O1243" i="7"/>
  <c r="O1244" i="7"/>
  <c r="O1240" i="7"/>
  <c r="O1241" i="7"/>
  <c r="O1239" i="7"/>
  <c r="O1226" i="7"/>
  <c r="O1227" i="7"/>
  <c r="O1229" i="7"/>
  <c r="O1230" i="7"/>
  <c r="O1251" i="7"/>
  <c r="O1249" i="7"/>
  <c r="O1250" i="7"/>
  <c r="O1245" i="7"/>
  <c r="O1232" i="7"/>
  <c r="O1233" i="7"/>
  <c r="O1252" i="7"/>
  <c r="O1248" i="7"/>
  <c r="O1246" i="7"/>
  <c r="O1236" i="7"/>
  <c r="O1247" i="7"/>
  <c r="O1238" i="7"/>
  <c r="O1258" i="7"/>
  <c r="O1259" i="7"/>
  <c r="O1253" i="7"/>
  <c r="O1257" i="7"/>
  <c r="O1260" i="7"/>
  <c r="O1254" i="7"/>
  <c r="O1255" i="7"/>
  <c r="O1256" i="7"/>
  <c r="O1261" i="7"/>
  <c r="O1267" i="7"/>
  <c r="O1269" i="7"/>
  <c r="O1272" i="7"/>
  <c r="O1273" i="7"/>
  <c r="O1262" i="7"/>
  <c r="O1263" i="7"/>
  <c r="O1264" i="7"/>
  <c r="O1265" i="7"/>
  <c r="O1270" i="7"/>
  <c r="O1271" i="7"/>
  <c r="O1266" i="7"/>
  <c r="O1274" i="7"/>
  <c r="O1268" i="7"/>
  <c r="O1279" i="7"/>
  <c r="O1280" i="7"/>
  <c r="O1285" i="7"/>
  <c r="O1286" i="7"/>
  <c r="O1278" i="7"/>
  <c r="O1281" i="7"/>
  <c r="O1284" i="7"/>
  <c r="O1287" i="7"/>
  <c r="O1282" i="7"/>
  <c r="O1277" i="7"/>
  <c r="O1276" i="7"/>
  <c r="O1275" i="7"/>
  <c r="O1283" i="7"/>
  <c r="O1288" i="7"/>
  <c r="O1292" i="7"/>
  <c r="O1299" i="7"/>
  <c r="O1300" i="7"/>
  <c r="O1298" i="7"/>
  <c r="O1297" i="7"/>
  <c r="O1294" i="7"/>
  <c r="O1295" i="7"/>
  <c r="O1296" i="7"/>
  <c r="O1293" i="7"/>
  <c r="O1291" i="7"/>
  <c r="O1290" i="7"/>
  <c r="O1289" i="7"/>
  <c r="O1301" i="7"/>
  <c r="O1344" i="7"/>
  <c r="O1336" i="7"/>
  <c r="O1339" i="7"/>
  <c r="O1341" i="7"/>
  <c r="O1323" i="7"/>
  <c r="O1331" i="7"/>
  <c r="O1335" i="7"/>
  <c r="O1342" i="7"/>
  <c r="O1330" i="7"/>
  <c r="O1302" i="7"/>
  <c r="O1326" i="7"/>
  <c r="O1328" i="7"/>
  <c r="O1322" i="7"/>
  <c r="O1325" i="7"/>
  <c r="O1324" i="7"/>
  <c r="O1337" i="7"/>
  <c r="O1338" i="7"/>
  <c r="O1334" i="7"/>
  <c r="O1327" i="7"/>
  <c r="O1343" i="7"/>
  <c r="O1340" i="7"/>
  <c r="O1329" i="7"/>
  <c r="O1321" i="7"/>
  <c r="O1320" i="7"/>
  <c r="O1319" i="7"/>
  <c r="O1318" i="7"/>
  <c r="O1317" i="7"/>
  <c r="O1316" i="7"/>
  <c r="O1315" i="7"/>
  <c r="O1314" i="7"/>
  <c r="O1313" i="7"/>
  <c r="O1312" i="7"/>
  <c r="O1311" i="7"/>
  <c r="O1310" i="7"/>
  <c r="O1309" i="7"/>
  <c r="O1308" i="7"/>
  <c r="O1306" i="7"/>
  <c r="O1307" i="7"/>
  <c r="O1305" i="7"/>
  <c r="O1304" i="7"/>
  <c r="O1303" i="7"/>
  <c r="O1332" i="7"/>
  <c r="O1333" i="7"/>
  <c r="O1361" i="7"/>
  <c r="O1381" i="7"/>
  <c r="O1384" i="7"/>
  <c r="O1385" i="7"/>
  <c r="O1386" i="7"/>
  <c r="O1387" i="7"/>
  <c r="O1388" i="7"/>
  <c r="O1389" i="7"/>
  <c r="O1391" i="7"/>
  <c r="O1392" i="7"/>
  <c r="O1393" i="7"/>
  <c r="O1395" i="7"/>
  <c r="O1396" i="7"/>
  <c r="O1399" i="7"/>
  <c r="O1377" i="7"/>
  <c r="O1378" i="7"/>
  <c r="O1357" i="7"/>
  <c r="O1358" i="7"/>
  <c r="O1360" i="7"/>
  <c r="O1362" i="7"/>
  <c r="O1363" i="7"/>
  <c r="O1365" i="7"/>
  <c r="O1397" i="7"/>
  <c r="O1390" i="7"/>
  <c r="O1394" i="7"/>
  <c r="O1398" i="7"/>
  <c r="O1380" i="7"/>
  <c r="O1379" i="7"/>
  <c r="O1376" i="7"/>
  <c r="O1374" i="7"/>
  <c r="O1359" i="7"/>
  <c r="O1403" i="7"/>
  <c r="O1400" i="7"/>
  <c r="O1401" i="7"/>
  <c r="O1375" i="7"/>
  <c r="O1373" i="7"/>
  <c r="O1370" i="7"/>
  <c r="O1371" i="7"/>
  <c r="O1372" i="7"/>
  <c r="O1369" i="7"/>
  <c r="O1368" i="7"/>
  <c r="O1355" i="7"/>
  <c r="O1353" i="7"/>
  <c r="O1354" i="7"/>
  <c r="O1352" i="7"/>
  <c r="O1351" i="7"/>
  <c r="O1349" i="7"/>
  <c r="O1350" i="7"/>
  <c r="O1347" i="7"/>
  <c r="O1348" i="7"/>
  <c r="O1345" i="7"/>
  <c r="O1346" i="7"/>
  <c r="O1382" i="7"/>
  <c r="O1383" i="7"/>
  <c r="O1364" i="7"/>
  <c r="O1402" i="7"/>
  <c r="O1366" i="7"/>
  <c r="O1367" i="7"/>
  <c r="O1356" i="7"/>
  <c r="O1469" i="7"/>
  <c r="O1438" i="7"/>
  <c r="O1439" i="7"/>
  <c r="O1442" i="7"/>
  <c r="O1452" i="7"/>
  <c r="O1429" i="7"/>
  <c r="O1434" i="7"/>
  <c r="O1491" i="7"/>
  <c r="O1498" i="7"/>
  <c r="O1499" i="7"/>
  <c r="O1472" i="7"/>
  <c r="O1473" i="7"/>
  <c r="O1479" i="7"/>
  <c r="O1481" i="7"/>
  <c r="O1454" i="7"/>
  <c r="O1455" i="7"/>
  <c r="O1456" i="7"/>
  <c r="O1457" i="7"/>
  <c r="O1458" i="7"/>
  <c r="O1459" i="7"/>
  <c r="O1461" i="7"/>
  <c r="O1462" i="7"/>
  <c r="O1463" i="7"/>
  <c r="O1464" i="7"/>
  <c r="O1465" i="7"/>
  <c r="O1466" i="7"/>
  <c r="O1467" i="7"/>
  <c r="O1470" i="7"/>
  <c r="O1471" i="7"/>
  <c r="O1440" i="7"/>
  <c r="O1443" i="7"/>
  <c r="O1444" i="7"/>
  <c r="O1445" i="7"/>
  <c r="O1446" i="7"/>
  <c r="O1447" i="7"/>
  <c r="O1448" i="7"/>
  <c r="O1449" i="7"/>
  <c r="O1450" i="7"/>
  <c r="O1436" i="7"/>
  <c r="O1433" i="7"/>
  <c r="O1431" i="7"/>
  <c r="O1432" i="7"/>
  <c r="O1420" i="7"/>
  <c r="O1427" i="7"/>
  <c r="O1428" i="7"/>
  <c r="O1422" i="7"/>
  <c r="O1475" i="7"/>
  <c r="O1476" i="7"/>
  <c r="O1477" i="7"/>
  <c r="O1478" i="7"/>
  <c r="O1423" i="7"/>
  <c r="O1426" i="7"/>
  <c r="O1419" i="7"/>
  <c r="O1413" i="7"/>
  <c r="O1412" i="7"/>
  <c r="O1410" i="7"/>
  <c r="O1409" i="7"/>
  <c r="O1441" i="7"/>
  <c r="O1437" i="7"/>
  <c r="O1492" i="7"/>
  <c r="O1493" i="7"/>
  <c r="O1494" i="7"/>
  <c r="O1495" i="7"/>
  <c r="O1497" i="7"/>
  <c r="O1488" i="7"/>
  <c r="O1487" i="7"/>
  <c r="O1485" i="7"/>
  <c r="O1486" i="7"/>
  <c r="O1484" i="7"/>
  <c r="O1483" i="7"/>
  <c r="O1482" i="7"/>
  <c r="O1460" i="7"/>
  <c r="O1421" i="7"/>
  <c r="O1425" i="7"/>
  <c r="O1418" i="7"/>
  <c r="O1417" i="7"/>
  <c r="O1416" i="7"/>
  <c r="O1415" i="7"/>
  <c r="O1414" i="7"/>
  <c r="O1408" i="7"/>
  <c r="O1411" i="7"/>
  <c r="O1406" i="7"/>
  <c r="O1407" i="7"/>
  <c r="O1405" i="7"/>
  <c r="O1404" i="7"/>
  <c r="O1496" i="7"/>
  <c r="O1490" i="7"/>
  <c r="O1489" i="7"/>
  <c r="O1474" i="7"/>
  <c r="O1480" i="7"/>
  <c r="O1468" i="7"/>
  <c r="O1451" i="7"/>
  <c r="O1424" i="7"/>
  <c r="O1430" i="7"/>
  <c r="O1453" i="7"/>
  <c r="O1435" i="7"/>
  <c r="O1568" i="7"/>
  <c r="O1571" i="7"/>
  <c r="O1563" i="7"/>
  <c r="O1562" i="7"/>
  <c r="O1552" i="7"/>
  <c r="O1548" i="7"/>
  <c r="O1547" i="7"/>
  <c r="O1545" i="7"/>
  <c r="O1542" i="7"/>
  <c r="O1537" i="7"/>
  <c r="O1515" i="7"/>
  <c r="O1581" i="7"/>
  <c r="O1580" i="7"/>
  <c r="O1579" i="7"/>
  <c r="O1578" i="7"/>
  <c r="O1577" i="7"/>
  <c r="O1576" i="7"/>
  <c r="O1569" i="7"/>
  <c r="O1550" i="7"/>
  <c r="O1553" i="7"/>
  <c r="O1549" i="7"/>
  <c r="O1546" i="7"/>
  <c r="O1535" i="7"/>
  <c r="O1516" i="7"/>
  <c r="O1518" i="7"/>
  <c r="O1521" i="7"/>
  <c r="O1522" i="7"/>
  <c r="O1523" i="7"/>
  <c r="O1524" i="7"/>
  <c r="O1525" i="7"/>
  <c r="O1526" i="7"/>
  <c r="O1527" i="7"/>
  <c r="O1529" i="7"/>
  <c r="O1530" i="7"/>
  <c r="O1534" i="7"/>
  <c r="O1512" i="7"/>
  <c r="O1509" i="7"/>
  <c r="O1510" i="7"/>
  <c r="O1615" i="7"/>
  <c r="O1617" i="7"/>
  <c r="O1618" i="7"/>
  <c r="O1619" i="7"/>
  <c r="O1620" i="7"/>
  <c r="O1614" i="7"/>
  <c r="O1613" i="7"/>
  <c r="O1608" i="7"/>
  <c r="O1612" i="7"/>
  <c r="O1598" i="7"/>
  <c r="O1599" i="7"/>
  <c r="O1601" i="7"/>
  <c r="O1585" i="7"/>
  <c r="O1532" i="7"/>
  <c r="O1616" i="7"/>
  <c r="O1621" i="7"/>
  <c r="O1609" i="7"/>
  <c r="O1611" i="7"/>
  <c r="O1600" i="7"/>
  <c r="O1519" i="7"/>
  <c r="O1528" i="7"/>
  <c r="O1501" i="7"/>
  <c r="O1502" i="7"/>
  <c r="O1504" i="7"/>
  <c r="O1505" i="7"/>
  <c r="O1500" i="7"/>
  <c r="O1595" i="7"/>
  <c r="O1596" i="7"/>
  <c r="O1597" i="7"/>
  <c r="O1594" i="7"/>
  <c r="O1593" i="7"/>
  <c r="O1592" i="7"/>
  <c r="O1564" i="7"/>
  <c r="O1565" i="7"/>
  <c r="O1566" i="7"/>
  <c r="O1567" i="7"/>
  <c r="O1520" i="7"/>
  <c r="O1507" i="7"/>
  <c r="O1506" i="7"/>
  <c r="O1503" i="7"/>
  <c r="O1622" i="7"/>
  <c r="O1607" i="7"/>
  <c r="O1603" i="7"/>
  <c r="O1604" i="7"/>
  <c r="O1605" i="7"/>
  <c r="O1606" i="7"/>
  <c r="O1590" i="7"/>
  <c r="O1589" i="7"/>
  <c r="O1584" i="7"/>
  <c r="O1586" i="7"/>
  <c r="O1587" i="7"/>
  <c r="O1588" i="7"/>
  <c r="O1583" i="7"/>
  <c r="O1582" i="7"/>
  <c r="O1574" i="7"/>
  <c r="O1572" i="7"/>
  <c r="O1573" i="7"/>
  <c r="O1558" i="7"/>
  <c r="O1557" i="7"/>
  <c r="O1556" i="7"/>
  <c r="O1555" i="7"/>
  <c r="O1554" i="7"/>
  <c r="O1551" i="7"/>
  <c r="O1544" i="7"/>
  <c r="O1543" i="7"/>
  <c r="O1541" i="7"/>
  <c r="O1540" i="7"/>
  <c r="O1539" i="7"/>
  <c r="O1514" i="7"/>
  <c r="O1513" i="7"/>
  <c r="O1610" i="7"/>
  <c r="O1591" i="7"/>
  <c r="O1570" i="7"/>
  <c r="O1561" i="7"/>
  <c r="O1560" i="7"/>
  <c r="O1559" i="7"/>
  <c r="O1533" i="7"/>
  <c r="O1536" i="7"/>
  <c r="O1531" i="7"/>
  <c r="O1517" i="7"/>
  <c r="O1508" i="7"/>
  <c r="O1623" i="7"/>
  <c r="O1602" i="7"/>
  <c r="O1575" i="7"/>
  <c r="O1538" i="7"/>
  <c r="O1511" i="7"/>
  <c r="U1623" i="7"/>
  <c r="U1602" i="7"/>
  <c r="U1575" i="7"/>
  <c r="U1538" i="7"/>
  <c r="U1511" i="7"/>
  <c r="M1623" i="7"/>
  <c r="U1610" i="7"/>
  <c r="U1591" i="7"/>
  <c r="U1570" i="7"/>
  <c r="U1561" i="7"/>
  <c r="U1560" i="7"/>
  <c r="U1559" i="7"/>
  <c r="U1533" i="7"/>
  <c r="U1536" i="7"/>
  <c r="U1531" i="7"/>
  <c r="U1517" i="7"/>
  <c r="U1508" i="7"/>
  <c r="M1531" i="7"/>
  <c r="M1536" i="7"/>
  <c r="M1533" i="7"/>
  <c r="U1622" i="7"/>
  <c r="U1607" i="7"/>
  <c r="U1603" i="7"/>
  <c r="U1604" i="7"/>
  <c r="U1605" i="7"/>
  <c r="U1606" i="7"/>
  <c r="U1590" i="7"/>
  <c r="U1589" i="7"/>
  <c r="U1584" i="7"/>
  <c r="U1586" i="7"/>
  <c r="U1587" i="7"/>
  <c r="U1588" i="7"/>
  <c r="U1583" i="7"/>
  <c r="U1582" i="7"/>
  <c r="U1574" i="7"/>
  <c r="U1572" i="7"/>
  <c r="U1573" i="7"/>
  <c r="U1558" i="7"/>
  <c r="U1557" i="7"/>
  <c r="U1556" i="7"/>
  <c r="U1555" i="7"/>
  <c r="U1554" i="7"/>
  <c r="U1551" i="7"/>
  <c r="U1544" i="7"/>
  <c r="U1543" i="7"/>
  <c r="U1541" i="7"/>
  <c r="U1540" i="7"/>
  <c r="U1539" i="7"/>
  <c r="U1514" i="7"/>
  <c r="U1513" i="7"/>
  <c r="M1513" i="7"/>
  <c r="M1514" i="7"/>
  <c r="M1539" i="7"/>
  <c r="M1541" i="7"/>
  <c r="M1543" i="7"/>
  <c r="M1554" i="7"/>
  <c r="M1555" i="7"/>
  <c r="M1556" i="7"/>
  <c r="M1557" i="7"/>
  <c r="M1573" i="7"/>
  <c r="M1572" i="7"/>
  <c r="M1574" i="7"/>
  <c r="M1582" i="7"/>
  <c r="M1588" i="7"/>
  <c r="M1587" i="7"/>
  <c r="M1586" i="7"/>
  <c r="M1584" i="7"/>
  <c r="M1589" i="7"/>
  <c r="M1590" i="7"/>
  <c r="M1606" i="7"/>
  <c r="M1605" i="7"/>
  <c r="M1604" i="7"/>
  <c r="M1603" i="7"/>
  <c r="M1607" i="7"/>
  <c r="U1595" i="7"/>
  <c r="U1596" i="7"/>
  <c r="U1597" i="7"/>
  <c r="U1594" i="7"/>
  <c r="U1593" i="7"/>
  <c r="U1592" i="7"/>
  <c r="U1564" i="7"/>
  <c r="U1565" i="7"/>
  <c r="U1566" i="7"/>
  <c r="U1567" i="7"/>
  <c r="U1520" i="7"/>
  <c r="U1507" i="7"/>
  <c r="U1506" i="7"/>
  <c r="U1503" i="7"/>
  <c r="M1567" i="7"/>
  <c r="M1566" i="7"/>
  <c r="M1565" i="7"/>
  <c r="M1564" i="7"/>
  <c r="M1596" i="7"/>
  <c r="M1595" i="7"/>
  <c r="U1501" i="7"/>
  <c r="U1502" i="7"/>
  <c r="U1504" i="7"/>
  <c r="U1505" i="7"/>
  <c r="U1500" i="7"/>
  <c r="U1616" i="7"/>
  <c r="U1621" i="7"/>
  <c r="U1609" i="7"/>
  <c r="U1611" i="7"/>
  <c r="U1600" i="7"/>
  <c r="U1519" i="7"/>
  <c r="U1528" i="7"/>
  <c r="M1528" i="7"/>
  <c r="M1519" i="7"/>
  <c r="M1600" i="7"/>
  <c r="U1615" i="7"/>
  <c r="U1617" i="7"/>
  <c r="U1618" i="7"/>
  <c r="U1619" i="7"/>
  <c r="U1620" i="7"/>
  <c r="U1614" i="7"/>
  <c r="U1613" i="7"/>
  <c r="U1608" i="7"/>
  <c r="U1612" i="7"/>
  <c r="U1598" i="7"/>
  <c r="U1599" i="7"/>
  <c r="U1601" i="7"/>
  <c r="U1585" i="7"/>
  <c r="U1532" i="7"/>
  <c r="M1532" i="7"/>
  <c r="M1585" i="7"/>
  <c r="M1601" i="7"/>
  <c r="M1599" i="7"/>
  <c r="M1598" i="7"/>
  <c r="M1608" i="7"/>
  <c r="M1620" i="7"/>
  <c r="M1619" i="7"/>
  <c r="M1618" i="7"/>
  <c r="M1617" i="7"/>
  <c r="M1615" i="7"/>
  <c r="U1581" i="7"/>
  <c r="U1580" i="7"/>
  <c r="U1579" i="7"/>
  <c r="U1578" i="7"/>
  <c r="U1577" i="7"/>
  <c r="U1576" i="7"/>
  <c r="U1569" i="7"/>
  <c r="U1550" i="7"/>
  <c r="U1553" i="7"/>
  <c r="U1549" i="7"/>
  <c r="U1546" i="7"/>
  <c r="U1535" i="7"/>
  <c r="U1516" i="7"/>
  <c r="U1518" i="7"/>
  <c r="U1521" i="7"/>
  <c r="U1522" i="7"/>
  <c r="U1523" i="7"/>
  <c r="U1524" i="7"/>
  <c r="U1525" i="7"/>
  <c r="U1526" i="7"/>
  <c r="U1527" i="7"/>
  <c r="U1529" i="7"/>
  <c r="U1530" i="7"/>
  <c r="U1534" i="7"/>
  <c r="U1512" i="7"/>
  <c r="U1509" i="7"/>
  <c r="U1510" i="7"/>
  <c r="M1510" i="7"/>
  <c r="M1509" i="7"/>
  <c r="M1512" i="7"/>
  <c r="M1534" i="7"/>
  <c r="M1530" i="7"/>
  <c r="M1529" i="7"/>
  <c r="M1527" i="7"/>
  <c r="M1526" i="7"/>
  <c r="M1525" i="7"/>
  <c r="M1524" i="7"/>
  <c r="M1523" i="7"/>
  <c r="M1522" i="7"/>
  <c r="M1521" i="7"/>
  <c r="M1518" i="7"/>
  <c r="M1516" i="7"/>
  <c r="M1535" i="7"/>
  <c r="M1546" i="7"/>
  <c r="M1569" i="7"/>
  <c r="U1568" i="7"/>
  <c r="U1571" i="7"/>
  <c r="U1563" i="7"/>
  <c r="U1562" i="7"/>
  <c r="U1552" i="7"/>
  <c r="U1548" i="7"/>
  <c r="U1547" i="7"/>
  <c r="U1545" i="7"/>
  <c r="U1542" i="7"/>
  <c r="U1537" i="7"/>
  <c r="U1515" i="7"/>
  <c r="M1562" i="7"/>
  <c r="M1568" i="7"/>
  <c r="U1453" i="7"/>
  <c r="U1435" i="7"/>
  <c r="U1496" i="7"/>
  <c r="U1490" i="7"/>
  <c r="U1489" i="7"/>
  <c r="U1474" i="7"/>
  <c r="U1480" i="7"/>
  <c r="U1468" i="7"/>
  <c r="U1451" i="7"/>
  <c r="U1424" i="7"/>
  <c r="U1430" i="7"/>
  <c r="M1424" i="7"/>
  <c r="U1425" i="7"/>
  <c r="U1418" i="7"/>
  <c r="U1417" i="7"/>
  <c r="U1416" i="7"/>
  <c r="U1415" i="7"/>
  <c r="U1414" i="7"/>
  <c r="U1408" i="7"/>
  <c r="U1411" i="7"/>
  <c r="U1406" i="7"/>
  <c r="U1407" i="7"/>
  <c r="U1405" i="7"/>
  <c r="U1404" i="7"/>
  <c r="M1404" i="7"/>
  <c r="M1405" i="7"/>
  <c r="M1407" i="7"/>
  <c r="M1406" i="7"/>
  <c r="M1411" i="7"/>
  <c r="M1408" i="7"/>
  <c r="M1414" i="7"/>
  <c r="M1415" i="7"/>
  <c r="U1492" i="7"/>
  <c r="U1493" i="7"/>
  <c r="U1494" i="7"/>
  <c r="U1495" i="7"/>
  <c r="U1497" i="7"/>
  <c r="U1488" i="7"/>
  <c r="U1487" i="7"/>
  <c r="U1485" i="7"/>
  <c r="U1486" i="7"/>
  <c r="U1484" i="7"/>
  <c r="U1483" i="7"/>
  <c r="U1482" i="7"/>
  <c r="U1460" i="7"/>
  <c r="U1421" i="7"/>
  <c r="M1460" i="7"/>
  <c r="M1482" i="7"/>
  <c r="M1484" i="7"/>
  <c r="M1485" i="7"/>
  <c r="M1488" i="7"/>
  <c r="M1497" i="7"/>
  <c r="M1495" i="7"/>
  <c r="M1494" i="7"/>
  <c r="M1493" i="7"/>
  <c r="M1492" i="7"/>
  <c r="U1441" i="7"/>
  <c r="U1437" i="7"/>
  <c r="U1475" i="7"/>
  <c r="U1476" i="7"/>
  <c r="U1477" i="7"/>
  <c r="U1478" i="7"/>
  <c r="U1423" i="7"/>
  <c r="U1426" i="7"/>
  <c r="U1419" i="7"/>
  <c r="U1413" i="7"/>
  <c r="U1412" i="7"/>
  <c r="U1410" i="7"/>
  <c r="U1409" i="7"/>
  <c r="M1409" i="7"/>
  <c r="M1412" i="7"/>
  <c r="M1426" i="7"/>
  <c r="M1423" i="7"/>
  <c r="U1422" i="7"/>
  <c r="M1422" i="7"/>
  <c r="U1491" i="7"/>
  <c r="U1498" i="7"/>
  <c r="U1499" i="7"/>
  <c r="U1472" i="7"/>
  <c r="U1473" i="7"/>
  <c r="U1479" i="7"/>
  <c r="U1481" i="7"/>
  <c r="U1454" i="7"/>
  <c r="U1455" i="7"/>
  <c r="U1456" i="7"/>
  <c r="U1457" i="7"/>
  <c r="U1458" i="7"/>
  <c r="U1459" i="7"/>
  <c r="U1461" i="7"/>
  <c r="U1462" i="7"/>
  <c r="U1463" i="7"/>
  <c r="U1464" i="7"/>
  <c r="U1465" i="7"/>
  <c r="U1466" i="7"/>
  <c r="U1467" i="7"/>
  <c r="U1470" i="7"/>
  <c r="U1471" i="7"/>
  <c r="U1440" i="7"/>
  <c r="U1443" i="7"/>
  <c r="U1444" i="7"/>
  <c r="U1445" i="7"/>
  <c r="U1446" i="7"/>
  <c r="U1447" i="7"/>
  <c r="U1448" i="7"/>
  <c r="U1449" i="7"/>
  <c r="U1450" i="7"/>
  <c r="U1436" i="7"/>
  <c r="U1433" i="7"/>
  <c r="U1431" i="7"/>
  <c r="U1432" i="7"/>
  <c r="U1420" i="7"/>
  <c r="U1427" i="7"/>
  <c r="U1428" i="7"/>
  <c r="M1449" i="7"/>
  <c r="M1448" i="7"/>
  <c r="M1447" i="7"/>
  <c r="M1446" i="7"/>
  <c r="M1445" i="7"/>
  <c r="M1444" i="7"/>
  <c r="M1443" i="7"/>
  <c r="M1440" i="7"/>
  <c r="M1471" i="7"/>
  <c r="M1470" i="7"/>
  <c r="M1467" i="7"/>
  <c r="M1466" i="7"/>
  <c r="M1465" i="7"/>
  <c r="M1464" i="7"/>
  <c r="M1463" i="7"/>
  <c r="M1462" i="7"/>
  <c r="M1461" i="7"/>
  <c r="M1459" i="7"/>
  <c r="M1458" i="7"/>
  <c r="M1457" i="7"/>
  <c r="M1456" i="7"/>
  <c r="M1455" i="7"/>
  <c r="M1454" i="7"/>
  <c r="M1481" i="7"/>
  <c r="M1479" i="7"/>
  <c r="M1473" i="7"/>
  <c r="M1472" i="7"/>
  <c r="M1498" i="7"/>
  <c r="M1491" i="7"/>
  <c r="U1469" i="7"/>
  <c r="U1438" i="7"/>
  <c r="U1439" i="7"/>
  <c r="U1442" i="7"/>
  <c r="U1452" i="7"/>
  <c r="U1429" i="7"/>
  <c r="U1434" i="7"/>
  <c r="M1442" i="7"/>
  <c r="M1439" i="7"/>
  <c r="M1438" i="7"/>
  <c r="M1469" i="7"/>
  <c r="U1402" i="7"/>
  <c r="U1366" i="7"/>
  <c r="U1367" i="7"/>
  <c r="U1356" i="7"/>
  <c r="M1366" i="7"/>
  <c r="U1382" i="7"/>
  <c r="U1383" i="7"/>
  <c r="U1364" i="7"/>
  <c r="M1383" i="7"/>
  <c r="M1382" i="7"/>
  <c r="U1403" i="7"/>
  <c r="U1400" i="7"/>
  <c r="U1401" i="7"/>
  <c r="U1375" i="7"/>
  <c r="U1373" i="7"/>
  <c r="U1370" i="7"/>
  <c r="U1371" i="7"/>
  <c r="U1372" i="7"/>
  <c r="U1369" i="7"/>
  <c r="U1368" i="7"/>
  <c r="U1355" i="7"/>
  <c r="U1353" i="7"/>
  <c r="U1354" i="7"/>
  <c r="U1352" i="7"/>
  <c r="U1351" i="7"/>
  <c r="U1349" i="7"/>
  <c r="U1350" i="7"/>
  <c r="U1347" i="7"/>
  <c r="U1348" i="7"/>
  <c r="U1345" i="7"/>
  <c r="U1346" i="7"/>
  <c r="M1345" i="7"/>
  <c r="M1347" i="7"/>
  <c r="M1350" i="7"/>
  <c r="M1349" i="7"/>
  <c r="M1351" i="7"/>
  <c r="M1353" i="7"/>
  <c r="M1368" i="7"/>
  <c r="M1372" i="7"/>
  <c r="M1371" i="7"/>
  <c r="M1370" i="7"/>
  <c r="M1401" i="7"/>
  <c r="M1400" i="7"/>
  <c r="U1359" i="7"/>
  <c r="U1397" i="7"/>
  <c r="U1390" i="7"/>
  <c r="U1394" i="7"/>
  <c r="U1398" i="7"/>
  <c r="U1380" i="7"/>
  <c r="U1379" i="7"/>
  <c r="U1376" i="7"/>
  <c r="U1374" i="7"/>
  <c r="M1374" i="7"/>
  <c r="M1394" i="7"/>
  <c r="M1390" i="7"/>
  <c r="U1381" i="7"/>
  <c r="U1384" i="7"/>
  <c r="U1385" i="7"/>
  <c r="U1386" i="7"/>
  <c r="U1387" i="7"/>
  <c r="U1388" i="7"/>
  <c r="U1389" i="7"/>
  <c r="U1391" i="7"/>
  <c r="U1392" i="7"/>
  <c r="U1393" i="7"/>
  <c r="U1395" i="7"/>
  <c r="U1396" i="7"/>
  <c r="U1399" i="7"/>
  <c r="U1377" i="7"/>
  <c r="U1378" i="7"/>
  <c r="U1357" i="7"/>
  <c r="U1358" i="7"/>
  <c r="U1360" i="7"/>
  <c r="U1362" i="7"/>
  <c r="U1363" i="7"/>
  <c r="U1365" i="7"/>
  <c r="M1365" i="7"/>
  <c r="M1363" i="7"/>
  <c r="M1362" i="7"/>
  <c r="M1360" i="7"/>
  <c r="M1358" i="7"/>
  <c r="M1357" i="7"/>
  <c r="M1378" i="7"/>
  <c r="M1377" i="7"/>
  <c r="M1396" i="7"/>
  <c r="M1395" i="7"/>
  <c r="M1393" i="7"/>
  <c r="M1392" i="7"/>
  <c r="M1391" i="7"/>
  <c r="M1389" i="7"/>
  <c r="M1388" i="7"/>
  <c r="M1387" i="7"/>
  <c r="M1386" i="7"/>
  <c r="M1385" i="7"/>
  <c r="M1384" i="7"/>
  <c r="M1381" i="7"/>
  <c r="U1361" i="7"/>
  <c r="M1361" i="7"/>
  <c r="H246" i="18"/>
  <c r="H245" i="18"/>
  <c r="U1332" i="7"/>
  <c r="U1333" i="7"/>
  <c r="M1332" i="7"/>
  <c r="U1343" i="7"/>
  <c r="U1340" i="7"/>
  <c r="U1329" i="7"/>
  <c r="U1321" i="7"/>
  <c r="U1320" i="7"/>
  <c r="U1319" i="7"/>
  <c r="U1318" i="7"/>
  <c r="U1317" i="7"/>
  <c r="U1316" i="7"/>
  <c r="U1315" i="7"/>
  <c r="U1314" i="7"/>
  <c r="U1313" i="7"/>
  <c r="U1312" i="7"/>
  <c r="U1311" i="7"/>
  <c r="U1310" i="7"/>
  <c r="U1309" i="7"/>
  <c r="U1308" i="7"/>
  <c r="U1306" i="7"/>
  <c r="U1307" i="7"/>
  <c r="U1305" i="7"/>
  <c r="U1304" i="7"/>
  <c r="U1303" i="7"/>
  <c r="M1305" i="7"/>
  <c r="U1337" i="7"/>
  <c r="U1338" i="7"/>
  <c r="U1334" i="7"/>
  <c r="U1327" i="7"/>
  <c r="M1327" i="7"/>
  <c r="M1337" i="7"/>
  <c r="U1324" i="7"/>
  <c r="U1325" i="7"/>
  <c r="M1325" i="7"/>
  <c r="U1326" i="7"/>
  <c r="U1328" i="7"/>
  <c r="U1322" i="7"/>
  <c r="M1328" i="7"/>
  <c r="M1326" i="7"/>
  <c r="U1335" i="7"/>
  <c r="U1342" i="7"/>
  <c r="U1330" i="7"/>
  <c r="U1302" i="7"/>
  <c r="M1335" i="7"/>
  <c r="U1344" i="7"/>
  <c r="U1336" i="7"/>
  <c r="U1339" i="7"/>
  <c r="U1341" i="7"/>
  <c r="U1323" i="7"/>
  <c r="U1331" i="7"/>
  <c r="M1323" i="7"/>
  <c r="M1339" i="7"/>
  <c r="M1336" i="7"/>
  <c r="U1301" i="7"/>
  <c r="U1293" i="7"/>
  <c r="U1291" i="7"/>
  <c r="U1290" i="7"/>
  <c r="U1289" i="7"/>
  <c r="M1290" i="7"/>
  <c r="U1294" i="7"/>
  <c r="U1295" i="7"/>
  <c r="U1296" i="7"/>
  <c r="M1295" i="7"/>
  <c r="M1294" i="7"/>
  <c r="U1298" i="7"/>
  <c r="U1297" i="7"/>
  <c r="M1298" i="7"/>
  <c r="U1300" i="7"/>
  <c r="U1292" i="7"/>
  <c r="U1299" i="7"/>
  <c r="M1292" i="7"/>
  <c r="U1288" i="7"/>
  <c r="U1283" i="7"/>
  <c r="U1277" i="7"/>
  <c r="U1276" i="7"/>
  <c r="U1275" i="7"/>
  <c r="U1282" i="7"/>
  <c r="M1282" i="7"/>
  <c r="U1278" i="7"/>
  <c r="U1281" i="7"/>
  <c r="U1284" i="7"/>
  <c r="U1287" i="7"/>
  <c r="M1284" i="7"/>
  <c r="M1281" i="7"/>
  <c r="M1278" i="7"/>
  <c r="U1285" i="7"/>
  <c r="U1286" i="7"/>
  <c r="M1285" i="7"/>
  <c r="U1280" i="7"/>
  <c r="U1279" i="7"/>
  <c r="U1268" i="7"/>
  <c r="U1274" i="7"/>
  <c r="U1270" i="7"/>
  <c r="U1271" i="7"/>
  <c r="U1266" i="7"/>
  <c r="M1270" i="7"/>
  <c r="U1262" i="7"/>
  <c r="U1263" i="7"/>
  <c r="U1264" i="7"/>
  <c r="U1265" i="7"/>
  <c r="M1264" i="7"/>
  <c r="M1263" i="7"/>
  <c r="M1262" i="7"/>
  <c r="U1272" i="7"/>
  <c r="U1273" i="7"/>
  <c r="U1267" i="7"/>
  <c r="U1269" i="7"/>
  <c r="U1261" i="7"/>
  <c r="U1256" i="7"/>
  <c r="M1256" i="7"/>
  <c r="U1254" i="7"/>
  <c r="U1255" i="7"/>
  <c r="M1254" i="7"/>
  <c r="U1253" i="7"/>
  <c r="U1257" i="7"/>
  <c r="U1260" i="7"/>
  <c r="M1257" i="7"/>
  <c r="M1253" i="7"/>
  <c r="U1258" i="7"/>
  <c r="U1259" i="7"/>
  <c r="M1258" i="7"/>
  <c r="M1232" i="7"/>
  <c r="M1245" i="7"/>
  <c r="M1249" i="7"/>
  <c r="M1251" i="7"/>
  <c r="M1244" i="7"/>
  <c r="M1243" i="7"/>
  <c r="M1242" i="7"/>
  <c r="M1231" i="7"/>
  <c r="M1234" i="7"/>
  <c r="U1247" i="7"/>
  <c r="U1238" i="7"/>
  <c r="U1252" i="7"/>
  <c r="U1248" i="7"/>
  <c r="U1246" i="7"/>
  <c r="U1236" i="7"/>
  <c r="U1251" i="7"/>
  <c r="U1249" i="7"/>
  <c r="U1250" i="7"/>
  <c r="U1245" i="7"/>
  <c r="U1232" i="7"/>
  <c r="U1233" i="7"/>
  <c r="U1242" i="7"/>
  <c r="U1243" i="7"/>
  <c r="U1244" i="7"/>
  <c r="U1240" i="7"/>
  <c r="U1241" i="7"/>
  <c r="U1239" i="7"/>
  <c r="U1226" i="7"/>
  <c r="U1227" i="7"/>
  <c r="U1229" i="7"/>
  <c r="U1230" i="7"/>
  <c r="U1231" i="7"/>
  <c r="U1235" i="7"/>
  <c r="U1224" i="7"/>
  <c r="U1223" i="7"/>
  <c r="U1222" i="7"/>
  <c r="U1234" i="7"/>
  <c r="U1237" i="7"/>
  <c r="U1228" i="7"/>
  <c r="U1225" i="7"/>
  <c r="U1220" i="7"/>
  <c r="U1209" i="7"/>
  <c r="U1213" i="7"/>
  <c r="U1221" i="7"/>
  <c r="U1219" i="7"/>
  <c r="U1217" i="7"/>
  <c r="U1218" i="7"/>
  <c r="U1216" i="7"/>
  <c r="U1208" i="7"/>
  <c r="U1202" i="7"/>
  <c r="M1208" i="7"/>
  <c r="M1218" i="7"/>
  <c r="M1217" i="7"/>
  <c r="M1219" i="7"/>
  <c r="U1210" i="7"/>
  <c r="U1211" i="7"/>
  <c r="U1212" i="7"/>
  <c r="U1215" i="7"/>
  <c r="U1204" i="7"/>
  <c r="U1205" i="7"/>
  <c r="M1204" i="7"/>
  <c r="U1214" i="7"/>
  <c r="U1206" i="7"/>
  <c r="U1207" i="7"/>
  <c r="U1203" i="7"/>
  <c r="M1214" i="7"/>
  <c r="U1200" i="7"/>
  <c r="U1201" i="7"/>
  <c r="U1199" i="7"/>
  <c r="M1201" i="7"/>
  <c r="U1183" i="7"/>
  <c r="M1183" i="7"/>
  <c r="U1174" i="7"/>
  <c r="U1193" i="7"/>
  <c r="U1198" i="7"/>
  <c r="U1165" i="7"/>
  <c r="U1166" i="7"/>
  <c r="U1168" i="7"/>
  <c r="U1156" i="7"/>
  <c r="M1166" i="7"/>
  <c r="M1165" i="7"/>
  <c r="M1193" i="7"/>
  <c r="U1191" i="7"/>
  <c r="U1192" i="7"/>
  <c r="U1194" i="7"/>
  <c r="U1195" i="7"/>
  <c r="U1196" i="7"/>
  <c r="U1197" i="7"/>
  <c r="U1185" i="7"/>
  <c r="U1186" i="7"/>
  <c r="U1187" i="7"/>
  <c r="U1188" i="7"/>
  <c r="U1189" i="7"/>
  <c r="U1190" i="7"/>
  <c r="U1161" i="7"/>
  <c r="U1162" i="7"/>
  <c r="U1163" i="7"/>
  <c r="U1167" i="7"/>
  <c r="M1163" i="7"/>
  <c r="M1162" i="7"/>
  <c r="M1161" i="7"/>
  <c r="U1184" i="7"/>
  <c r="U1182" i="7"/>
  <c r="U1173" i="7"/>
  <c r="U1169" i="7"/>
  <c r="U1172" i="7"/>
  <c r="U1157" i="7"/>
  <c r="U1158" i="7"/>
  <c r="U1159" i="7"/>
  <c r="M1172" i="7"/>
  <c r="M1169" i="7"/>
  <c r="U1181" i="7"/>
  <c r="U1177" i="7"/>
  <c r="U1178" i="7"/>
  <c r="U1179" i="7"/>
  <c r="U1180" i="7"/>
  <c r="U1175" i="7"/>
  <c r="U1176" i="7"/>
  <c r="U1164" i="7"/>
  <c r="U1170" i="7"/>
  <c r="U1171" i="7"/>
  <c r="U1160" i="7"/>
  <c r="M1181" i="7"/>
  <c r="U1155" i="7"/>
  <c r="U1146" i="7"/>
  <c r="U1147" i="7"/>
  <c r="M1146" i="7"/>
  <c r="U1141" i="7"/>
  <c r="U1142" i="7"/>
  <c r="U1143" i="7"/>
  <c r="M1143" i="7"/>
  <c r="M1142" i="7"/>
  <c r="M1141" i="7"/>
  <c r="U1154" i="7"/>
  <c r="U1152" i="7"/>
  <c r="U1153" i="7"/>
  <c r="U1150" i="7"/>
  <c r="U1151" i="7"/>
  <c r="M1151" i="7"/>
  <c r="U1148" i="7"/>
  <c r="U1149" i="7"/>
  <c r="U1144" i="7"/>
  <c r="U1145" i="7"/>
  <c r="U1139" i="7"/>
  <c r="U1140" i="7"/>
  <c r="U3" i="7"/>
  <c r="U4" i="7"/>
  <c r="U5" i="7"/>
  <c r="U6" i="7"/>
  <c r="U7" i="7"/>
  <c r="U8" i="7"/>
  <c r="U9" i="7"/>
  <c r="U10" i="7"/>
  <c r="U11" i="7"/>
  <c r="U12" i="7"/>
  <c r="U13" i="7"/>
  <c r="U14" i="7"/>
  <c r="U15" i="7"/>
  <c r="U16" i="7"/>
  <c r="U17" i="7"/>
  <c r="U18" i="7"/>
  <c r="U19" i="7"/>
  <c r="U20" i="7"/>
  <c r="U21" i="7"/>
  <c r="U22" i="7"/>
  <c r="U23" i="7"/>
  <c r="U24" i="7"/>
  <c r="U25" i="7"/>
  <c r="U26" i="7"/>
  <c r="U27" i="7"/>
  <c r="U28" i="7"/>
  <c r="U29" i="7"/>
  <c r="U30" i="7"/>
  <c r="U31" i="7"/>
  <c r="U32" i="7"/>
  <c r="U33" i="7"/>
  <c r="U34" i="7"/>
  <c r="U35" i="7"/>
  <c r="U36" i="7"/>
  <c r="U37" i="7"/>
  <c r="U38" i="7"/>
  <c r="U39" i="7"/>
  <c r="U40" i="7"/>
  <c r="U41" i="7"/>
  <c r="U42" i="7"/>
  <c r="U43" i="7"/>
  <c r="U44" i="7"/>
  <c r="U45" i="7"/>
  <c r="U46" i="7"/>
  <c r="U47" i="7"/>
  <c r="U48" i="7"/>
  <c r="U49" i="7"/>
  <c r="U50" i="7"/>
  <c r="U51" i="7"/>
  <c r="U52" i="7"/>
  <c r="U53" i="7"/>
  <c r="U54" i="7"/>
  <c r="U55" i="7"/>
  <c r="U56" i="7"/>
  <c r="U57" i="7"/>
  <c r="U58" i="7"/>
  <c r="U59" i="7"/>
  <c r="U60" i="7"/>
  <c r="U61" i="7"/>
  <c r="U62" i="7"/>
  <c r="U63" i="7"/>
  <c r="U64" i="7"/>
  <c r="U65" i="7"/>
  <c r="U66" i="7"/>
  <c r="U67" i="7"/>
  <c r="U68" i="7"/>
  <c r="U69" i="7"/>
  <c r="U70" i="7"/>
  <c r="U71" i="7"/>
  <c r="U72" i="7"/>
  <c r="U73" i="7"/>
  <c r="U74" i="7"/>
  <c r="U75" i="7"/>
  <c r="U76" i="7"/>
  <c r="U77" i="7"/>
  <c r="U78" i="7"/>
  <c r="U79" i="7"/>
  <c r="U80" i="7"/>
  <c r="U81" i="7"/>
  <c r="U82" i="7"/>
  <c r="U83" i="7"/>
  <c r="U84" i="7"/>
  <c r="U85" i="7"/>
  <c r="U86" i="7"/>
  <c r="U87" i="7"/>
  <c r="U88" i="7"/>
  <c r="U89" i="7"/>
  <c r="U90" i="7"/>
  <c r="U91" i="7"/>
  <c r="U92" i="7"/>
  <c r="U93" i="7"/>
  <c r="U94" i="7"/>
  <c r="U95" i="7"/>
  <c r="U96" i="7"/>
  <c r="U97" i="7"/>
  <c r="U98" i="7"/>
  <c r="U99" i="7"/>
  <c r="U100" i="7"/>
  <c r="U101" i="7"/>
  <c r="U102" i="7"/>
  <c r="U103" i="7"/>
  <c r="U104" i="7"/>
  <c r="U105" i="7"/>
  <c r="U106" i="7"/>
  <c r="U107" i="7"/>
  <c r="U108" i="7"/>
  <c r="U109" i="7"/>
  <c r="U110" i="7"/>
  <c r="U111" i="7"/>
  <c r="U112" i="7"/>
  <c r="U113" i="7"/>
  <c r="U114" i="7"/>
  <c r="U115" i="7"/>
  <c r="U116" i="7"/>
  <c r="U117" i="7"/>
  <c r="U118" i="7"/>
  <c r="U119" i="7"/>
  <c r="U120" i="7"/>
  <c r="U121" i="7"/>
  <c r="U122" i="7"/>
  <c r="U123" i="7"/>
  <c r="U124" i="7"/>
  <c r="U125" i="7"/>
  <c r="U126" i="7"/>
  <c r="U127" i="7"/>
  <c r="U128" i="7"/>
  <c r="U129" i="7"/>
  <c r="U130" i="7"/>
  <c r="U131" i="7"/>
  <c r="U132" i="7"/>
  <c r="U133" i="7"/>
  <c r="U134" i="7"/>
  <c r="U135" i="7"/>
  <c r="U136" i="7"/>
  <c r="U137" i="7"/>
  <c r="U138" i="7"/>
  <c r="U139" i="7"/>
  <c r="U140" i="7"/>
  <c r="U141" i="7"/>
  <c r="U142" i="7"/>
  <c r="U143" i="7"/>
  <c r="U144" i="7"/>
  <c r="U145" i="7"/>
  <c r="U146" i="7"/>
  <c r="U147" i="7"/>
  <c r="U148" i="7"/>
  <c r="U149" i="7"/>
  <c r="U150" i="7"/>
  <c r="U151" i="7"/>
  <c r="U152" i="7"/>
  <c r="U153" i="7"/>
  <c r="U154" i="7"/>
  <c r="U155" i="7"/>
  <c r="U156" i="7"/>
  <c r="U157" i="7"/>
  <c r="U158" i="7"/>
  <c r="U159" i="7"/>
  <c r="U160" i="7"/>
  <c r="U161" i="7"/>
  <c r="U162" i="7"/>
  <c r="U163" i="7"/>
  <c r="U164" i="7"/>
  <c r="U165" i="7"/>
  <c r="U166" i="7"/>
  <c r="U167" i="7"/>
  <c r="U168" i="7"/>
  <c r="U169" i="7"/>
  <c r="U170" i="7"/>
  <c r="U171" i="7"/>
  <c r="U172" i="7"/>
  <c r="U173" i="7"/>
  <c r="U174" i="7"/>
  <c r="U175" i="7"/>
  <c r="U176" i="7"/>
  <c r="U177" i="7"/>
  <c r="U178" i="7"/>
  <c r="U179" i="7"/>
  <c r="U180" i="7"/>
  <c r="U181" i="7"/>
  <c r="U182" i="7"/>
  <c r="U183" i="7"/>
  <c r="U184" i="7"/>
  <c r="U185" i="7"/>
  <c r="U186" i="7"/>
  <c r="U187" i="7"/>
  <c r="U188" i="7"/>
  <c r="U189" i="7"/>
  <c r="U190" i="7"/>
  <c r="U191" i="7"/>
  <c r="U192" i="7"/>
  <c r="U193" i="7"/>
  <c r="U194" i="7"/>
  <c r="U195" i="7"/>
  <c r="U196" i="7"/>
  <c r="U197" i="7"/>
  <c r="U198" i="7"/>
  <c r="U199" i="7"/>
  <c r="U200" i="7"/>
  <c r="U201" i="7"/>
  <c r="U202" i="7"/>
  <c r="U203" i="7"/>
  <c r="U204" i="7"/>
  <c r="U205" i="7"/>
  <c r="U206" i="7"/>
  <c r="U207" i="7"/>
  <c r="U208" i="7"/>
  <c r="U209" i="7"/>
  <c r="U210" i="7"/>
  <c r="U211" i="7"/>
  <c r="U212" i="7"/>
  <c r="U213" i="7"/>
  <c r="U214" i="7"/>
  <c r="U215" i="7"/>
  <c r="U216" i="7"/>
  <c r="U217" i="7"/>
  <c r="U218" i="7"/>
  <c r="U219" i="7"/>
  <c r="U220" i="7"/>
  <c r="U221" i="7"/>
  <c r="U222" i="7"/>
  <c r="U223" i="7"/>
  <c r="U224" i="7"/>
  <c r="U225" i="7"/>
  <c r="U226" i="7"/>
  <c r="U227" i="7"/>
  <c r="U228" i="7"/>
  <c r="U229" i="7"/>
  <c r="U230" i="7"/>
  <c r="U231" i="7"/>
  <c r="U232" i="7"/>
  <c r="U233" i="7"/>
  <c r="U234" i="7"/>
  <c r="U235" i="7"/>
  <c r="U236" i="7"/>
  <c r="U237" i="7"/>
  <c r="U238" i="7"/>
  <c r="U239" i="7"/>
  <c r="U240" i="7"/>
  <c r="U241" i="7"/>
  <c r="U242" i="7"/>
  <c r="U243" i="7"/>
  <c r="U244" i="7"/>
  <c r="U245" i="7"/>
  <c r="U246" i="7"/>
  <c r="U247" i="7"/>
  <c r="U248" i="7"/>
  <c r="U249" i="7"/>
  <c r="U250" i="7"/>
  <c r="U251" i="7"/>
  <c r="U252" i="7"/>
  <c r="U253" i="7"/>
  <c r="U254" i="7"/>
  <c r="U255" i="7"/>
  <c r="U256" i="7"/>
  <c r="U257" i="7"/>
  <c r="U258" i="7"/>
  <c r="U259" i="7"/>
  <c r="U260" i="7"/>
  <c r="U261" i="7"/>
  <c r="U262" i="7"/>
  <c r="U263" i="7"/>
  <c r="U264" i="7"/>
  <c r="U265" i="7"/>
  <c r="U266" i="7"/>
  <c r="U267" i="7"/>
  <c r="U268" i="7"/>
  <c r="U269" i="7"/>
  <c r="U270" i="7"/>
  <c r="U271" i="7"/>
  <c r="U272" i="7"/>
  <c r="U273" i="7"/>
  <c r="U274" i="7"/>
  <c r="U275" i="7"/>
  <c r="U276" i="7"/>
  <c r="U277" i="7"/>
  <c r="U278" i="7"/>
  <c r="U279" i="7"/>
  <c r="U280" i="7"/>
  <c r="U281" i="7"/>
  <c r="U282" i="7"/>
  <c r="U283" i="7"/>
  <c r="U284" i="7"/>
  <c r="U285" i="7"/>
  <c r="U286" i="7"/>
  <c r="U287" i="7"/>
  <c r="U288" i="7"/>
  <c r="U289" i="7"/>
  <c r="U290" i="7"/>
  <c r="U291" i="7"/>
  <c r="U292" i="7"/>
  <c r="U293" i="7"/>
  <c r="U294" i="7"/>
  <c r="U295" i="7"/>
  <c r="U296" i="7"/>
  <c r="U297" i="7"/>
  <c r="U298" i="7"/>
  <c r="U299" i="7"/>
  <c r="U300" i="7"/>
  <c r="U301" i="7"/>
  <c r="U302" i="7"/>
  <c r="U303" i="7"/>
  <c r="U304" i="7"/>
  <c r="U305" i="7"/>
  <c r="U306" i="7"/>
  <c r="U307" i="7"/>
  <c r="U308" i="7"/>
  <c r="U309" i="7"/>
  <c r="U310" i="7"/>
  <c r="U311" i="7"/>
  <c r="U312" i="7"/>
  <c r="U313" i="7"/>
  <c r="U314" i="7"/>
  <c r="U315" i="7"/>
  <c r="U316" i="7"/>
  <c r="U317" i="7"/>
  <c r="U318" i="7"/>
  <c r="U319" i="7"/>
  <c r="U320" i="7"/>
  <c r="U321" i="7"/>
  <c r="U322" i="7"/>
  <c r="U323" i="7"/>
  <c r="U324" i="7"/>
  <c r="U325" i="7"/>
  <c r="U326" i="7"/>
  <c r="U327" i="7"/>
  <c r="U328" i="7"/>
  <c r="U329" i="7"/>
  <c r="U330" i="7"/>
  <c r="U331" i="7"/>
  <c r="U332" i="7"/>
  <c r="U333" i="7"/>
  <c r="U334" i="7"/>
  <c r="U335" i="7"/>
  <c r="U336" i="7"/>
  <c r="U337" i="7"/>
  <c r="U338" i="7"/>
  <c r="U339" i="7"/>
  <c r="U340" i="7"/>
  <c r="U341" i="7"/>
  <c r="U342" i="7"/>
  <c r="U343" i="7"/>
  <c r="U344" i="7"/>
  <c r="U345" i="7"/>
  <c r="U346" i="7"/>
  <c r="U347" i="7"/>
  <c r="U348" i="7"/>
  <c r="U349" i="7"/>
  <c r="U350" i="7"/>
  <c r="U351" i="7"/>
  <c r="U352" i="7"/>
  <c r="U353" i="7"/>
  <c r="U354" i="7"/>
  <c r="U355" i="7"/>
  <c r="U356" i="7"/>
  <c r="U357" i="7"/>
  <c r="U358" i="7"/>
  <c r="U359" i="7"/>
  <c r="U360" i="7"/>
  <c r="U361" i="7"/>
  <c r="U362" i="7"/>
  <c r="U363" i="7"/>
  <c r="U364" i="7"/>
  <c r="U365" i="7"/>
  <c r="U366" i="7"/>
  <c r="U367" i="7"/>
  <c r="U368" i="7"/>
  <c r="U369" i="7"/>
  <c r="U370" i="7"/>
  <c r="U371" i="7"/>
  <c r="U372" i="7"/>
  <c r="U373" i="7"/>
  <c r="U374" i="7"/>
  <c r="U375" i="7"/>
  <c r="U376" i="7"/>
  <c r="U377" i="7"/>
  <c r="U378" i="7"/>
  <c r="U379" i="7"/>
  <c r="U380" i="7"/>
  <c r="U381" i="7"/>
  <c r="U382" i="7"/>
  <c r="U383" i="7"/>
  <c r="U384" i="7"/>
  <c r="U385" i="7"/>
  <c r="U386" i="7"/>
  <c r="U387" i="7"/>
  <c r="U388" i="7"/>
  <c r="U389" i="7"/>
  <c r="U390" i="7"/>
  <c r="U391" i="7"/>
  <c r="U392" i="7"/>
  <c r="U393" i="7"/>
  <c r="U394" i="7"/>
  <c r="U395" i="7"/>
  <c r="U396" i="7"/>
  <c r="U397" i="7"/>
  <c r="U398" i="7"/>
  <c r="U399" i="7"/>
  <c r="U400" i="7"/>
  <c r="U401" i="7"/>
  <c r="U402" i="7"/>
  <c r="U403" i="7"/>
  <c r="U404" i="7"/>
  <c r="U405" i="7"/>
  <c r="U406" i="7"/>
  <c r="U407" i="7"/>
  <c r="U408" i="7"/>
  <c r="U409" i="7"/>
  <c r="U410" i="7"/>
  <c r="U411" i="7"/>
  <c r="U412" i="7"/>
  <c r="U413" i="7"/>
  <c r="U414" i="7"/>
  <c r="U415" i="7"/>
  <c r="U416" i="7"/>
  <c r="U417" i="7"/>
  <c r="U418" i="7"/>
  <c r="U419" i="7"/>
  <c r="U420" i="7"/>
  <c r="U421" i="7"/>
  <c r="U422" i="7"/>
  <c r="U423" i="7"/>
  <c r="U424" i="7"/>
  <c r="U425" i="7"/>
  <c r="U426" i="7"/>
  <c r="U427" i="7"/>
  <c r="U428" i="7"/>
  <c r="U429" i="7"/>
  <c r="U430" i="7"/>
  <c r="U431" i="7"/>
  <c r="U432" i="7"/>
  <c r="U433" i="7"/>
  <c r="U434" i="7"/>
  <c r="U435" i="7"/>
  <c r="U436" i="7"/>
  <c r="U437" i="7"/>
  <c r="U438" i="7"/>
  <c r="U439" i="7"/>
  <c r="U440" i="7"/>
  <c r="U441" i="7"/>
  <c r="U442" i="7"/>
  <c r="U443" i="7"/>
  <c r="U444" i="7"/>
  <c r="U445" i="7"/>
  <c r="U446" i="7"/>
  <c r="U447" i="7"/>
  <c r="U448" i="7"/>
  <c r="U449" i="7"/>
  <c r="U450" i="7"/>
  <c r="U451" i="7"/>
  <c r="U452" i="7"/>
  <c r="U453" i="7"/>
  <c r="U454" i="7"/>
  <c r="U455" i="7"/>
  <c r="U456" i="7"/>
  <c r="U457" i="7"/>
  <c r="U458" i="7"/>
  <c r="U459" i="7"/>
  <c r="U460" i="7"/>
  <c r="U461" i="7"/>
  <c r="U462" i="7"/>
  <c r="U463" i="7"/>
  <c r="U464" i="7"/>
  <c r="U465" i="7"/>
  <c r="U466" i="7"/>
  <c r="U467" i="7"/>
  <c r="U468" i="7"/>
  <c r="U469" i="7"/>
  <c r="U470" i="7"/>
  <c r="U471" i="7"/>
  <c r="U472" i="7"/>
  <c r="U473" i="7"/>
  <c r="U474" i="7"/>
  <c r="U475" i="7"/>
  <c r="U476" i="7"/>
  <c r="U477" i="7"/>
  <c r="U478" i="7"/>
  <c r="U479" i="7"/>
  <c r="U480" i="7"/>
  <c r="U481" i="7"/>
  <c r="U482" i="7"/>
  <c r="U483" i="7"/>
  <c r="U484" i="7"/>
  <c r="U485" i="7"/>
  <c r="U486" i="7"/>
  <c r="U487" i="7"/>
  <c r="U488" i="7"/>
  <c r="U489" i="7"/>
  <c r="U490" i="7"/>
  <c r="U491" i="7"/>
  <c r="U492" i="7"/>
  <c r="U493" i="7"/>
  <c r="U494" i="7"/>
  <c r="U495" i="7"/>
  <c r="U496" i="7"/>
  <c r="U497" i="7"/>
  <c r="U498" i="7"/>
  <c r="U499" i="7"/>
  <c r="U500" i="7"/>
  <c r="U501" i="7"/>
  <c r="U502" i="7"/>
  <c r="U503" i="7"/>
  <c r="U504" i="7"/>
  <c r="U505" i="7"/>
  <c r="U506" i="7"/>
  <c r="U507" i="7"/>
  <c r="U508" i="7"/>
  <c r="U509" i="7"/>
  <c r="U510" i="7"/>
  <c r="U511" i="7"/>
  <c r="U512" i="7"/>
  <c r="U513" i="7"/>
  <c r="U514" i="7"/>
  <c r="U515" i="7"/>
  <c r="U516" i="7"/>
  <c r="U517" i="7"/>
  <c r="U518" i="7"/>
  <c r="U519" i="7"/>
  <c r="U520" i="7"/>
  <c r="U521" i="7"/>
  <c r="U522" i="7"/>
  <c r="U523" i="7"/>
  <c r="U524" i="7"/>
  <c r="U525" i="7"/>
  <c r="U526" i="7"/>
  <c r="U527" i="7"/>
  <c r="U528" i="7"/>
  <c r="U529" i="7"/>
  <c r="U530" i="7"/>
  <c r="U531" i="7"/>
  <c r="U532" i="7"/>
  <c r="U533" i="7"/>
  <c r="U534" i="7"/>
  <c r="U535" i="7"/>
  <c r="U536" i="7"/>
  <c r="U537" i="7"/>
  <c r="U538" i="7"/>
  <c r="U539" i="7"/>
  <c r="U540" i="7"/>
  <c r="U541" i="7"/>
  <c r="U542" i="7"/>
  <c r="U543" i="7"/>
  <c r="U544" i="7"/>
  <c r="U545" i="7"/>
  <c r="U546" i="7"/>
  <c r="U547" i="7"/>
  <c r="U548" i="7"/>
  <c r="U549" i="7"/>
  <c r="U550" i="7"/>
  <c r="U551" i="7"/>
  <c r="U552" i="7"/>
  <c r="U553" i="7"/>
  <c r="U554" i="7"/>
  <c r="U555" i="7"/>
  <c r="U556" i="7"/>
  <c r="U557" i="7"/>
  <c r="U558" i="7"/>
  <c r="U559" i="7"/>
  <c r="U560" i="7"/>
  <c r="U561" i="7"/>
  <c r="U562" i="7"/>
  <c r="U563" i="7"/>
  <c r="U564" i="7"/>
  <c r="U565" i="7"/>
  <c r="U566" i="7"/>
  <c r="U567" i="7"/>
  <c r="U568" i="7"/>
  <c r="U569" i="7"/>
  <c r="U570" i="7"/>
  <c r="U571" i="7"/>
  <c r="U572" i="7"/>
  <c r="U573" i="7"/>
  <c r="U574" i="7"/>
  <c r="U575" i="7"/>
  <c r="U576" i="7"/>
  <c r="U577" i="7"/>
  <c r="U578" i="7"/>
  <c r="U579" i="7"/>
  <c r="U580" i="7"/>
  <c r="U581" i="7"/>
  <c r="U582" i="7"/>
  <c r="U583" i="7"/>
  <c r="U584" i="7"/>
  <c r="U585" i="7"/>
  <c r="U586" i="7"/>
  <c r="U587" i="7"/>
  <c r="U588" i="7"/>
  <c r="U589" i="7"/>
  <c r="U590" i="7"/>
  <c r="U591" i="7"/>
  <c r="U592" i="7"/>
  <c r="U593" i="7"/>
  <c r="U594" i="7"/>
  <c r="U595" i="7"/>
  <c r="U596" i="7"/>
  <c r="U597" i="7"/>
  <c r="U598" i="7"/>
  <c r="U599" i="7"/>
  <c r="U600" i="7"/>
  <c r="U601" i="7"/>
  <c r="U602" i="7"/>
  <c r="U603" i="7"/>
  <c r="U604" i="7"/>
  <c r="U605" i="7"/>
  <c r="U606" i="7"/>
  <c r="U607" i="7"/>
  <c r="U608" i="7"/>
  <c r="U609" i="7"/>
  <c r="U610" i="7"/>
  <c r="U611" i="7"/>
  <c r="U612" i="7"/>
  <c r="U613" i="7"/>
  <c r="U614" i="7"/>
  <c r="U615" i="7"/>
  <c r="U616" i="7"/>
  <c r="U617" i="7"/>
  <c r="U618" i="7"/>
  <c r="U619" i="7"/>
  <c r="U620" i="7"/>
  <c r="U621" i="7"/>
  <c r="U622" i="7"/>
  <c r="U623" i="7"/>
  <c r="U624" i="7"/>
  <c r="U625" i="7"/>
  <c r="U626" i="7"/>
  <c r="U627" i="7"/>
  <c r="U628" i="7"/>
  <c r="U629" i="7"/>
  <c r="U630" i="7"/>
  <c r="U631" i="7"/>
  <c r="U632" i="7"/>
  <c r="U633" i="7"/>
  <c r="U634" i="7"/>
  <c r="U635" i="7"/>
  <c r="U636" i="7"/>
  <c r="U637" i="7"/>
  <c r="U638" i="7"/>
  <c r="U639" i="7"/>
  <c r="U640" i="7"/>
  <c r="U641" i="7"/>
  <c r="U642" i="7"/>
  <c r="U643" i="7"/>
  <c r="U644" i="7"/>
  <c r="U645" i="7"/>
  <c r="U646" i="7"/>
  <c r="U647" i="7"/>
  <c r="U648" i="7"/>
  <c r="U649" i="7"/>
  <c r="U650" i="7"/>
  <c r="U651" i="7"/>
  <c r="U652" i="7"/>
  <c r="U653" i="7"/>
  <c r="U654" i="7"/>
  <c r="U655" i="7"/>
  <c r="U656" i="7"/>
  <c r="U657" i="7"/>
  <c r="U658" i="7"/>
  <c r="U659" i="7"/>
  <c r="U660" i="7"/>
  <c r="U661" i="7"/>
  <c r="U662" i="7"/>
  <c r="U663" i="7"/>
  <c r="U664" i="7"/>
  <c r="U665" i="7"/>
  <c r="U666" i="7"/>
  <c r="U667" i="7"/>
  <c r="U668" i="7"/>
  <c r="U669" i="7"/>
  <c r="U670" i="7"/>
  <c r="U671" i="7"/>
  <c r="U672" i="7"/>
  <c r="U673" i="7"/>
  <c r="U674" i="7"/>
  <c r="U675" i="7"/>
  <c r="U676" i="7"/>
  <c r="U677" i="7"/>
  <c r="U678" i="7"/>
  <c r="U679" i="7"/>
  <c r="U680" i="7"/>
  <c r="U681" i="7"/>
  <c r="U682" i="7"/>
  <c r="U683" i="7"/>
  <c r="U684" i="7"/>
  <c r="U685" i="7"/>
  <c r="U686" i="7"/>
  <c r="U687" i="7"/>
  <c r="U688" i="7"/>
  <c r="U689" i="7"/>
  <c r="U690" i="7"/>
  <c r="U691" i="7"/>
  <c r="U692" i="7"/>
  <c r="U693" i="7"/>
  <c r="U694" i="7"/>
  <c r="U695" i="7"/>
  <c r="U696" i="7"/>
  <c r="U697" i="7"/>
  <c r="U698" i="7"/>
  <c r="U699" i="7"/>
  <c r="U700" i="7"/>
  <c r="U701" i="7"/>
  <c r="U702" i="7"/>
  <c r="U703" i="7"/>
  <c r="U704" i="7"/>
  <c r="U705" i="7"/>
  <c r="U706" i="7"/>
  <c r="U707" i="7"/>
  <c r="U708" i="7"/>
  <c r="U709" i="7"/>
  <c r="U710" i="7"/>
  <c r="U711" i="7"/>
  <c r="U712" i="7"/>
  <c r="U713" i="7"/>
  <c r="U714" i="7"/>
  <c r="U715" i="7"/>
  <c r="U716" i="7"/>
  <c r="U717" i="7"/>
  <c r="U718" i="7"/>
  <c r="U719" i="7"/>
  <c r="U720" i="7"/>
  <c r="U721" i="7"/>
  <c r="U722" i="7"/>
  <c r="U723" i="7"/>
  <c r="U724" i="7"/>
  <c r="U725" i="7"/>
  <c r="U726" i="7"/>
  <c r="U727" i="7"/>
  <c r="U728" i="7"/>
  <c r="U729" i="7"/>
  <c r="U730" i="7"/>
  <c r="U731" i="7"/>
  <c r="U732" i="7"/>
  <c r="U733" i="7"/>
  <c r="U734" i="7"/>
  <c r="U735" i="7"/>
  <c r="U736" i="7"/>
  <c r="U737" i="7"/>
  <c r="U738" i="7"/>
  <c r="U739" i="7"/>
  <c r="U740" i="7"/>
  <c r="U741" i="7"/>
  <c r="U742" i="7"/>
  <c r="U743" i="7"/>
  <c r="U744" i="7"/>
  <c r="U745" i="7"/>
  <c r="U746" i="7"/>
  <c r="U747" i="7"/>
  <c r="U748" i="7"/>
  <c r="U749" i="7"/>
  <c r="U750" i="7"/>
  <c r="U751" i="7"/>
  <c r="U752" i="7"/>
  <c r="U753" i="7"/>
  <c r="U754" i="7"/>
  <c r="U755" i="7"/>
  <c r="U756" i="7"/>
  <c r="U757" i="7"/>
  <c r="U758" i="7"/>
  <c r="U759" i="7"/>
  <c r="U760" i="7"/>
  <c r="U761" i="7"/>
  <c r="U762" i="7"/>
  <c r="U763" i="7"/>
  <c r="U764" i="7"/>
  <c r="U765" i="7"/>
  <c r="U766" i="7"/>
  <c r="U767" i="7"/>
  <c r="U768" i="7"/>
  <c r="U769" i="7"/>
  <c r="U770" i="7"/>
  <c r="U771" i="7"/>
  <c r="U772" i="7"/>
  <c r="U773" i="7"/>
  <c r="U774" i="7"/>
  <c r="U775" i="7"/>
  <c r="U776" i="7"/>
  <c r="U777" i="7"/>
  <c r="U778" i="7"/>
  <c r="U779" i="7"/>
  <c r="U780" i="7"/>
  <c r="U781" i="7"/>
  <c r="U782" i="7"/>
  <c r="U783" i="7"/>
  <c r="U784" i="7"/>
  <c r="U785" i="7"/>
  <c r="U786" i="7"/>
  <c r="U787" i="7"/>
  <c r="U788" i="7"/>
  <c r="U789" i="7"/>
  <c r="U790" i="7"/>
  <c r="U791" i="7"/>
  <c r="U792" i="7"/>
  <c r="U793" i="7"/>
  <c r="U794" i="7"/>
  <c r="U795" i="7"/>
  <c r="U796" i="7"/>
  <c r="U797" i="7"/>
  <c r="U798" i="7"/>
  <c r="U799" i="7"/>
  <c r="U800" i="7"/>
  <c r="U801" i="7"/>
  <c r="U802" i="7"/>
  <c r="U803" i="7"/>
  <c r="U804" i="7"/>
  <c r="U805" i="7"/>
  <c r="U806" i="7"/>
  <c r="U807" i="7"/>
  <c r="U808" i="7"/>
  <c r="U809" i="7"/>
  <c r="U810" i="7"/>
  <c r="U811" i="7"/>
  <c r="U812" i="7"/>
  <c r="U813" i="7"/>
  <c r="U814" i="7"/>
  <c r="U815" i="7"/>
  <c r="U816" i="7"/>
  <c r="U817" i="7"/>
  <c r="U818" i="7"/>
  <c r="U819" i="7"/>
  <c r="U820" i="7"/>
  <c r="U821" i="7"/>
  <c r="U822" i="7"/>
  <c r="U823" i="7"/>
  <c r="U824" i="7"/>
  <c r="U825" i="7"/>
  <c r="U826" i="7"/>
  <c r="U827" i="7"/>
  <c r="U828" i="7"/>
  <c r="U829" i="7"/>
  <c r="U830" i="7"/>
  <c r="U831" i="7"/>
  <c r="U832" i="7"/>
  <c r="U833" i="7"/>
  <c r="U834" i="7"/>
  <c r="U835" i="7"/>
  <c r="U836" i="7"/>
  <c r="U837" i="7"/>
  <c r="U838" i="7"/>
  <c r="U839" i="7"/>
  <c r="U840" i="7"/>
  <c r="U841" i="7"/>
  <c r="U842" i="7"/>
  <c r="U843" i="7"/>
  <c r="U844" i="7"/>
  <c r="U845" i="7"/>
  <c r="U846" i="7"/>
  <c r="U847" i="7"/>
  <c r="U848" i="7"/>
  <c r="U849" i="7"/>
  <c r="U850" i="7"/>
  <c r="U851" i="7"/>
  <c r="U852" i="7"/>
  <c r="U853" i="7"/>
  <c r="U854" i="7"/>
  <c r="U855" i="7"/>
  <c r="U856" i="7"/>
  <c r="U857" i="7"/>
  <c r="U858" i="7"/>
  <c r="U859" i="7"/>
  <c r="U860" i="7"/>
  <c r="U861" i="7"/>
  <c r="U862" i="7"/>
  <c r="U863" i="7"/>
  <c r="U864" i="7"/>
  <c r="U868" i="7"/>
  <c r="U867" i="7"/>
  <c r="U866" i="7"/>
  <c r="U865" i="7"/>
  <c r="U870" i="7"/>
  <c r="U871" i="7"/>
  <c r="U872" i="7"/>
  <c r="U875" i="7"/>
  <c r="U869" i="7"/>
  <c r="U873" i="7"/>
  <c r="U874" i="7"/>
  <c r="U882" i="7"/>
  <c r="U878" i="7"/>
  <c r="U876" i="7"/>
  <c r="U880" i="7"/>
  <c r="U884" i="7"/>
  <c r="U902" i="7"/>
  <c r="U894" i="7"/>
  <c r="U896" i="7"/>
  <c r="U898" i="7"/>
  <c r="U900" i="7"/>
  <c r="U904" i="7"/>
  <c r="U906" i="7"/>
  <c r="U908" i="7"/>
  <c r="U910" i="7"/>
  <c r="U912" i="7"/>
  <c r="U914" i="7"/>
  <c r="U916" i="7"/>
  <c r="U918" i="7"/>
  <c r="U920" i="7"/>
  <c r="U963" i="7"/>
  <c r="U938" i="7"/>
  <c r="U940" i="7"/>
  <c r="U942" i="7"/>
  <c r="U944" i="7"/>
  <c r="U946" i="7"/>
  <c r="U948" i="7"/>
  <c r="U921" i="7"/>
  <c r="U923" i="7"/>
  <c r="U925" i="7"/>
  <c r="U928" i="7"/>
  <c r="U950" i="7"/>
  <c r="U957" i="7"/>
  <c r="U959" i="7"/>
  <c r="U961" i="7"/>
  <c r="U965" i="7"/>
  <c r="U967" i="7"/>
  <c r="U969" i="7"/>
  <c r="U971" i="7"/>
  <c r="U973" i="7"/>
  <c r="U974" i="7"/>
  <c r="U975" i="7"/>
  <c r="U976" i="7"/>
  <c r="U978" i="7"/>
  <c r="U980" i="7"/>
  <c r="U981" i="7"/>
  <c r="U982" i="7"/>
  <c r="U983" i="7"/>
  <c r="U990" i="7"/>
  <c r="U991" i="7"/>
  <c r="U989" i="7"/>
  <c r="U988" i="7"/>
  <c r="U977" i="7"/>
  <c r="U979" i="7"/>
  <c r="U984" i="7"/>
  <c r="U985" i="7"/>
  <c r="U986" i="7"/>
  <c r="U987" i="7"/>
  <c r="U955" i="7"/>
  <c r="U953" i="7"/>
  <c r="U952" i="7"/>
  <c r="U951" i="7"/>
  <c r="U937" i="7"/>
  <c r="U936" i="7"/>
  <c r="U933" i="7"/>
  <c r="U934" i="7"/>
  <c r="U935" i="7"/>
  <c r="U932" i="7"/>
  <c r="U930" i="7"/>
  <c r="U931" i="7"/>
  <c r="U954" i="7"/>
  <c r="U892" i="7"/>
  <c r="U893" i="7"/>
  <c r="U890" i="7"/>
  <c r="U891" i="7"/>
  <c r="U889" i="7"/>
  <c r="U888" i="7"/>
  <c r="U886" i="7"/>
  <c r="U887" i="7"/>
  <c r="U964" i="7"/>
  <c r="U939" i="7"/>
  <c r="U941" i="7"/>
  <c r="U943" i="7"/>
  <c r="U945" i="7"/>
  <c r="U947" i="7"/>
  <c r="U949" i="7"/>
  <c r="U903" i="7"/>
  <c r="U895" i="7"/>
  <c r="U883" i="7"/>
  <c r="U879" i="7"/>
  <c r="U877" i="7"/>
  <c r="U927" i="7"/>
  <c r="U897" i="7"/>
  <c r="U899" i="7"/>
  <c r="U901" i="7"/>
  <c r="U881" i="7"/>
  <c r="U885" i="7"/>
  <c r="U972" i="7"/>
  <c r="U970" i="7"/>
  <c r="U960" i="7"/>
  <c r="U962" i="7"/>
  <c r="U966" i="7"/>
  <c r="U968" i="7"/>
  <c r="U958" i="7"/>
  <c r="U956" i="7"/>
  <c r="U929" i="7"/>
  <c r="U926" i="7"/>
  <c r="U924" i="7"/>
  <c r="U922" i="7"/>
  <c r="U919" i="7"/>
  <c r="U917" i="7"/>
  <c r="U915" i="7"/>
  <c r="U913" i="7"/>
  <c r="U911" i="7"/>
  <c r="U909" i="7"/>
  <c r="U907" i="7"/>
  <c r="U905" i="7"/>
  <c r="U1063" i="7"/>
  <c r="U1064" i="7"/>
  <c r="U1055" i="7"/>
  <c r="U1058" i="7"/>
  <c r="U1061" i="7"/>
  <c r="U1052" i="7"/>
  <c r="U1053" i="7"/>
  <c r="U1051" i="7"/>
  <c r="U1050" i="7"/>
  <c r="U1049" i="7"/>
  <c r="U1046" i="7"/>
  <c r="U1047" i="7"/>
  <c r="U1048" i="7"/>
  <c r="U1041" i="7"/>
  <c r="U1042" i="7"/>
  <c r="U1038" i="7"/>
  <c r="U1039" i="7"/>
  <c r="U1036" i="7"/>
  <c r="U1035" i="7"/>
  <c r="U1014" i="7"/>
  <c r="U1009" i="7"/>
  <c r="U1005" i="7"/>
  <c r="U1001" i="7"/>
  <c r="U1000" i="7"/>
  <c r="U999" i="7"/>
  <c r="U1054" i="7"/>
  <c r="U1059" i="7"/>
  <c r="U1060" i="7"/>
  <c r="U1045" i="7"/>
  <c r="U1044" i="7"/>
  <c r="U1043" i="7"/>
  <c r="U1040" i="7"/>
  <c r="U1007" i="7"/>
  <c r="U1008" i="7"/>
  <c r="U1006" i="7"/>
  <c r="U1004" i="7"/>
  <c r="U1002" i="7"/>
  <c r="U1003" i="7"/>
  <c r="U996" i="7"/>
  <c r="U997" i="7"/>
  <c r="U998" i="7"/>
  <c r="U995" i="7"/>
  <c r="U994" i="7"/>
  <c r="U992" i="7"/>
  <c r="U993" i="7"/>
  <c r="U1056" i="7"/>
  <c r="U1011" i="7"/>
  <c r="U1012" i="7"/>
  <c r="U1019" i="7"/>
  <c r="U1020" i="7"/>
  <c r="U1021" i="7"/>
  <c r="U1023" i="7"/>
  <c r="U1057" i="7"/>
  <c r="U1013" i="7"/>
  <c r="U1016" i="7"/>
  <c r="U1062" i="7"/>
  <c r="U1037" i="7"/>
  <c r="U1022" i="7"/>
  <c r="U1018" i="7"/>
  <c r="U1017" i="7"/>
  <c r="U1015" i="7"/>
  <c r="U1010" i="7"/>
  <c r="U1034" i="7"/>
  <c r="U1033" i="7"/>
  <c r="U1032" i="7"/>
  <c r="U1031" i="7"/>
  <c r="U1024" i="7"/>
  <c r="U1030" i="7"/>
  <c r="U1029" i="7"/>
  <c r="U1025" i="7"/>
  <c r="U1026" i="7"/>
  <c r="U1027" i="7"/>
  <c r="U1028" i="7"/>
  <c r="U1101" i="7"/>
  <c r="U1103" i="7"/>
  <c r="U1087" i="7"/>
  <c r="U1088" i="7"/>
  <c r="U1089" i="7"/>
  <c r="U1078" i="7"/>
  <c r="U1080" i="7"/>
  <c r="U1081" i="7"/>
  <c r="U1102" i="7"/>
  <c r="U1104" i="7"/>
  <c r="U1097" i="7"/>
  <c r="U1098" i="7"/>
  <c r="U1099" i="7"/>
  <c r="U1100" i="7"/>
  <c r="U1086" i="7"/>
  <c r="U1084" i="7"/>
  <c r="U1079" i="7"/>
  <c r="U1082" i="7"/>
  <c r="U1083" i="7"/>
  <c r="U1065" i="7"/>
  <c r="U1077" i="7"/>
  <c r="U1095" i="7"/>
  <c r="U1096" i="7"/>
  <c r="U1090" i="7"/>
  <c r="U1091" i="7"/>
  <c r="U1092" i="7"/>
  <c r="U1066" i="7"/>
  <c r="U1067" i="7"/>
  <c r="U1068" i="7"/>
  <c r="U1069" i="7"/>
  <c r="U1070" i="7"/>
  <c r="U1071" i="7"/>
  <c r="U1072" i="7"/>
  <c r="U1073" i="7"/>
  <c r="U1074" i="7"/>
  <c r="U1093" i="7"/>
  <c r="U1094" i="7"/>
  <c r="U1075" i="7"/>
  <c r="U1076" i="7"/>
  <c r="U1085" i="7"/>
  <c r="U1121" i="7"/>
  <c r="U1113" i="7"/>
  <c r="U1114" i="7"/>
  <c r="U1117" i="7"/>
  <c r="U1118" i="7"/>
  <c r="U1119" i="7"/>
  <c r="U1120" i="7"/>
  <c r="U1108" i="7"/>
  <c r="U1109" i="7"/>
  <c r="U1110" i="7"/>
  <c r="U1115" i="7"/>
  <c r="U1105" i="7"/>
  <c r="U1116" i="7"/>
  <c r="U1106" i="7"/>
  <c r="U1107" i="7"/>
  <c r="U1111" i="7"/>
  <c r="U1112" i="7"/>
  <c r="U1138" i="7"/>
  <c r="U1126" i="7"/>
  <c r="U1127" i="7"/>
  <c r="U1128" i="7"/>
  <c r="U1129" i="7"/>
  <c r="U1125" i="7"/>
  <c r="U1122" i="7"/>
  <c r="U1123" i="7"/>
  <c r="U1124" i="7"/>
  <c r="U1130" i="7"/>
  <c r="U1135" i="7"/>
  <c r="U1134" i="7"/>
  <c r="U1131" i="7"/>
  <c r="U1133" i="7"/>
  <c r="U1136" i="7"/>
  <c r="U1137" i="7"/>
  <c r="U1132" i="7"/>
  <c r="U2" i="7"/>
  <c r="M1138" i="7"/>
  <c r="M1112" i="7"/>
  <c r="M1111" i="7"/>
  <c r="M1106" i="7"/>
  <c r="M1110" i="7"/>
  <c r="M1109" i="7"/>
  <c r="M1108" i="7"/>
  <c r="M1120" i="7"/>
  <c r="M1119" i="7"/>
  <c r="M1118" i="7"/>
  <c r="M1117" i="7"/>
  <c r="M1114" i="7"/>
  <c r="M1121" i="7"/>
  <c r="M1075" i="7"/>
  <c r="M1074" i="7"/>
  <c r="M1073" i="7"/>
  <c r="M1072" i="7"/>
  <c r="M1071" i="7"/>
  <c r="M1070" i="7"/>
  <c r="M1069" i="7"/>
  <c r="M1068" i="7"/>
  <c r="M1067" i="7"/>
  <c r="M1066" i="7"/>
  <c r="M1077" i="7"/>
  <c r="M1083" i="7"/>
  <c r="M1082" i="7"/>
  <c r="M1079" i="7"/>
  <c r="M1086" i="7"/>
  <c r="M1100" i="7"/>
  <c r="M1099" i="7"/>
  <c r="M1098" i="7"/>
  <c r="M1097" i="7"/>
  <c r="M1080" i="7"/>
  <c r="M1078" i="7"/>
  <c r="M1089" i="7"/>
  <c r="M1088" i="7"/>
  <c r="M1087" i="7"/>
  <c r="M1103" i="7"/>
  <c r="M1101" i="7"/>
  <c r="M1027" i="7"/>
  <c r="M1026" i="7"/>
  <c r="M1025" i="7"/>
  <c r="M1029" i="7"/>
  <c r="M1034" i="7"/>
  <c r="M1010" i="7"/>
  <c r="M1022" i="7"/>
  <c r="M1013" i="7"/>
  <c r="M1023" i="7"/>
  <c r="M1021" i="7"/>
  <c r="M1020" i="7"/>
  <c r="M1019" i="7"/>
  <c r="M1012" i="7"/>
  <c r="M1011" i="7"/>
  <c r="M993" i="7"/>
  <c r="M992" i="7"/>
  <c r="M994" i="7"/>
  <c r="M995" i="7"/>
  <c r="M998" i="7"/>
  <c r="M997" i="7"/>
  <c r="M996" i="7"/>
  <c r="M1003" i="7"/>
  <c r="M1002" i="7"/>
  <c r="M1004" i="7"/>
  <c r="M1006" i="7"/>
  <c r="M1007" i="7"/>
  <c r="M1043" i="7"/>
  <c r="M1060" i="7"/>
  <c r="M1059" i="7"/>
  <c r="M1054" i="7"/>
  <c r="M1000" i="7"/>
  <c r="M1009" i="7"/>
  <c r="M1014" i="7"/>
  <c r="M1035" i="7"/>
  <c r="M1038" i="7"/>
  <c r="M1041" i="7"/>
  <c r="M1047" i="7"/>
  <c r="M1046" i="7"/>
  <c r="M1049" i="7"/>
  <c r="M1050" i="7"/>
  <c r="M1053" i="7"/>
  <c r="M1052" i="7"/>
  <c r="M1063" i="7"/>
  <c r="M905" i="7"/>
  <c r="M907" i="7"/>
  <c r="M909" i="7"/>
  <c r="M911" i="7"/>
  <c r="M913" i="7"/>
  <c r="M915" i="7"/>
  <c r="M919" i="7"/>
  <c r="M929" i="7"/>
  <c r="M958" i="7"/>
  <c r="M966" i="7"/>
  <c r="M962" i="7"/>
  <c r="M960" i="7"/>
  <c r="M881" i="7"/>
  <c r="M899" i="7"/>
  <c r="M897" i="7"/>
  <c r="M927" i="7"/>
  <c r="M887" i="7"/>
  <c r="M886" i="7"/>
  <c r="M888" i="7"/>
  <c r="M889" i="7"/>
  <c r="M890" i="7"/>
  <c r="M893" i="7"/>
  <c r="M892" i="7"/>
  <c r="M954" i="7"/>
  <c r="M931" i="7"/>
  <c r="M930" i="7"/>
  <c r="M932" i="7"/>
  <c r="M935" i="7"/>
  <c r="M934" i="7"/>
  <c r="M933" i="7"/>
  <c r="M936" i="7"/>
  <c r="M937" i="7"/>
  <c r="M951" i="7"/>
  <c r="M953" i="7"/>
  <c r="M955" i="7"/>
  <c r="M987" i="7"/>
  <c r="M986" i="7"/>
  <c r="M985" i="7"/>
  <c r="M984" i="7"/>
  <c r="M979" i="7"/>
  <c r="M977" i="7"/>
  <c r="M988" i="7"/>
  <c r="M991" i="7"/>
  <c r="M990" i="7"/>
  <c r="M982" i="7"/>
  <c r="M928" i="7"/>
  <c r="M950" i="7"/>
  <c r="M957" i="7"/>
  <c r="M965" i="7"/>
  <c r="M961" i="7"/>
  <c r="M959" i="7"/>
  <c r="M910" i="7"/>
  <c r="M908" i="7"/>
  <c r="M906" i="7"/>
  <c r="M904" i="7"/>
  <c r="M912" i="7"/>
  <c r="M914" i="7"/>
  <c r="M918" i="7"/>
  <c r="M920" i="7"/>
  <c r="M898" i="7"/>
  <c r="M896" i="7"/>
  <c r="M880" i="7"/>
  <c r="M873" i="7"/>
  <c r="M862" i="7"/>
  <c r="M860" i="7"/>
  <c r="M855" i="7"/>
  <c r="M854" i="7"/>
  <c r="M853" i="7"/>
  <c r="M852" i="7"/>
  <c r="M851" i="7"/>
  <c r="M859" i="7"/>
  <c r="M858" i="7"/>
  <c r="M857" i="7"/>
  <c r="M856" i="7"/>
  <c r="M850" i="7"/>
  <c r="M849" i="7"/>
  <c r="M848" i="7"/>
  <c r="M847" i="7"/>
  <c r="M846" i="7"/>
  <c r="M845" i="7"/>
  <c r="M844" i="7"/>
  <c r="M840" i="7"/>
  <c r="M815" i="7"/>
  <c r="M814" i="7"/>
  <c r="M813" i="7"/>
  <c r="M812" i="7"/>
  <c r="M811" i="7"/>
  <c r="M826" i="7"/>
  <c r="M825" i="7"/>
  <c r="M824" i="7"/>
  <c r="M827" i="7"/>
  <c r="M831" i="7"/>
  <c r="M821" i="7"/>
  <c r="M820" i="7"/>
  <c r="M819" i="7"/>
  <c r="M818" i="7"/>
  <c r="M817" i="7"/>
  <c r="M822" i="7"/>
  <c r="M806" i="7"/>
  <c r="M805" i="7"/>
  <c r="M804" i="7"/>
  <c r="M803" i="7"/>
  <c r="M809" i="7"/>
  <c r="M808" i="7"/>
  <c r="M807" i="7"/>
  <c r="M795" i="7"/>
  <c r="M794" i="7"/>
  <c r="M781" i="7"/>
  <c r="M785" i="7"/>
  <c r="M784" i="7"/>
  <c r="M786" i="7"/>
  <c r="M788" i="7"/>
  <c r="M787" i="7"/>
  <c r="M789" i="7"/>
  <c r="M790" i="7"/>
  <c r="M791" i="7"/>
  <c r="M776" i="7"/>
  <c r="M777" i="7"/>
  <c r="M780" i="7"/>
  <c r="M779" i="7"/>
  <c r="M772" i="7"/>
  <c r="M774" i="7"/>
  <c r="M775" i="7"/>
  <c r="M738" i="7"/>
  <c r="M740" i="7"/>
  <c r="M741" i="7"/>
  <c r="M744" i="7"/>
  <c r="M751" i="7"/>
  <c r="M752" i="7"/>
  <c r="M753" i="7"/>
  <c r="M748" i="7"/>
  <c r="M759" i="7"/>
  <c r="M758" i="7"/>
  <c r="M757" i="7"/>
  <c r="M747" i="7"/>
  <c r="M746" i="7"/>
  <c r="M745" i="7"/>
  <c r="M743" i="7"/>
  <c r="M756" i="7"/>
  <c r="M735" i="7"/>
  <c r="M734" i="7"/>
  <c r="M730" i="7"/>
  <c r="M737" i="7"/>
  <c r="M733" i="7"/>
  <c r="M732" i="7"/>
  <c r="M731" i="7"/>
  <c r="M729" i="7"/>
  <c r="M728" i="7"/>
  <c r="M727" i="7"/>
  <c r="M726" i="7"/>
  <c r="M688" i="7"/>
  <c r="M714" i="7"/>
  <c r="M661" i="7"/>
  <c r="M659" i="7"/>
  <c r="M646" i="7"/>
  <c r="M642" i="7"/>
  <c r="M653" i="7"/>
  <c r="M652" i="7"/>
  <c r="M651" i="7"/>
  <c r="M654" i="7"/>
  <c r="M672" i="7"/>
  <c r="M681" i="7"/>
  <c r="M680" i="7"/>
  <c r="M674" i="7"/>
  <c r="M673" i="7"/>
  <c r="M687" i="7"/>
  <c r="M686" i="7"/>
  <c r="M685" i="7"/>
  <c r="M699" i="7"/>
  <c r="M698" i="7"/>
  <c r="M704" i="7"/>
  <c r="M702" i="7"/>
  <c r="M650" i="7"/>
  <c r="M649" i="7"/>
  <c r="M648" i="7"/>
  <c r="M647" i="7"/>
  <c r="M658" i="7"/>
  <c r="M657" i="7"/>
  <c r="M656" i="7"/>
  <c r="M655" i="7"/>
  <c r="M665" i="7"/>
  <c r="M664" i="7"/>
  <c r="M683" i="7"/>
  <c r="M682" i="7"/>
  <c r="M679" i="7"/>
  <c r="M678" i="7"/>
  <c r="M677" i="7"/>
  <c r="M676" i="7"/>
  <c r="M675" i="7"/>
  <c r="M690" i="7"/>
  <c r="M697" i="7"/>
  <c r="M696" i="7"/>
  <c r="M695" i="7"/>
  <c r="M694" i="7"/>
  <c r="M693" i="7"/>
  <c r="M692" i="7"/>
  <c r="M691" i="7"/>
  <c r="M709" i="7"/>
  <c r="M708" i="7"/>
  <c r="M707" i="7"/>
  <c r="M706" i="7"/>
  <c r="M705" i="7"/>
  <c r="M703" i="7"/>
  <c r="M636" i="7"/>
  <c r="M630" i="7"/>
  <c r="M629" i="7"/>
  <c r="M628" i="7"/>
  <c r="M627" i="7"/>
  <c r="M626" i="7"/>
  <c r="M625" i="7"/>
  <c r="M618" i="7"/>
  <c r="M617" i="7"/>
  <c r="M612" i="7"/>
  <c r="M615" i="7"/>
  <c r="M622" i="7"/>
  <c r="M621" i="7"/>
  <c r="M620" i="7"/>
  <c r="M619" i="7"/>
  <c r="M607" i="7"/>
  <c r="M603" i="7"/>
  <c r="M590" i="7"/>
  <c r="M589" i="7"/>
  <c r="M595" i="7"/>
  <c r="M592" i="7"/>
  <c r="M572" i="7"/>
  <c r="M593" i="7"/>
  <c r="M597" i="7"/>
  <c r="M559" i="7"/>
  <c r="M561" i="7"/>
  <c r="M562" i="7"/>
  <c r="M563" i="7"/>
  <c r="M564" i="7"/>
  <c r="M573" i="7"/>
  <c r="M570" i="7"/>
  <c r="M576" i="7"/>
  <c r="M571" i="7"/>
  <c r="M544" i="7"/>
  <c r="M545" i="7"/>
  <c r="M546" i="7"/>
  <c r="M542" i="7"/>
  <c r="M543" i="7"/>
  <c r="M539" i="7"/>
  <c r="M540" i="7"/>
  <c r="M549" i="7"/>
  <c r="M528" i="7"/>
  <c r="M523" i="7"/>
  <c r="M515" i="7"/>
  <c r="M516" i="7"/>
  <c r="M512" i="7"/>
  <c r="M513" i="7"/>
  <c r="M514" i="7"/>
  <c r="M510" i="7"/>
  <c r="M511" i="7"/>
  <c r="M506" i="7"/>
  <c r="M497" i="7"/>
  <c r="M492" i="7"/>
  <c r="M495" i="7"/>
  <c r="M491" i="7"/>
  <c r="M489" i="7"/>
  <c r="M481" i="7"/>
  <c r="M467" i="7"/>
  <c r="M466" i="7"/>
  <c r="M502" i="7"/>
  <c r="M477" i="7"/>
  <c r="M453" i="7"/>
  <c r="M463" i="7"/>
  <c r="M462" i="7"/>
  <c r="M464" i="7"/>
  <c r="M465" i="7"/>
  <c r="M470" i="7"/>
  <c r="M474" i="7"/>
  <c r="M473" i="7"/>
  <c r="M486" i="7"/>
  <c r="M452" i="7"/>
  <c r="M455" i="7"/>
  <c r="M454" i="7"/>
  <c r="M456" i="7"/>
  <c r="M448" i="7"/>
  <c r="M443" i="7"/>
  <c r="M446" i="7"/>
  <c r="M445" i="7"/>
  <c r="M444" i="7"/>
  <c r="M429" i="7"/>
  <c r="M428" i="7"/>
  <c r="M427" i="7"/>
  <c r="M439" i="7"/>
  <c r="M438" i="7"/>
  <c r="M437" i="7"/>
  <c r="M436" i="7"/>
  <c r="M435" i="7"/>
  <c r="M434" i="7"/>
  <c r="M433" i="7"/>
  <c r="M432" i="7"/>
  <c r="M440" i="7"/>
  <c r="M442" i="7"/>
  <c r="M441" i="7"/>
  <c r="M414" i="7"/>
  <c r="M159" i="7"/>
  <c r="M165" i="7"/>
  <c r="M199" i="7"/>
  <c r="M201" i="7"/>
  <c r="M338" i="7"/>
  <c r="M415" i="7"/>
  <c r="M416" i="7"/>
  <c r="M417" i="7"/>
  <c r="M420" i="7"/>
  <c r="M419" i="7"/>
  <c r="M409" i="7"/>
  <c r="M408" i="7"/>
  <c r="M407" i="7"/>
  <c r="M410" i="7"/>
  <c r="M406" i="7"/>
  <c r="M421" i="7"/>
  <c r="M426" i="7"/>
  <c r="M425" i="7"/>
  <c r="M424" i="7"/>
  <c r="M393" i="7"/>
  <c r="M392" i="7"/>
  <c r="M398" i="7"/>
  <c r="M397" i="7"/>
  <c r="M390" i="7"/>
  <c r="M383" i="7"/>
  <c r="M385" i="7"/>
  <c r="M384" i="7"/>
  <c r="M377" i="7"/>
  <c r="M376" i="7"/>
  <c r="M379" i="7"/>
  <c r="M378" i="7"/>
  <c r="M380" i="7"/>
  <c r="M386" i="7"/>
  <c r="M389" i="7"/>
  <c r="M354" i="7"/>
  <c r="M331" i="7"/>
  <c r="M321" i="7"/>
  <c r="M334" i="7"/>
  <c r="M333" i="7"/>
  <c r="M329" i="7"/>
  <c r="M330" i="7"/>
  <c r="M323" i="7"/>
  <c r="M328" i="7"/>
  <c r="M303" i="7"/>
  <c r="M302" i="7"/>
  <c r="M319" i="7"/>
  <c r="M320" i="7"/>
  <c r="M324" i="7"/>
  <c r="M326" i="7"/>
  <c r="M278" i="7"/>
  <c r="M296" i="7"/>
  <c r="M297" i="7"/>
  <c r="M294" i="7"/>
  <c r="M293" i="7"/>
  <c r="M292" i="7"/>
  <c r="M291" i="7"/>
  <c r="M290" i="7"/>
  <c r="M289" i="7"/>
  <c r="M288" i="7"/>
  <c r="M287" i="7"/>
  <c r="M286" i="7"/>
  <c r="M285" i="7"/>
  <c r="M284" i="7"/>
  <c r="M283" i="7"/>
  <c r="M282" i="7"/>
  <c r="M281" i="7"/>
  <c r="M280" i="7"/>
  <c r="M279" i="7"/>
  <c r="M257" i="7"/>
  <c r="M246" i="7"/>
  <c r="M242" i="7"/>
  <c r="M265" i="7"/>
  <c r="M264" i="7"/>
  <c r="M250" i="7"/>
  <c r="M249" i="7"/>
  <c r="M255" i="7"/>
  <c r="M244" i="7"/>
  <c r="M251" i="7"/>
  <c r="M252" i="7"/>
  <c r="M234" i="7"/>
  <c r="M215" i="7"/>
  <c r="M214" i="7"/>
  <c r="M227" i="7"/>
  <c r="M228" i="7"/>
  <c r="M231" i="7"/>
  <c r="M223" i="7"/>
  <c r="M218" i="7"/>
  <c r="M216" i="7"/>
  <c r="M219" i="7"/>
  <c r="M220" i="7"/>
  <c r="M225" i="7"/>
  <c r="M207" i="7"/>
  <c r="M193" i="7"/>
  <c r="M192" i="7"/>
  <c r="M191" i="7"/>
  <c r="M190" i="7"/>
  <c r="M189" i="7"/>
  <c r="M211" i="7"/>
  <c r="M203" i="7"/>
  <c r="M206" i="7"/>
  <c r="M213" i="7"/>
  <c r="M204" i="7"/>
  <c r="M209" i="7"/>
  <c r="M183" i="7"/>
  <c r="M181" i="7"/>
  <c r="M178" i="7"/>
  <c r="M175" i="7"/>
  <c r="M177" i="7"/>
  <c r="M176" i="7"/>
  <c r="M182" i="7"/>
  <c r="M187" i="7"/>
  <c r="M184" i="7"/>
  <c r="M188" i="7"/>
  <c r="M107" i="7"/>
  <c r="M149" i="7"/>
  <c r="M137" i="7"/>
  <c r="M131" i="7"/>
  <c r="M117" i="7"/>
  <c r="M115" i="7"/>
  <c r="M114" i="7"/>
  <c r="M113" i="7"/>
  <c r="M112" i="7"/>
  <c r="M111" i="7"/>
  <c r="M152" i="7"/>
  <c r="M110" i="7"/>
  <c r="M153" i="7"/>
  <c r="M168" i="7"/>
  <c r="M124" i="7"/>
  <c r="M128" i="7"/>
  <c r="M145" i="7"/>
  <c r="M147" i="7"/>
  <c r="M140" i="7"/>
  <c r="M146" i="7"/>
  <c r="M144" i="7"/>
  <c r="V73" i="7"/>
  <c r="M134" i="7"/>
  <c r="M133" i="7"/>
  <c r="M132" i="7"/>
  <c r="P76" i="7"/>
  <c r="P65" i="7"/>
  <c r="Q65" i="7"/>
  <c r="S65" i="7"/>
  <c r="M121" i="7"/>
  <c r="M120" i="7"/>
  <c r="M123" i="7"/>
  <c r="T27" i="7"/>
  <c r="S27" i="7"/>
  <c r="Q27" i="7"/>
  <c r="P27" i="7"/>
  <c r="M27" i="7"/>
  <c r="D116" i="4"/>
  <c r="M64" i="7"/>
  <c r="P87" i="7"/>
  <c r="P80" i="7"/>
  <c r="P79" i="7"/>
  <c r="P73" i="7"/>
  <c r="P71" i="7"/>
  <c r="P69" i="7"/>
  <c r="P68" i="7"/>
  <c r="P67" i="7"/>
  <c r="P66" i="7"/>
  <c r="M63" i="7"/>
  <c r="M40" i="7" a="1"/>
  <c r="M40" i="7"/>
  <c r="M128" i="4"/>
  <c r="P88" i="7"/>
  <c r="P81" i="7"/>
  <c r="P77" i="7"/>
  <c r="P75" i="7"/>
  <c r="P74" i="7"/>
  <c r="P72" i="7"/>
  <c r="P61" i="7"/>
  <c r="P60" i="7"/>
  <c r="P54" i="7"/>
  <c r="P53" i="7"/>
  <c r="P52" i="7"/>
  <c r="P51" i="7"/>
  <c r="P50" i="7"/>
  <c r="P47" i="7"/>
  <c r="P46" i="7"/>
  <c r="P45" i="7"/>
  <c r="P44" i="7"/>
  <c r="P43" i="7"/>
  <c r="P41" i="7"/>
  <c r="P40" i="7"/>
  <c r="P39" i="7"/>
  <c r="P38" i="7"/>
  <c r="P37" i="7"/>
  <c r="P36" i="7"/>
  <c r="P35" i="7"/>
  <c r="P34" i="7"/>
  <c r="P33" i="7"/>
  <c r="P31" i="7"/>
  <c r="P30" i="7"/>
  <c r="P29" i="7"/>
  <c r="P28" i="7"/>
  <c r="P26" i="7"/>
  <c r="P25" i="7"/>
  <c r="P24" i="7"/>
  <c r="P23" i="7"/>
  <c r="P22" i="7"/>
  <c r="P21" i="7"/>
  <c r="P20" i="7"/>
  <c r="P19" i="7"/>
  <c r="P18" i="7"/>
  <c r="P17" i="7"/>
  <c r="P16" i="7"/>
  <c r="P15" i="7"/>
  <c r="P14" i="7"/>
  <c r="P13" i="7"/>
  <c r="P11" i="7"/>
  <c r="P10" i="7"/>
  <c r="P9" i="7"/>
  <c r="P8" i="7"/>
  <c r="P7" i="7"/>
  <c r="P6" i="7"/>
  <c r="P5" i="7"/>
  <c r="P4" i="7"/>
  <c r="P3" i="7"/>
  <c r="P2" i="7"/>
  <c r="V13" i="7"/>
  <c r="T13" i="7"/>
  <c r="S13" i="7"/>
  <c r="Q13" i="7"/>
  <c r="V21" i="7"/>
  <c r="T21" i="7"/>
  <c r="S21" i="7"/>
  <c r="Q21" i="7"/>
  <c r="V23" i="7"/>
  <c r="T23" i="7"/>
  <c r="S23" i="7"/>
  <c r="Q23" i="7"/>
  <c r="V31" i="7"/>
  <c r="T31" i="7"/>
  <c r="S31" i="7"/>
  <c r="Q31" i="7"/>
  <c r="V35" i="7"/>
  <c r="T35" i="7"/>
  <c r="S35" i="7"/>
  <c r="Q35" i="7"/>
  <c r="V39" i="7"/>
  <c r="T39" i="7"/>
  <c r="S39" i="7"/>
  <c r="V41" i="7"/>
  <c r="T41" i="7"/>
  <c r="S41" i="7"/>
  <c r="V43" i="7"/>
  <c r="T43" i="7"/>
  <c r="S43" i="7"/>
  <c r="Q43" i="7"/>
  <c r="V44" i="7"/>
  <c r="T44" i="7"/>
  <c r="S44" i="7"/>
  <c r="Q44" i="7"/>
  <c r="V45" i="7"/>
  <c r="T45" i="7"/>
  <c r="S45" i="7"/>
  <c r="Q45" i="7"/>
  <c r="V46" i="7"/>
  <c r="T46" i="7"/>
  <c r="S46" i="7"/>
  <c r="Q46" i="7"/>
  <c r="V47" i="7"/>
  <c r="T47" i="7"/>
  <c r="S47" i="7"/>
  <c r="Q47" i="7"/>
  <c r="V49" i="7"/>
  <c r="V50" i="7"/>
  <c r="T50" i="7"/>
  <c r="S50" i="7"/>
  <c r="Q50" i="7"/>
  <c r="V53" i="7"/>
  <c r="T53" i="7"/>
  <c r="S53" i="7"/>
  <c r="V55" i="7"/>
  <c r="V56" i="7"/>
  <c r="V61" i="7"/>
  <c r="T61" i="7"/>
  <c r="S61" i="7"/>
  <c r="Q61" i="7"/>
  <c r="V65" i="7"/>
  <c r="V74" i="7"/>
  <c r="T74" i="7"/>
  <c r="S74" i="7"/>
  <c r="Q74" i="7"/>
  <c r="V76" i="7"/>
  <c r="T76" i="7"/>
  <c r="S76" i="7"/>
  <c r="Q76" i="7"/>
  <c r="T75" i="7"/>
  <c r="V82" i="7"/>
  <c r="V88" i="7"/>
  <c r="T88" i="7"/>
  <c r="Q88" i="7"/>
  <c r="V98" i="7"/>
  <c r="T98" i="7"/>
  <c r="S98" i="7"/>
  <c r="Q98" i="7"/>
  <c r="V3" i="7"/>
  <c r="T3" i="7"/>
  <c r="S3" i="7"/>
  <c r="Q3" i="7"/>
  <c r="V2" i="7"/>
  <c r="T2" i="7"/>
  <c r="S2" i="7"/>
  <c r="Q2" i="7"/>
  <c r="O2" i="7"/>
  <c r="V4" i="7"/>
  <c r="T4" i="7"/>
  <c r="S4" i="7"/>
  <c r="Q4" i="7"/>
  <c r="V6" i="7"/>
  <c r="T6" i="7"/>
  <c r="S6" i="7"/>
  <c r="Q6" i="7"/>
  <c r="V5" i="7"/>
  <c r="T5" i="7"/>
  <c r="S5" i="7"/>
  <c r="Q5" i="7"/>
  <c r="V7" i="7"/>
  <c r="T7" i="7"/>
  <c r="S7" i="7"/>
  <c r="Q7" i="7"/>
  <c r="V9" i="7"/>
  <c r="T9" i="7"/>
  <c r="S9" i="7"/>
  <c r="Q9" i="7"/>
  <c r="V8" i="7"/>
  <c r="T8" i="7"/>
  <c r="S8" i="7"/>
  <c r="Q8" i="7"/>
  <c r="V11" i="7"/>
  <c r="T11" i="7"/>
  <c r="S11" i="7"/>
  <c r="Q11" i="7"/>
  <c r="V10" i="7"/>
  <c r="T10" i="7"/>
  <c r="S10" i="7"/>
  <c r="Q10" i="7"/>
  <c r="V14" i="7"/>
  <c r="T14" i="7"/>
  <c r="S14" i="7"/>
  <c r="Q14" i="7"/>
  <c r="V15" i="7"/>
  <c r="T15" i="7"/>
  <c r="S15" i="7"/>
  <c r="Q15" i="7"/>
  <c r="V18" i="7"/>
  <c r="T18" i="7"/>
  <c r="S18" i="7"/>
  <c r="Q18" i="7"/>
  <c r="V17" i="7"/>
  <c r="T17" i="7"/>
  <c r="S17" i="7"/>
  <c r="Q17" i="7"/>
  <c r="V16" i="7"/>
  <c r="T16" i="7"/>
  <c r="S16" i="7"/>
  <c r="Q16" i="7"/>
  <c r="V19" i="7"/>
  <c r="T19" i="7"/>
  <c r="S19" i="7"/>
  <c r="Q19" i="7"/>
  <c r="V20" i="7"/>
  <c r="T20" i="7"/>
  <c r="S20" i="7"/>
  <c r="V22" i="7"/>
  <c r="T22" i="7"/>
  <c r="S22" i="7"/>
  <c r="Q22" i="7"/>
  <c r="V26" i="7"/>
  <c r="T26" i="7"/>
  <c r="S26" i="7"/>
  <c r="Q26" i="7"/>
  <c r="V25" i="7"/>
  <c r="T25" i="7"/>
  <c r="S25" i="7"/>
  <c r="Q25" i="7"/>
  <c r="V24" i="7"/>
  <c r="T24" i="7"/>
  <c r="S24" i="7"/>
  <c r="Q24" i="7"/>
  <c r="V28" i="7"/>
  <c r="T28" i="7"/>
  <c r="S28" i="7"/>
  <c r="Q28" i="7"/>
  <c r="V30" i="7"/>
  <c r="T30" i="7"/>
  <c r="S30" i="7"/>
  <c r="Q30" i="7"/>
  <c r="V29" i="7"/>
  <c r="T29" i="7"/>
  <c r="S29" i="7"/>
  <c r="Q29" i="7"/>
  <c r="V33" i="7"/>
  <c r="T33" i="7"/>
  <c r="S33" i="7"/>
  <c r="Q33" i="7"/>
  <c r="V34" i="7"/>
  <c r="T34" i="7"/>
  <c r="S34" i="7"/>
  <c r="Q34" i="7"/>
  <c r="V37" i="7"/>
  <c r="T37" i="7"/>
  <c r="S37" i="7"/>
  <c r="Q37" i="7"/>
  <c r="V36" i="7"/>
  <c r="T36" i="7"/>
  <c r="S36" i="7"/>
  <c r="Q36" i="7"/>
  <c r="V38" i="7"/>
  <c r="T38" i="7"/>
  <c r="S38" i="7"/>
  <c r="Q38" i="7"/>
  <c r="V40" i="7"/>
  <c r="T40" i="7"/>
  <c r="S40" i="7"/>
  <c r="Q40" i="7"/>
  <c r="V48" i="7"/>
  <c r="T48" i="7"/>
  <c r="S48" i="7"/>
  <c r="Q48" i="7"/>
  <c r="V52" i="7"/>
  <c r="T52" i="7"/>
  <c r="S52" i="7"/>
  <c r="Q52" i="7"/>
  <c r="V51" i="7"/>
  <c r="T51" i="7"/>
  <c r="S51" i="7"/>
  <c r="Q51" i="7"/>
  <c r="V54" i="7"/>
  <c r="T54" i="7"/>
  <c r="S54" i="7"/>
  <c r="Q54" i="7"/>
  <c r="V60" i="7"/>
  <c r="T60" i="7"/>
  <c r="Q60" i="7"/>
  <c r="V70" i="7"/>
  <c r="V77" i="7"/>
  <c r="T77" i="7"/>
  <c r="S77" i="7"/>
  <c r="Q77" i="7"/>
  <c r="V81" i="7"/>
  <c r="T81" i="7"/>
  <c r="S81" i="7"/>
  <c r="Q81" i="7"/>
  <c r="V91" i="7"/>
  <c r="T110" i="7"/>
  <c r="S110" i="7"/>
  <c r="Q110" i="7"/>
  <c r="T109" i="7"/>
  <c r="Q109" i="7"/>
  <c r="T108" i="7"/>
  <c r="Q108" i="7"/>
  <c r="V101" i="7"/>
  <c r="Q101" i="7"/>
  <c r="T95" i="7"/>
  <c r="Q95" i="7"/>
  <c r="M21" i="7"/>
  <c r="M35" i="7"/>
  <c r="M39" i="7"/>
  <c r="M41" i="7"/>
  <c r="M43" i="7"/>
  <c r="M44" i="7"/>
  <c r="M45" i="7"/>
  <c r="M46" i="7"/>
  <c r="M47" i="7"/>
  <c r="M50" i="7"/>
  <c r="M53" i="7"/>
  <c r="M61" i="7"/>
  <c r="M74" i="7"/>
  <c r="M76" i="7"/>
  <c r="M75" i="7"/>
  <c r="M88" i="7"/>
  <c r="M97" i="7"/>
  <c r="M98" i="7"/>
  <c r="M3" i="7"/>
  <c r="M2" i="7"/>
  <c r="M4" i="7"/>
  <c r="M6" i="7"/>
  <c r="M5" i="7"/>
  <c r="M9" i="7"/>
  <c r="M8" i="7"/>
  <c r="M11" i="7"/>
  <c r="M10" i="7"/>
  <c r="M15" i="7"/>
  <c r="M18" i="7"/>
  <c r="M17" i="7"/>
  <c r="M16" i="7"/>
  <c r="M19" i="7"/>
  <c r="M20" i="7"/>
  <c r="M26" i="7"/>
  <c r="M25" i="7"/>
  <c r="M24" i="7"/>
  <c r="M28" i="7"/>
  <c r="M30" i="7"/>
  <c r="M29" i="7"/>
  <c r="M33" i="7"/>
  <c r="M34" i="7"/>
  <c r="M37" i="7"/>
  <c r="M36" i="7"/>
  <c r="M38" i="7"/>
  <c r="M48" i="7"/>
  <c r="M52" i="7"/>
  <c r="M51" i="7"/>
  <c r="M54" i="7"/>
  <c r="M60" i="7"/>
  <c r="M72" i="7"/>
  <c r="M77" i="7"/>
  <c r="M81" i="7"/>
  <c r="V12" i="7"/>
  <c r="T12" i="7"/>
  <c r="S12" i="7"/>
  <c r="V78" i="7"/>
  <c r="T78" i="7"/>
  <c r="S78" i="7"/>
  <c r="V90" i="7"/>
  <c r="T90" i="7"/>
  <c r="T87" i="7"/>
  <c r="V80" i="7"/>
  <c r="T80" i="7"/>
  <c r="V79" i="7"/>
  <c r="T79" i="7"/>
  <c r="S79" i="7"/>
  <c r="T73" i="7"/>
  <c r="V71" i="7"/>
  <c r="T71" i="7"/>
  <c r="S71" i="7"/>
  <c r="V69" i="7"/>
  <c r="T69" i="7"/>
  <c r="S69" i="7"/>
  <c r="V68" i="7"/>
  <c r="T68" i="7"/>
  <c r="S68" i="7"/>
  <c r="V67" i="7"/>
  <c r="T67" i="7"/>
  <c r="S67" i="7"/>
  <c r="V63" i="7"/>
  <c r="T63" i="7"/>
  <c r="V66" i="7"/>
  <c r="T66" i="7"/>
  <c r="S66" i="7"/>
  <c r="V64" i="7"/>
  <c r="T64" i="7"/>
  <c r="V62" i="7"/>
  <c r="T62" i="7"/>
  <c r="S62" i="7"/>
  <c r="V59" i="7"/>
  <c r="T59" i="7"/>
  <c r="S59" i="7"/>
  <c r="V58" i="7"/>
  <c r="T58" i="7"/>
  <c r="S58" i="7"/>
  <c r="V57" i="7"/>
  <c r="T57" i="7"/>
  <c r="S57" i="7"/>
  <c r="V42" i="7"/>
  <c r="T42" i="7"/>
  <c r="S42" i="7"/>
  <c r="V32" i="7"/>
  <c r="T32" i="7"/>
  <c r="S32" i="7"/>
  <c r="Q78" i="7"/>
  <c r="Q90" i="7"/>
  <c r="Q79" i="7"/>
  <c r="Q71" i="7"/>
  <c r="Q69" i="7"/>
  <c r="Q68" i="7"/>
  <c r="Q67" i="7"/>
  <c r="Q66" i="7"/>
  <c r="Q59" i="7"/>
  <c r="Q58" i="7"/>
  <c r="Q57" i="7"/>
  <c r="Q42" i="7"/>
  <c r="Q32" i="7"/>
  <c r="Q62" i="7"/>
  <c r="P62" i="7"/>
  <c r="P12" i="7"/>
  <c r="P78" i="7"/>
  <c r="P59" i="7"/>
  <c r="P58" i="7"/>
  <c r="P57" i="7"/>
  <c r="P42" i="7"/>
  <c r="P32" i="7"/>
  <c r="M12" i="7"/>
  <c r="M109" i="7"/>
  <c r="M90" i="7"/>
  <c r="M108" i="7"/>
  <c r="M101" i="7"/>
  <c r="M95" i="7"/>
  <c r="M87" i="7"/>
  <c r="M80" i="7"/>
  <c r="M73" i="7"/>
  <c r="M66" i="7"/>
  <c r="M62" i="7"/>
  <c r="O144" i="4"/>
  <c r="M144" i="4"/>
  <c r="N144" i="4" s="1"/>
  <c r="L144" i="4" a="1"/>
  <c r="L144" i="4" s="1"/>
  <c r="K144" i="4"/>
  <c r="H144" i="4"/>
  <c r="G144" i="4"/>
  <c r="F144" i="4"/>
  <c r="E144" i="4"/>
  <c r="D144" i="4"/>
  <c r="C144" i="4"/>
  <c r="O142" i="4"/>
  <c r="M142" i="4"/>
  <c r="N142" i="4" s="1"/>
  <c r="L142" i="4" a="1"/>
  <c r="L142" i="4" s="1"/>
  <c r="K142" i="4"/>
  <c r="H142" i="4"/>
  <c r="G142" i="4"/>
  <c r="F142" i="4"/>
  <c r="E142" i="4"/>
  <c r="D142" i="4"/>
  <c r="C142" i="4"/>
  <c r="O141" i="4"/>
  <c r="M141" i="4"/>
  <c r="N141" i="4" s="1"/>
  <c r="L141" i="4" a="1"/>
  <c r="L141" i="4" s="1"/>
  <c r="K141" i="4"/>
  <c r="H141" i="4"/>
  <c r="G141" i="4"/>
  <c r="F141" i="4"/>
  <c r="E141" i="4"/>
  <c r="D141" i="4"/>
  <c r="C141" i="4"/>
  <c r="O139" i="4"/>
  <c r="M139" i="4"/>
  <c r="N139" i="4" s="1"/>
  <c r="L139" i="4" a="1"/>
  <c r="L139" i="4" s="1"/>
  <c r="K139" i="4"/>
  <c r="H139" i="4"/>
  <c r="G139" i="4"/>
  <c r="F139" i="4"/>
  <c r="E139" i="4"/>
  <c r="D139" i="4"/>
  <c r="C139" i="4"/>
  <c r="O138" i="4"/>
  <c r="M138" i="4"/>
  <c r="N138" i="4" s="1"/>
  <c r="L138" i="4" a="1"/>
  <c r="L138" i="4" s="1"/>
  <c r="K138" i="4"/>
  <c r="H138" i="4"/>
  <c r="G138" i="4"/>
  <c r="F138" i="4"/>
  <c r="E138" i="4"/>
  <c r="D138" i="4"/>
  <c r="C138" i="4"/>
  <c r="O137" i="4"/>
  <c r="M137" i="4"/>
  <c r="N137" i="4" s="1"/>
  <c r="L137" i="4" a="1"/>
  <c r="L137" i="4" s="1"/>
  <c r="K137" i="4"/>
  <c r="H137" i="4"/>
  <c r="G137" i="4"/>
  <c r="F137" i="4"/>
  <c r="E137" i="4"/>
  <c r="D137" i="4"/>
  <c r="C137" i="4"/>
  <c r="O143" i="4"/>
  <c r="M143" i="4"/>
  <c r="N143" i="4" s="1"/>
  <c r="L143" i="4" a="1"/>
  <c r="L143" i="4" s="1"/>
  <c r="K143" i="4"/>
  <c r="H143" i="4"/>
  <c r="G143" i="4"/>
  <c r="F143" i="4"/>
  <c r="E143" i="4"/>
  <c r="D143" i="4"/>
  <c r="C143" i="4"/>
  <c r="L140" i="4" a="1"/>
  <c r="L140" i="4" s="1"/>
  <c r="L136" i="4" a="1"/>
  <c r="L136" i="4" s="1"/>
  <c r="L135" i="4" a="1"/>
  <c r="L135" i="4" s="1"/>
  <c r="L134" i="4" a="1"/>
  <c r="L134" i="4" s="1"/>
  <c r="L133" i="4" a="1"/>
  <c r="L133" i="4" s="1"/>
  <c r="L132" i="4" a="1"/>
  <c r="L132" i="4" s="1"/>
  <c r="L131" i="4" a="1"/>
  <c r="L131" i="4" s="1"/>
  <c r="L130" i="4" a="1"/>
  <c r="L130" i="4" s="1"/>
  <c r="L129" i="4" a="1"/>
  <c r="L129" i="4" s="1"/>
  <c r="L128" i="4" a="1"/>
  <c r="L128" i="4" s="1"/>
  <c r="L127" i="4" a="1"/>
  <c r="L127" i="4" s="1"/>
  <c r="L126" i="4" a="1"/>
  <c r="L126" i="4" s="1"/>
  <c r="L125" i="4" a="1"/>
  <c r="L125" i="4" s="1"/>
  <c r="L124" i="4" a="1"/>
  <c r="L124" i="4" s="1"/>
  <c r="L123" i="4" a="1"/>
  <c r="L123" i="4" s="1"/>
  <c r="L122" i="4" a="1"/>
  <c r="L122" i="4" s="1"/>
  <c r="L121" i="4" a="1"/>
  <c r="L121" i="4" s="1"/>
  <c r="L120" i="4" a="1"/>
  <c r="L120" i="4" s="1"/>
  <c r="L119" i="4" a="1"/>
  <c r="L119" i="4" s="1"/>
  <c r="L118" i="4" a="1"/>
  <c r="L118" i="4" s="1"/>
  <c r="L117" i="4" a="1"/>
  <c r="L117" i="4" s="1"/>
  <c r="L116" i="4" a="1"/>
  <c r="L116" i="4" s="1"/>
  <c r="L115" i="4" a="1"/>
  <c r="L115" i="4" s="1"/>
  <c r="L114" i="4" a="1"/>
  <c r="L114" i="4" s="1"/>
  <c r="L113" i="4" a="1"/>
  <c r="L113" i="4" s="1"/>
  <c r="L112" i="4" a="1"/>
  <c r="L112" i="4" s="1"/>
  <c r="L111" i="4" a="1"/>
  <c r="L111" i="4" s="1"/>
  <c r="L110" i="4" a="1"/>
  <c r="L110" i="4" s="1"/>
  <c r="L109" i="4" a="1"/>
  <c r="L109" i="4" s="1"/>
  <c r="L108" i="4" a="1"/>
  <c r="L108" i="4" s="1"/>
  <c r="L107" i="4" a="1"/>
  <c r="L107" i="4" s="1"/>
  <c r="L106" i="4" a="1"/>
  <c r="L106" i="4" s="1"/>
  <c r="L105" i="4" a="1"/>
  <c r="L105" i="4" s="1"/>
  <c r="L104" i="4" a="1"/>
  <c r="L104" i="4" s="1"/>
  <c r="L103" i="4" a="1"/>
  <c r="L103" i="4" s="1"/>
  <c r="L102" i="4" a="1"/>
  <c r="L102" i="4" s="1"/>
  <c r="L101" i="4" a="1"/>
  <c r="L101" i="4" s="1"/>
  <c r="L100" i="4" a="1"/>
  <c r="L100" i="4" s="1"/>
  <c r="L99" i="4" a="1"/>
  <c r="L99" i="4" s="1"/>
  <c r="L98" i="4" a="1"/>
  <c r="L98" i="4" s="1"/>
  <c r="L97" i="4" a="1"/>
  <c r="L97" i="4" s="1"/>
  <c r="L96" i="4" a="1"/>
  <c r="L96" i="4" s="1"/>
  <c r="L95" i="4" a="1"/>
  <c r="L95" i="4" s="1"/>
  <c r="L94" i="4" a="1"/>
  <c r="L94" i="4" s="1"/>
  <c r="L93" i="4" a="1"/>
  <c r="L93" i="4" s="1"/>
  <c r="L92" i="4" a="1"/>
  <c r="L92" i="4" s="1"/>
  <c r="L91" i="4" a="1"/>
  <c r="L91" i="4" s="1"/>
  <c r="L90" i="4" a="1"/>
  <c r="L90" i="4" s="1"/>
  <c r="L89" i="4" a="1"/>
  <c r="L89" i="4" s="1"/>
  <c r="L88" i="4" a="1"/>
  <c r="L88" i="4" s="1"/>
  <c r="L87" i="4" a="1"/>
  <c r="L87" i="4" s="1"/>
  <c r="L86" i="4" a="1"/>
  <c r="L86" i="4" s="1"/>
  <c r="L85" i="4" a="1"/>
  <c r="L85" i="4" s="1"/>
  <c r="L84" i="4" a="1"/>
  <c r="L84" i="4" s="1"/>
  <c r="L83" i="4" a="1"/>
  <c r="L83" i="4" s="1"/>
  <c r="L82" i="4" a="1"/>
  <c r="L82" i="4" s="1"/>
  <c r="L81" i="4" a="1"/>
  <c r="L81" i="4" s="1"/>
  <c r="L80" i="4" a="1"/>
  <c r="L80" i="4" s="1"/>
  <c r="L79" i="4" a="1"/>
  <c r="L79" i="4" s="1"/>
  <c r="L78" i="4" a="1"/>
  <c r="L78" i="4" s="1"/>
  <c r="L77" i="4" a="1"/>
  <c r="L77" i="4" s="1"/>
  <c r="L76" i="4" a="1"/>
  <c r="L76" i="4" s="1"/>
  <c r="L75" i="4" a="1"/>
  <c r="L75" i="4" s="1"/>
  <c r="L74" i="4" a="1"/>
  <c r="L74" i="4" s="1"/>
  <c r="L73" i="4" a="1"/>
  <c r="L73" i="4" s="1"/>
  <c r="L72" i="4" a="1"/>
  <c r="L72" i="4" s="1"/>
  <c r="L71" i="4" a="1"/>
  <c r="L71" i="4" s="1"/>
  <c r="L70" i="4" a="1"/>
  <c r="L70" i="4" s="1"/>
  <c r="L69" i="4" a="1"/>
  <c r="L69" i="4" s="1"/>
  <c r="L68" i="4" a="1"/>
  <c r="L68" i="4" s="1"/>
  <c r="L67" i="4" a="1"/>
  <c r="L67" i="4" s="1"/>
  <c r="L66" i="4" a="1"/>
  <c r="L66" i="4" s="1"/>
  <c r="L65" i="4" a="1"/>
  <c r="L65" i="4" s="1"/>
  <c r="L64" i="4" a="1"/>
  <c r="L64" i="4" s="1"/>
  <c r="L63" i="4" a="1"/>
  <c r="L63" i="4" s="1"/>
  <c r="L62" i="4" a="1"/>
  <c r="L62" i="4" s="1"/>
  <c r="L61" i="4" a="1"/>
  <c r="L61" i="4" s="1"/>
  <c r="L60" i="4" a="1"/>
  <c r="L60" i="4" s="1"/>
  <c r="L59" i="4" a="1"/>
  <c r="L59" i="4" s="1"/>
  <c r="L58" i="4" a="1"/>
  <c r="L58" i="4" s="1"/>
  <c r="L57" i="4" a="1"/>
  <c r="L57" i="4" s="1"/>
  <c r="L56" i="4" a="1"/>
  <c r="L56" i="4" s="1"/>
  <c r="L55" i="4" a="1"/>
  <c r="L55" i="4" s="1"/>
  <c r="L54" i="4" a="1"/>
  <c r="L54" i="4" s="1"/>
  <c r="L53" i="4" a="1"/>
  <c r="L53" i="4" s="1"/>
  <c r="L52" i="4" a="1"/>
  <c r="L52" i="4" s="1"/>
  <c r="L51" i="4" a="1"/>
  <c r="L51" i="4" s="1"/>
  <c r="L50" i="4" a="1"/>
  <c r="L50" i="4" s="1"/>
  <c r="L49" i="4" a="1"/>
  <c r="L49" i="4" s="1"/>
  <c r="L48" i="4" a="1"/>
  <c r="L48" i="4" s="1"/>
  <c r="L47" i="4" a="1"/>
  <c r="L47" i="4" s="1"/>
  <c r="L46" i="4" a="1"/>
  <c r="L46" i="4" s="1"/>
  <c r="L45" i="4" a="1"/>
  <c r="L45" i="4" s="1"/>
  <c r="L44" i="4" a="1"/>
  <c r="L44" i="4" s="1"/>
  <c r="L43" i="4" a="1"/>
  <c r="L43" i="4" s="1"/>
  <c r="L42" i="4" a="1"/>
  <c r="L42" i="4" s="1"/>
  <c r="L41" i="4" a="1"/>
  <c r="L41" i="4" s="1"/>
  <c r="L40" i="4" a="1"/>
  <c r="L40" i="4" s="1"/>
  <c r="L39" i="4" a="1"/>
  <c r="L39" i="4" s="1"/>
  <c r="L38" i="4" a="1"/>
  <c r="L38" i="4" s="1"/>
  <c r="L37" i="4" a="1"/>
  <c r="L37" i="4" s="1"/>
  <c r="L36" i="4" a="1"/>
  <c r="L36" i="4" s="1"/>
  <c r="L35" i="4" a="1"/>
  <c r="L35" i="4" s="1"/>
  <c r="L34" i="4" a="1"/>
  <c r="L34" i="4" s="1"/>
  <c r="L33" i="4" a="1"/>
  <c r="L33" i="4" s="1"/>
  <c r="L32" i="4" a="1"/>
  <c r="L32" i="4" s="1"/>
  <c r="L31" i="4" a="1"/>
  <c r="L31" i="4" s="1"/>
  <c r="L30" i="4" a="1"/>
  <c r="L30" i="4" s="1"/>
  <c r="L29" i="4" a="1"/>
  <c r="L29" i="4" s="1"/>
  <c r="L28" i="4" a="1"/>
  <c r="L28" i="4" s="1"/>
  <c r="L27" i="4" a="1"/>
  <c r="L27" i="4" s="1"/>
  <c r="L26" i="4" a="1"/>
  <c r="L26" i="4" s="1"/>
  <c r="L25" i="4" a="1"/>
  <c r="L25" i="4" s="1"/>
  <c r="L24" i="4" a="1"/>
  <c r="L24" i="4" s="1"/>
  <c r="L23" i="4" a="1"/>
  <c r="L23" i="4" s="1"/>
  <c r="L22" i="4" a="1"/>
  <c r="L22" i="4" s="1"/>
  <c r="L21" i="4" a="1"/>
  <c r="L21" i="4" s="1"/>
  <c r="L20" i="4" a="1"/>
  <c r="L20" i="4" s="1"/>
  <c r="L19" i="4" a="1"/>
  <c r="L19" i="4" s="1"/>
  <c r="L18" i="4" a="1"/>
  <c r="L18" i="4" s="1"/>
  <c r="L17" i="4" a="1"/>
  <c r="L17" i="4" s="1"/>
  <c r="L16" i="4" a="1"/>
  <c r="L16" i="4" s="1"/>
  <c r="L15" i="4" a="1"/>
  <c r="L15" i="4" s="1"/>
  <c r="L14" i="4" a="1"/>
  <c r="L14" i="4" s="1"/>
  <c r="L13" i="4" a="1"/>
  <c r="L13" i="4" s="1"/>
  <c r="L12" i="4" a="1"/>
  <c r="L12" i="4" s="1"/>
  <c r="L11" i="4" a="1"/>
  <c r="L11" i="4" s="1"/>
  <c r="L10" i="4" a="1"/>
  <c r="L10" i="4" s="1"/>
  <c r="L9" i="4" a="1"/>
  <c r="L9" i="4" s="1"/>
  <c r="L8" i="4" a="1"/>
  <c r="L8" i="4" s="1"/>
  <c r="L7" i="4" a="1"/>
  <c r="L7" i="4" s="1"/>
  <c r="L6" i="4" a="1"/>
  <c r="L6" i="4" s="1"/>
  <c r="L5" i="4" a="1"/>
  <c r="L5" i="4" s="1"/>
  <c r="L4" i="4" a="1"/>
  <c r="L4" i="4" s="1"/>
  <c r="L3" i="4" a="1"/>
  <c r="L3" i="4" s="1"/>
  <c r="L2" i="4" a="1"/>
  <c r="L2" i="4"/>
  <c r="O140" i="4"/>
  <c r="M140" i="4"/>
  <c r="N140" i="4" s="1"/>
  <c r="K140" i="4"/>
  <c r="H140" i="4"/>
  <c r="G140" i="4"/>
  <c r="F140" i="4"/>
  <c r="E140" i="4"/>
  <c r="D140" i="4"/>
  <c r="C140" i="4"/>
  <c r="O136" i="4"/>
  <c r="M136" i="4"/>
  <c r="N136" i="4" s="1"/>
  <c r="K136" i="4"/>
  <c r="H136" i="4"/>
  <c r="G136" i="4"/>
  <c r="F136" i="4"/>
  <c r="E136" i="4"/>
  <c r="D136" i="4"/>
  <c r="C136" i="4"/>
  <c r="O135" i="4"/>
  <c r="M135" i="4"/>
  <c r="N135" i="4" s="1"/>
  <c r="K135" i="4"/>
  <c r="H135" i="4"/>
  <c r="G135" i="4"/>
  <c r="F135" i="4"/>
  <c r="E135" i="4"/>
  <c r="D135" i="4"/>
  <c r="C135" i="4"/>
  <c r="O134" i="4"/>
  <c r="M134" i="4"/>
  <c r="N134" i="4" s="1"/>
  <c r="K134" i="4"/>
  <c r="H134" i="4"/>
  <c r="G134" i="4"/>
  <c r="F134" i="4"/>
  <c r="E134" i="4"/>
  <c r="D134" i="4"/>
  <c r="C134" i="4"/>
  <c r="O133" i="4"/>
  <c r="M133" i="4"/>
  <c r="N133" i="4" s="1"/>
  <c r="K133" i="4"/>
  <c r="H133" i="4"/>
  <c r="G133" i="4"/>
  <c r="F133" i="4"/>
  <c r="E133" i="4"/>
  <c r="D133" i="4"/>
  <c r="C133" i="4"/>
  <c r="O132" i="4"/>
  <c r="M132" i="4"/>
  <c r="N132" i="4" s="1"/>
  <c r="K132" i="4"/>
  <c r="H132" i="4"/>
  <c r="G132" i="4"/>
  <c r="F132" i="4"/>
  <c r="E132" i="4"/>
  <c r="D132" i="4"/>
  <c r="C132" i="4"/>
  <c r="O131" i="4"/>
  <c r="M131" i="4"/>
  <c r="N131" i="4" s="1"/>
  <c r="K131" i="4"/>
  <c r="H131" i="4"/>
  <c r="G131" i="4"/>
  <c r="F131" i="4"/>
  <c r="E131" i="4"/>
  <c r="D131" i="4"/>
  <c r="C131" i="4"/>
  <c r="O130" i="4"/>
  <c r="M130" i="4"/>
  <c r="N130" i="4" s="1"/>
  <c r="K130" i="4"/>
  <c r="H130" i="4"/>
  <c r="G130" i="4"/>
  <c r="F130" i="4"/>
  <c r="E130" i="4"/>
  <c r="D130" i="4"/>
  <c r="C130" i="4"/>
  <c r="O129" i="4"/>
  <c r="M129" i="4"/>
  <c r="N129" i="4" s="1"/>
  <c r="K129" i="4"/>
  <c r="H129" i="4"/>
  <c r="G129" i="4"/>
  <c r="F129" i="4"/>
  <c r="E129" i="4"/>
  <c r="D129" i="4"/>
  <c r="C129" i="4"/>
  <c r="O128" i="4"/>
  <c r="N128" i="4"/>
  <c r="K128" i="4"/>
  <c r="H128" i="4"/>
  <c r="G128" i="4"/>
  <c r="F128" i="4"/>
  <c r="E128" i="4"/>
  <c r="D128" i="4"/>
  <c r="C128" i="4"/>
  <c r="O127" i="4"/>
  <c r="M127" i="4"/>
  <c r="N127" i="4" s="1"/>
  <c r="K127" i="4"/>
  <c r="H127" i="4"/>
  <c r="G127" i="4"/>
  <c r="F127" i="4"/>
  <c r="E127" i="4"/>
  <c r="D127" i="4"/>
  <c r="C127" i="4"/>
  <c r="O126" i="4"/>
  <c r="M126" i="4"/>
  <c r="N126" i="4" s="1"/>
  <c r="K126" i="4"/>
  <c r="H126" i="4"/>
  <c r="G126" i="4"/>
  <c r="F126" i="4"/>
  <c r="E126" i="4"/>
  <c r="D126" i="4"/>
  <c r="C126" i="4"/>
  <c r="O125" i="4"/>
  <c r="M125" i="4"/>
  <c r="N125" i="4" s="1"/>
  <c r="K125" i="4"/>
  <c r="H125" i="4"/>
  <c r="G125" i="4"/>
  <c r="F125" i="4"/>
  <c r="E125" i="4"/>
  <c r="D125" i="4"/>
  <c r="C125" i="4"/>
  <c r="O124" i="4"/>
  <c r="M124" i="4"/>
  <c r="N124" i="4" s="1"/>
  <c r="K124" i="4"/>
  <c r="H124" i="4"/>
  <c r="G124" i="4"/>
  <c r="F124" i="4"/>
  <c r="E124" i="4"/>
  <c r="D124" i="4"/>
  <c r="C124" i="4"/>
  <c r="O123" i="4"/>
  <c r="M123" i="4"/>
  <c r="N123" i="4" s="1"/>
  <c r="K123" i="4"/>
  <c r="H123" i="4"/>
  <c r="G123" i="4"/>
  <c r="F123" i="4"/>
  <c r="E123" i="4"/>
  <c r="D123" i="4"/>
  <c r="C123" i="4"/>
  <c r="O122" i="4"/>
  <c r="M122" i="4"/>
  <c r="N122" i="4" s="1"/>
  <c r="K122" i="4"/>
  <c r="H122" i="4"/>
  <c r="G122" i="4"/>
  <c r="F122" i="4"/>
  <c r="E122" i="4"/>
  <c r="D122" i="4"/>
  <c r="C122" i="4"/>
  <c r="O121" i="4"/>
  <c r="M121" i="4"/>
  <c r="N121" i="4" s="1"/>
  <c r="K121" i="4"/>
  <c r="H121" i="4"/>
  <c r="G121" i="4"/>
  <c r="F121" i="4"/>
  <c r="E121" i="4"/>
  <c r="D121" i="4"/>
  <c r="C121" i="4"/>
  <c r="O120" i="4"/>
  <c r="M120" i="4"/>
  <c r="N120" i="4" s="1"/>
  <c r="K120" i="4"/>
  <c r="H120" i="4"/>
  <c r="G120" i="4"/>
  <c r="F120" i="4"/>
  <c r="E120" i="4"/>
  <c r="D120" i="4"/>
  <c r="C120" i="4"/>
  <c r="O119" i="4"/>
  <c r="M119" i="4"/>
  <c r="N119" i="4" s="1"/>
  <c r="K119" i="4"/>
  <c r="H119" i="4"/>
  <c r="G119" i="4"/>
  <c r="F119" i="4"/>
  <c r="E119" i="4"/>
  <c r="D119" i="4"/>
  <c r="C119" i="4"/>
  <c r="O118" i="4"/>
  <c r="M118" i="4"/>
  <c r="N118" i="4" s="1"/>
  <c r="K118" i="4"/>
  <c r="H118" i="4"/>
  <c r="G118" i="4"/>
  <c r="F118" i="4"/>
  <c r="E118" i="4"/>
  <c r="D118" i="4"/>
  <c r="C118" i="4"/>
  <c r="O117" i="4"/>
  <c r="M117" i="4"/>
  <c r="N117" i="4" s="1"/>
  <c r="K117" i="4"/>
  <c r="H117" i="4"/>
  <c r="G117" i="4"/>
  <c r="F117" i="4"/>
  <c r="E117" i="4"/>
  <c r="D117" i="4"/>
  <c r="C117" i="4"/>
  <c r="O116" i="4"/>
  <c r="M116" i="4"/>
  <c r="N116" i="4" s="1"/>
  <c r="K116" i="4"/>
  <c r="H116" i="4"/>
  <c r="G116" i="4"/>
  <c r="F116" i="4"/>
  <c r="E116" i="4"/>
  <c r="C116" i="4"/>
  <c r="O115" i="4"/>
  <c r="M115" i="4"/>
  <c r="N115" i="4" s="1"/>
  <c r="K115" i="4"/>
  <c r="H115" i="4"/>
  <c r="G115" i="4"/>
  <c r="F115" i="4"/>
  <c r="E115" i="4"/>
  <c r="D115" i="4"/>
  <c r="C115" i="4"/>
  <c r="O114" i="4"/>
  <c r="M114" i="4"/>
  <c r="N114" i="4" s="1"/>
  <c r="K114" i="4"/>
  <c r="H114" i="4"/>
  <c r="G114" i="4"/>
  <c r="F114" i="4"/>
  <c r="E114" i="4"/>
  <c r="D114" i="4"/>
  <c r="C114" i="4"/>
  <c r="O113" i="4"/>
  <c r="M113" i="4"/>
  <c r="N113" i="4" s="1"/>
  <c r="K113" i="4"/>
  <c r="H113" i="4"/>
  <c r="G113" i="4"/>
  <c r="F113" i="4"/>
  <c r="E113" i="4"/>
  <c r="D113" i="4"/>
  <c r="C113" i="4"/>
  <c r="O112" i="4"/>
  <c r="M112" i="4"/>
  <c r="N112" i="4" s="1"/>
  <c r="K112" i="4"/>
  <c r="H112" i="4"/>
  <c r="G112" i="4"/>
  <c r="F112" i="4"/>
  <c r="E112" i="4"/>
  <c r="D112" i="4"/>
  <c r="C112" i="4"/>
  <c r="O111" i="4"/>
  <c r="M111" i="4"/>
  <c r="N111" i="4" s="1"/>
  <c r="K111" i="4"/>
  <c r="H111" i="4"/>
  <c r="G111" i="4"/>
  <c r="F111" i="4"/>
  <c r="E111" i="4"/>
  <c r="D111" i="4"/>
  <c r="C111" i="4"/>
  <c r="O110" i="4"/>
  <c r="M110" i="4"/>
  <c r="N110" i="4" s="1"/>
  <c r="K110" i="4"/>
  <c r="H110" i="4"/>
  <c r="G110" i="4"/>
  <c r="F110" i="4"/>
  <c r="E110" i="4"/>
  <c r="D110" i="4"/>
  <c r="C110" i="4"/>
  <c r="O109" i="4"/>
  <c r="M109" i="4"/>
  <c r="N109" i="4" s="1"/>
  <c r="K109" i="4"/>
  <c r="H109" i="4"/>
  <c r="G109" i="4"/>
  <c r="F109" i="4"/>
  <c r="E109" i="4"/>
  <c r="D109" i="4"/>
  <c r="C109" i="4"/>
  <c r="O108" i="4"/>
  <c r="M108" i="4"/>
  <c r="N108" i="4" s="1"/>
  <c r="K108" i="4"/>
  <c r="H108" i="4"/>
  <c r="G108" i="4"/>
  <c r="F108" i="4"/>
  <c r="E108" i="4"/>
  <c r="D108" i="4"/>
  <c r="C108" i="4"/>
  <c r="O107" i="4"/>
  <c r="M107" i="4"/>
  <c r="N107" i="4" s="1"/>
  <c r="K107" i="4"/>
  <c r="H107" i="4"/>
  <c r="G107" i="4"/>
  <c r="F107" i="4"/>
  <c r="E107" i="4"/>
  <c r="D107" i="4"/>
  <c r="C107" i="4"/>
  <c r="O106" i="4"/>
  <c r="M106" i="4"/>
  <c r="N106" i="4" s="1"/>
  <c r="K106" i="4"/>
  <c r="H106" i="4"/>
  <c r="G106" i="4"/>
  <c r="F106" i="4"/>
  <c r="E106" i="4"/>
  <c r="D106" i="4"/>
  <c r="C106" i="4"/>
  <c r="O105" i="4"/>
  <c r="M105" i="4"/>
  <c r="N105" i="4" s="1"/>
  <c r="K105" i="4"/>
  <c r="H105" i="4"/>
  <c r="G105" i="4"/>
  <c r="F105" i="4"/>
  <c r="E105" i="4"/>
  <c r="D105" i="4"/>
  <c r="C105" i="4"/>
  <c r="O104" i="4"/>
  <c r="M104" i="4"/>
  <c r="N104" i="4" s="1"/>
  <c r="K104" i="4"/>
  <c r="H104" i="4"/>
  <c r="G104" i="4"/>
  <c r="F104" i="4"/>
  <c r="E104" i="4"/>
  <c r="D104" i="4"/>
  <c r="C104" i="4"/>
  <c r="O103" i="4"/>
  <c r="M103" i="4"/>
  <c r="N103" i="4" s="1"/>
  <c r="K103" i="4"/>
  <c r="H103" i="4"/>
  <c r="G103" i="4"/>
  <c r="F103" i="4"/>
  <c r="E103" i="4"/>
  <c r="D103" i="4"/>
  <c r="C103" i="4"/>
  <c r="O102" i="4"/>
  <c r="M102" i="4"/>
  <c r="N102" i="4" s="1"/>
  <c r="K102" i="4"/>
  <c r="H102" i="4"/>
  <c r="G102" i="4"/>
  <c r="F102" i="4"/>
  <c r="E102" i="4"/>
  <c r="D102" i="4"/>
  <c r="C102" i="4"/>
  <c r="O101" i="4"/>
  <c r="M101" i="4"/>
  <c r="N101" i="4" s="1"/>
  <c r="K101" i="4"/>
  <c r="H101" i="4"/>
  <c r="G101" i="4"/>
  <c r="F101" i="4"/>
  <c r="E101" i="4"/>
  <c r="D101" i="4"/>
  <c r="C101" i="4"/>
  <c r="O100" i="4"/>
  <c r="M100" i="4"/>
  <c r="N100" i="4" s="1"/>
  <c r="K100" i="4"/>
  <c r="H100" i="4"/>
  <c r="G100" i="4"/>
  <c r="F100" i="4"/>
  <c r="E100" i="4"/>
  <c r="D100" i="4"/>
  <c r="C100" i="4"/>
  <c r="O99" i="4"/>
  <c r="M99" i="4"/>
  <c r="N99" i="4" s="1"/>
  <c r="K99" i="4"/>
  <c r="H99" i="4"/>
  <c r="G99" i="4"/>
  <c r="F99" i="4"/>
  <c r="E99" i="4"/>
  <c r="D99" i="4"/>
  <c r="C99" i="4"/>
  <c r="O98" i="4"/>
  <c r="M98" i="4"/>
  <c r="N98" i="4" s="1"/>
  <c r="K98" i="4"/>
  <c r="H98" i="4"/>
  <c r="G98" i="4"/>
  <c r="F98" i="4"/>
  <c r="E98" i="4"/>
  <c r="D98" i="4"/>
  <c r="C98" i="4"/>
  <c r="O97" i="4"/>
  <c r="M97" i="4"/>
  <c r="N97" i="4" s="1"/>
  <c r="K97" i="4"/>
  <c r="H97" i="4"/>
  <c r="G97" i="4"/>
  <c r="F97" i="4"/>
  <c r="E97" i="4"/>
  <c r="D97" i="4"/>
  <c r="C97" i="4"/>
  <c r="O96" i="4"/>
  <c r="M96" i="4"/>
  <c r="N96" i="4" s="1"/>
  <c r="K96" i="4"/>
  <c r="H96" i="4"/>
  <c r="G96" i="4"/>
  <c r="F96" i="4"/>
  <c r="E96" i="4"/>
  <c r="D96" i="4"/>
  <c r="C96" i="4"/>
  <c r="O95" i="4"/>
  <c r="M95" i="4"/>
  <c r="N95" i="4" s="1"/>
  <c r="K95" i="4"/>
  <c r="H95" i="4"/>
  <c r="G95" i="4"/>
  <c r="F95" i="4"/>
  <c r="E95" i="4"/>
  <c r="D95" i="4"/>
  <c r="C95" i="4"/>
  <c r="O94" i="4"/>
  <c r="M94" i="4"/>
  <c r="N94" i="4" s="1"/>
  <c r="K94" i="4"/>
  <c r="H94" i="4"/>
  <c r="G94" i="4"/>
  <c r="F94" i="4"/>
  <c r="E94" i="4"/>
  <c r="D94" i="4"/>
  <c r="C94" i="4"/>
  <c r="O93" i="4"/>
  <c r="M93" i="4"/>
  <c r="N93" i="4" s="1"/>
  <c r="K93" i="4"/>
  <c r="H93" i="4"/>
  <c r="G93" i="4"/>
  <c r="F93" i="4"/>
  <c r="E93" i="4"/>
  <c r="D93" i="4"/>
  <c r="C93" i="4"/>
  <c r="O92" i="4"/>
  <c r="M92" i="4"/>
  <c r="N92" i="4" s="1"/>
  <c r="K92" i="4"/>
  <c r="H92" i="4"/>
  <c r="G92" i="4"/>
  <c r="F92" i="4"/>
  <c r="E92" i="4"/>
  <c r="D92" i="4"/>
  <c r="C92" i="4"/>
  <c r="O91" i="4"/>
  <c r="M91" i="4"/>
  <c r="N91" i="4" s="1"/>
  <c r="K91" i="4"/>
  <c r="H91" i="4"/>
  <c r="G91" i="4"/>
  <c r="F91" i="4"/>
  <c r="E91" i="4"/>
  <c r="D91" i="4"/>
  <c r="C91" i="4"/>
  <c r="O90" i="4"/>
  <c r="M90" i="4"/>
  <c r="N90" i="4" s="1"/>
  <c r="K90" i="4"/>
  <c r="H90" i="4"/>
  <c r="G90" i="4"/>
  <c r="F90" i="4"/>
  <c r="E90" i="4"/>
  <c r="D90" i="4"/>
  <c r="C90" i="4"/>
  <c r="O89" i="4"/>
  <c r="M89" i="4"/>
  <c r="N89" i="4" s="1"/>
  <c r="K89" i="4"/>
  <c r="H89" i="4"/>
  <c r="G89" i="4"/>
  <c r="F89" i="4"/>
  <c r="E89" i="4"/>
  <c r="D89" i="4"/>
  <c r="C89" i="4"/>
  <c r="O88" i="4"/>
  <c r="M88" i="4"/>
  <c r="N88" i="4" s="1"/>
  <c r="K88" i="4"/>
  <c r="H88" i="4"/>
  <c r="G88" i="4"/>
  <c r="F88" i="4"/>
  <c r="E88" i="4"/>
  <c r="D88" i="4"/>
  <c r="C88" i="4"/>
  <c r="O87" i="4"/>
  <c r="M87" i="4"/>
  <c r="N87" i="4" s="1"/>
  <c r="K87" i="4"/>
  <c r="H87" i="4"/>
  <c r="G87" i="4"/>
  <c r="F87" i="4"/>
  <c r="E87" i="4"/>
  <c r="D87" i="4"/>
  <c r="C87" i="4"/>
  <c r="O86" i="4"/>
  <c r="M86" i="4"/>
  <c r="N86" i="4" s="1"/>
  <c r="K86" i="4"/>
  <c r="H86" i="4"/>
  <c r="G86" i="4"/>
  <c r="F86" i="4"/>
  <c r="E86" i="4"/>
  <c r="D86" i="4"/>
  <c r="C86" i="4"/>
  <c r="O85" i="4"/>
  <c r="M85" i="4"/>
  <c r="N85" i="4" s="1"/>
  <c r="K85" i="4"/>
  <c r="H85" i="4"/>
  <c r="G85" i="4"/>
  <c r="F85" i="4"/>
  <c r="E85" i="4"/>
  <c r="D85" i="4"/>
  <c r="C85" i="4"/>
  <c r="O84" i="4"/>
  <c r="M84" i="4"/>
  <c r="N84" i="4" s="1"/>
  <c r="K84" i="4"/>
  <c r="H84" i="4"/>
  <c r="G84" i="4"/>
  <c r="F84" i="4"/>
  <c r="E84" i="4"/>
  <c r="D84" i="4"/>
  <c r="C84" i="4"/>
  <c r="O83" i="4"/>
  <c r="M83" i="4"/>
  <c r="N83" i="4" s="1"/>
  <c r="K83" i="4"/>
  <c r="H83" i="4"/>
  <c r="G83" i="4"/>
  <c r="F83" i="4"/>
  <c r="E83" i="4"/>
  <c r="D83" i="4"/>
  <c r="C83" i="4"/>
  <c r="O82" i="4"/>
  <c r="M82" i="4"/>
  <c r="N82" i="4" s="1"/>
  <c r="K82" i="4"/>
  <c r="H82" i="4"/>
  <c r="G82" i="4"/>
  <c r="F82" i="4"/>
  <c r="E82" i="4"/>
  <c r="D82" i="4"/>
  <c r="C82" i="4"/>
  <c r="O81" i="4"/>
  <c r="M81" i="4"/>
  <c r="N81" i="4" s="1"/>
  <c r="K81" i="4"/>
  <c r="H81" i="4"/>
  <c r="G81" i="4"/>
  <c r="F81" i="4"/>
  <c r="E81" i="4"/>
  <c r="D81" i="4"/>
  <c r="C81" i="4"/>
  <c r="O80" i="4"/>
  <c r="M80" i="4"/>
  <c r="N80" i="4" s="1"/>
  <c r="K80" i="4"/>
  <c r="H80" i="4"/>
  <c r="G80" i="4"/>
  <c r="F80" i="4"/>
  <c r="E80" i="4"/>
  <c r="D80" i="4"/>
  <c r="C80" i="4"/>
  <c r="O79" i="4"/>
  <c r="M79" i="4"/>
  <c r="N79" i="4" s="1"/>
  <c r="K79" i="4"/>
  <c r="H79" i="4"/>
  <c r="G79" i="4"/>
  <c r="F79" i="4"/>
  <c r="E79" i="4"/>
  <c r="D79" i="4"/>
  <c r="C79" i="4"/>
  <c r="O78" i="4"/>
  <c r="M78" i="4"/>
  <c r="N78" i="4" s="1"/>
  <c r="K78" i="4"/>
  <c r="H78" i="4"/>
  <c r="G78" i="4"/>
  <c r="F78" i="4"/>
  <c r="E78" i="4"/>
  <c r="D78" i="4"/>
  <c r="C78" i="4"/>
  <c r="O77" i="4"/>
  <c r="M77" i="4"/>
  <c r="N77" i="4" s="1"/>
  <c r="K77" i="4"/>
  <c r="H77" i="4"/>
  <c r="G77" i="4"/>
  <c r="F77" i="4"/>
  <c r="E77" i="4"/>
  <c r="D77" i="4"/>
  <c r="C77" i="4"/>
  <c r="O76" i="4"/>
  <c r="M76" i="4"/>
  <c r="N76" i="4" s="1"/>
  <c r="K76" i="4"/>
  <c r="H76" i="4"/>
  <c r="G76" i="4"/>
  <c r="F76" i="4"/>
  <c r="E76" i="4"/>
  <c r="D76" i="4"/>
  <c r="C76" i="4"/>
  <c r="O75" i="4"/>
  <c r="M75" i="4"/>
  <c r="N75" i="4" s="1"/>
  <c r="K75" i="4"/>
  <c r="H75" i="4"/>
  <c r="G75" i="4"/>
  <c r="F75" i="4"/>
  <c r="E75" i="4"/>
  <c r="D75" i="4"/>
  <c r="C75" i="4"/>
  <c r="O74" i="4"/>
  <c r="M74" i="4"/>
  <c r="N74" i="4" s="1"/>
  <c r="K74" i="4"/>
  <c r="H74" i="4"/>
  <c r="G74" i="4"/>
  <c r="F74" i="4"/>
  <c r="E74" i="4"/>
  <c r="D74" i="4"/>
  <c r="C74" i="4"/>
  <c r="O73" i="4"/>
  <c r="M73" i="4"/>
  <c r="N73" i="4" s="1"/>
  <c r="K73" i="4"/>
  <c r="H73" i="4"/>
  <c r="G73" i="4"/>
  <c r="F73" i="4"/>
  <c r="E73" i="4"/>
  <c r="D73" i="4"/>
  <c r="C73" i="4"/>
  <c r="O72" i="4"/>
  <c r="M72" i="4"/>
  <c r="N72" i="4" s="1"/>
  <c r="K72" i="4"/>
  <c r="H72" i="4"/>
  <c r="G72" i="4"/>
  <c r="F72" i="4"/>
  <c r="E72" i="4"/>
  <c r="D72" i="4"/>
  <c r="C72" i="4"/>
  <c r="O71" i="4"/>
  <c r="M71" i="4"/>
  <c r="N71" i="4" s="1"/>
  <c r="K71" i="4"/>
  <c r="H71" i="4"/>
  <c r="G71" i="4"/>
  <c r="F71" i="4"/>
  <c r="E71" i="4"/>
  <c r="D71" i="4"/>
  <c r="C71" i="4"/>
  <c r="O70" i="4"/>
  <c r="M70" i="4"/>
  <c r="N70" i="4" s="1"/>
  <c r="K70" i="4"/>
  <c r="H70" i="4"/>
  <c r="G70" i="4"/>
  <c r="F70" i="4"/>
  <c r="E70" i="4"/>
  <c r="D70" i="4"/>
  <c r="C70" i="4"/>
  <c r="O69" i="4"/>
  <c r="M69" i="4"/>
  <c r="N69" i="4" s="1"/>
  <c r="K69" i="4"/>
  <c r="H69" i="4"/>
  <c r="G69" i="4"/>
  <c r="F69" i="4"/>
  <c r="E69" i="4"/>
  <c r="D69" i="4"/>
  <c r="C69" i="4"/>
  <c r="O68" i="4"/>
  <c r="M68" i="4"/>
  <c r="N68" i="4" s="1"/>
  <c r="K68" i="4"/>
  <c r="H68" i="4"/>
  <c r="G68" i="4"/>
  <c r="F68" i="4"/>
  <c r="E68" i="4"/>
  <c r="D68" i="4"/>
  <c r="C68" i="4"/>
  <c r="O67" i="4"/>
  <c r="M67" i="4"/>
  <c r="N67" i="4" s="1"/>
  <c r="K67" i="4"/>
  <c r="H67" i="4"/>
  <c r="G67" i="4"/>
  <c r="F67" i="4"/>
  <c r="E67" i="4"/>
  <c r="D67" i="4"/>
  <c r="C67" i="4"/>
  <c r="O66" i="4"/>
  <c r="M66" i="4"/>
  <c r="N66" i="4" s="1"/>
  <c r="K66" i="4"/>
  <c r="H66" i="4"/>
  <c r="G66" i="4"/>
  <c r="F66" i="4"/>
  <c r="E66" i="4"/>
  <c r="D66" i="4"/>
  <c r="C66" i="4"/>
  <c r="O65" i="4"/>
  <c r="M65" i="4"/>
  <c r="N65" i="4" s="1"/>
  <c r="K65" i="4"/>
  <c r="H65" i="4"/>
  <c r="G65" i="4"/>
  <c r="F65" i="4"/>
  <c r="E65" i="4"/>
  <c r="D65" i="4"/>
  <c r="C65" i="4"/>
  <c r="O64" i="4"/>
  <c r="M64" i="4"/>
  <c r="N64" i="4" s="1"/>
  <c r="K64" i="4"/>
  <c r="H64" i="4"/>
  <c r="G64" i="4"/>
  <c r="F64" i="4"/>
  <c r="E64" i="4"/>
  <c r="D64" i="4"/>
  <c r="C64" i="4"/>
  <c r="O63" i="4"/>
  <c r="M63" i="4"/>
  <c r="N63" i="4" s="1"/>
  <c r="K63" i="4"/>
  <c r="H63" i="4"/>
  <c r="G63" i="4"/>
  <c r="F63" i="4"/>
  <c r="E63" i="4"/>
  <c r="D63" i="4"/>
  <c r="C63" i="4"/>
  <c r="O62" i="4"/>
  <c r="M62" i="4"/>
  <c r="N62" i="4" s="1"/>
  <c r="K62" i="4"/>
  <c r="H62" i="4"/>
  <c r="G62" i="4"/>
  <c r="F62" i="4"/>
  <c r="E62" i="4"/>
  <c r="D62" i="4"/>
  <c r="C62" i="4"/>
  <c r="O61" i="4"/>
  <c r="M61" i="4"/>
  <c r="N61" i="4" s="1"/>
  <c r="K61" i="4"/>
  <c r="H61" i="4"/>
  <c r="G61" i="4"/>
  <c r="F61" i="4"/>
  <c r="E61" i="4"/>
  <c r="D61" i="4"/>
  <c r="C61" i="4"/>
  <c r="O60" i="4"/>
  <c r="M60" i="4"/>
  <c r="N60" i="4" s="1"/>
  <c r="K60" i="4"/>
  <c r="H60" i="4"/>
  <c r="G60" i="4"/>
  <c r="F60" i="4"/>
  <c r="E60" i="4"/>
  <c r="D60" i="4"/>
  <c r="C60" i="4"/>
  <c r="O59" i="4"/>
  <c r="M59" i="4"/>
  <c r="N59" i="4" s="1"/>
  <c r="K59" i="4"/>
  <c r="H59" i="4"/>
  <c r="G59" i="4"/>
  <c r="F59" i="4"/>
  <c r="E59" i="4"/>
  <c r="D59" i="4"/>
  <c r="C59" i="4"/>
  <c r="O58" i="4"/>
  <c r="M58" i="4"/>
  <c r="N58" i="4" s="1"/>
  <c r="K58" i="4"/>
  <c r="H58" i="4"/>
  <c r="G58" i="4"/>
  <c r="F58" i="4"/>
  <c r="E58" i="4"/>
  <c r="D58" i="4"/>
  <c r="C58" i="4"/>
  <c r="O57" i="4"/>
  <c r="M57" i="4"/>
  <c r="N57" i="4" s="1"/>
  <c r="K57" i="4"/>
  <c r="H57" i="4"/>
  <c r="G57" i="4"/>
  <c r="F57" i="4"/>
  <c r="E57" i="4"/>
  <c r="D57" i="4"/>
  <c r="C57" i="4"/>
  <c r="O56" i="4"/>
  <c r="M56" i="4"/>
  <c r="N56" i="4" s="1"/>
  <c r="K56" i="4"/>
  <c r="H56" i="4"/>
  <c r="G56" i="4"/>
  <c r="F56" i="4"/>
  <c r="E56" i="4"/>
  <c r="D56" i="4"/>
  <c r="C56" i="4"/>
  <c r="O55" i="4"/>
  <c r="M55" i="4"/>
  <c r="N55" i="4" s="1"/>
  <c r="K55" i="4"/>
  <c r="H55" i="4"/>
  <c r="G55" i="4"/>
  <c r="F55" i="4"/>
  <c r="E55" i="4"/>
  <c r="D55" i="4"/>
  <c r="C55" i="4"/>
  <c r="O54" i="4"/>
  <c r="M54" i="4"/>
  <c r="N54" i="4" s="1"/>
  <c r="K54" i="4"/>
  <c r="H54" i="4"/>
  <c r="G54" i="4"/>
  <c r="F54" i="4"/>
  <c r="E54" i="4"/>
  <c r="D54" i="4"/>
  <c r="C54" i="4"/>
  <c r="O53" i="4"/>
  <c r="M53" i="4"/>
  <c r="N53" i="4" s="1"/>
  <c r="K53" i="4"/>
  <c r="H53" i="4"/>
  <c r="G53" i="4"/>
  <c r="F53" i="4"/>
  <c r="E53" i="4"/>
  <c r="D53" i="4"/>
  <c r="C53" i="4"/>
  <c r="O52" i="4"/>
  <c r="M52" i="4"/>
  <c r="N52" i="4" s="1"/>
  <c r="K52" i="4"/>
  <c r="H52" i="4"/>
  <c r="G52" i="4"/>
  <c r="F52" i="4"/>
  <c r="E52" i="4"/>
  <c r="D52" i="4"/>
  <c r="C52" i="4"/>
  <c r="O51" i="4"/>
  <c r="M51" i="4"/>
  <c r="N51" i="4" s="1"/>
  <c r="K51" i="4"/>
  <c r="H51" i="4"/>
  <c r="G51" i="4"/>
  <c r="F51" i="4"/>
  <c r="E51" i="4"/>
  <c r="D51" i="4"/>
  <c r="C51" i="4"/>
  <c r="O50" i="4"/>
  <c r="M50" i="4"/>
  <c r="N50" i="4" s="1"/>
  <c r="K50" i="4"/>
  <c r="H50" i="4"/>
  <c r="G50" i="4"/>
  <c r="F50" i="4"/>
  <c r="E50" i="4"/>
  <c r="D50" i="4"/>
  <c r="C50" i="4"/>
  <c r="O49" i="4"/>
  <c r="M49" i="4"/>
  <c r="N49" i="4" s="1"/>
  <c r="K49" i="4"/>
  <c r="H49" i="4"/>
  <c r="G49" i="4"/>
  <c r="F49" i="4"/>
  <c r="E49" i="4"/>
  <c r="D49" i="4"/>
  <c r="C49" i="4"/>
  <c r="O48" i="4"/>
  <c r="M48" i="4"/>
  <c r="N48" i="4" s="1"/>
  <c r="K48" i="4"/>
  <c r="H48" i="4"/>
  <c r="G48" i="4"/>
  <c r="F48" i="4"/>
  <c r="E48" i="4"/>
  <c r="D48" i="4"/>
  <c r="C48" i="4"/>
  <c r="O47" i="4"/>
  <c r="M47" i="4"/>
  <c r="N47" i="4" s="1"/>
  <c r="K47" i="4"/>
  <c r="H47" i="4"/>
  <c r="G47" i="4"/>
  <c r="F47" i="4"/>
  <c r="E47" i="4"/>
  <c r="D47" i="4"/>
  <c r="C47" i="4"/>
  <c r="O46" i="4"/>
  <c r="M46" i="4"/>
  <c r="N46" i="4" s="1"/>
  <c r="K46" i="4"/>
  <c r="H46" i="4"/>
  <c r="G46" i="4"/>
  <c r="F46" i="4"/>
  <c r="E46" i="4"/>
  <c r="D46" i="4"/>
  <c r="C46" i="4"/>
  <c r="O45" i="4"/>
  <c r="M45" i="4"/>
  <c r="N45" i="4" s="1"/>
  <c r="K45" i="4"/>
  <c r="H45" i="4"/>
  <c r="G45" i="4"/>
  <c r="F45" i="4"/>
  <c r="E45" i="4"/>
  <c r="D45" i="4"/>
  <c r="C45" i="4"/>
  <c r="O44" i="4"/>
  <c r="M44" i="4"/>
  <c r="N44" i="4" s="1"/>
  <c r="K44" i="4"/>
  <c r="H44" i="4"/>
  <c r="G44" i="4"/>
  <c r="F44" i="4"/>
  <c r="E44" i="4"/>
  <c r="D44" i="4"/>
  <c r="C44" i="4"/>
  <c r="O43" i="4"/>
  <c r="M43" i="4"/>
  <c r="N43" i="4" s="1"/>
  <c r="K43" i="4"/>
  <c r="H43" i="4"/>
  <c r="G43" i="4"/>
  <c r="F43" i="4"/>
  <c r="E43" i="4"/>
  <c r="D43" i="4"/>
  <c r="C43" i="4"/>
  <c r="O42" i="4"/>
  <c r="M42" i="4"/>
  <c r="N42" i="4" s="1"/>
  <c r="K42" i="4"/>
  <c r="H42" i="4"/>
  <c r="G42" i="4"/>
  <c r="F42" i="4"/>
  <c r="E42" i="4"/>
  <c r="D42" i="4"/>
  <c r="C42" i="4"/>
  <c r="O41" i="4"/>
  <c r="M41" i="4"/>
  <c r="N41" i="4" s="1"/>
  <c r="K41" i="4"/>
  <c r="H41" i="4"/>
  <c r="G41" i="4"/>
  <c r="F41" i="4"/>
  <c r="E41" i="4"/>
  <c r="D41" i="4"/>
  <c r="C41" i="4"/>
  <c r="O40" i="4"/>
  <c r="M40" i="4"/>
  <c r="N40" i="4" s="1"/>
  <c r="K40" i="4"/>
  <c r="H40" i="4"/>
  <c r="G40" i="4"/>
  <c r="F40" i="4"/>
  <c r="E40" i="4"/>
  <c r="D40" i="4"/>
  <c r="C40" i="4"/>
  <c r="O39" i="4"/>
  <c r="M39" i="4"/>
  <c r="N39" i="4" s="1"/>
  <c r="K39" i="4"/>
  <c r="H39" i="4"/>
  <c r="G39" i="4"/>
  <c r="F39" i="4"/>
  <c r="E39" i="4"/>
  <c r="D39" i="4"/>
  <c r="C39" i="4"/>
  <c r="O38" i="4"/>
  <c r="M38" i="4"/>
  <c r="N38" i="4" s="1"/>
  <c r="K38" i="4"/>
  <c r="H38" i="4"/>
  <c r="G38" i="4"/>
  <c r="F38" i="4"/>
  <c r="E38" i="4"/>
  <c r="D38" i="4"/>
  <c r="C38" i="4"/>
  <c r="O37" i="4"/>
  <c r="M37" i="4"/>
  <c r="N37" i="4" s="1"/>
  <c r="K37" i="4"/>
  <c r="H37" i="4"/>
  <c r="G37" i="4"/>
  <c r="F37" i="4"/>
  <c r="E37" i="4"/>
  <c r="D37" i="4"/>
  <c r="C37" i="4"/>
  <c r="O36" i="4"/>
  <c r="M36" i="4"/>
  <c r="N36" i="4" s="1"/>
  <c r="K36" i="4"/>
  <c r="H36" i="4"/>
  <c r="G36" i="4"/>
  <c r="F36" i="4"/>
  <c r="E36" i="4"/>
  <c r="D36" i="4"/>
  <c r="C36" i="4"/>
  <c r="O35" i="4"/>
  <c r="M35" i="4"/>
  <c r="N35" i="4" s="1"/>
  <c r="K35" i="4"/>
  <c r="H35" i="4"/>
  <c r="G35" i="4"/>
  <c r="F35" i="4"/>
  <c r="E35" i="4"/>
  <c r="D35" i="4"/>
  <c r="C35" i="4"/>
  <c r="O34" i="4"/>
  <c r="M34" i="4"/>
  <c r="N34" i="4" s="1"/>
  <c r="K34" i="4"/>
  <c r="H34" i="4"/>
  <c r="G34" i="4"/>
  <c r="F34" i="4"/>
  <c r="E34" i="4"/>
  <c r="D34" i="4"/>
  <c r="C34" i="4"/>
  <c r="O33" i="4"/>
  <c r="M33" i="4"/>
  <c r="N33" i="4" s="1"/>
  <c r="K33" i="4"/>
  <c r="H33" i="4"/>
  <c r="G33" i="4"/>
  <c r="F33" i="4"/>
  <c r="E33" i="4"/>
  <c r="D33" i="4"/>
  <c r="C33" i="4"/>
  <c r="O32" i="4"/>
  <c r="M32" i="4"/>
  <c r="N32" i="4" s="1"/>
  <c r="K32" i="4"/>
  <c r="H32" i="4"/>
  <c r="G32" i="4"/>
  <c r="F32" i="4"/>
  <c r="E32" i="4"/>
  <c r="D32" i="4"/>
  <c r="C32" i="4"/>
  <c r="O31" i="4"/>
  <c r="M31" i="4"/>
  <c r="N31" i="4" s="1"/>
  <c r="K31" i="4"/>
  <c r="H31" i="4"/>
  <c r="G31" i="4"/>
  <c r="F31" i="4"/>
  <c r="E31" i="4"/>
  <c r="D31" i="4"/>
  <c r="C31" i="4"/>
  <c r="O30" i="4"/>
  <c r="M30" i="4"/>
  <c r="N30" i="4" s="1"/>
  <c r="K30" i="4"/>
  <c r="H30" i="4"/>
  <c r="G30" i="4"/>
  <c r="F30" i="4"/>
  <c r="E30" i="4"/>
  <c r="D30" i="4"/>
  <c r="C30" i="4"/>
  <c r="O29" i="4"/>
  <c r="M29" i="4"/>
  <c r="N29" i="4" s="1"/>
  <c r="K29" i="4"/>
  <c r="H29" i="4"/>
  <c r="G29" i="4"/>
  <c r="F29" i="4"/>
  <c r="E29" i="4"/>
  <c r="D29" i="4"/>
  <c r="C29" i="4"/>
  <c r="O28" i="4"/>
  <c r="M28" i="4"/>
  <c r="N28" i="4" s="1"/>
  <c r="K28" i="4"/>
  <c r="H28" i="4"/>
  <c r="G28" i="4"/>
  <c r="F28" i="4"/>
  <c r="E28" i="4"/>
  <c r="D28" i="4"/>
  <c r="C28" i="4"/>
  <c r="O27" i="4"/>
  <c r="M27" i="4"/>
  <c r="N27" i="4" s="1"/>
  <c r="K27" i="4"/>
  <c r="H27" i="4"/>
  <c r="G27" i="4"/>
  <c r="F27" i="4"/>
  <c r="E27" i="4"/>
  <c r="D27" i="4"/>
  <c r="C27" i="4"/>
  <c r="O26" i="4"/>
  <c r="M26" i="4"/>
  <c r="N26" i="4" s="1"/>
  <c r="K26" i="4"/>
  <c r="H26" i="4"/>
  <c r="G26" i="4"/>
  <c r="F26" i="4"/>
  <c r="E26" i="4"/>
  <c r="D26" i="4"/>
  <c r="C26" i="4"/>
  <c r="O25" i="4"/>
  <c r="M25" i="4"/>
  <c r="N25" i="4" s="1"/>
  <c r="K25" i="4"/>
  <c r="H25" i="4"/>
  <c r="G25" i="4"/>
  <c r="F25" i="4"/>
  <c r="E25" i="4"/>
  <c r="D25" i="4"/>
  <c r="C25" i="4"/>
  <c r="O24" i="4"/>
  <c r="M24" i="4"/>
  <c r="N24" i="4" s="1"/>
  <c r="K24" i="4"/>
  <c r="H24" i="4"/>
  <c r="G24" i="4"/>
  <c r="F24" i="4"/>
  <c r="E24" i="4"/>
  <c r="D24" i="4"/>
  <c r="C24" i="4"/>
  <c r="O23" i="4"/>
  <c r="M23" i="4"/>
  <c r="N23" i="4" s="1"/>
  <c r="K23" i="4"/>
  <c r="H23" i="4"/>
  <c r="G23" i="4"/>
  <c r="F23" i="4"/>
  <c r="E23" i="4"/>
  <c r="D23" i="4"/>
  <c r="C23" i="4"/>
  <c r="O22" i="4"/>
  <c r="M22" i="4"/>
  <c r="N22" i="4" s="1"/>
  <c r="K22" i="4"/>
  <c r="H22" i="4"/>
  <c r="G22" i="4"/>
  <c r="F22" i="4"/>
  <c r="E22" i="4"/>
  <c r="D22" i="4"/>
  <c r="C22" i="4"/>
  <c r="O21" i="4"/>
  <c r="M21" i="4"/>
  <c r="N21" i="4" s="1"/>
  <c r="K21" i="4"/>
  <c r="H21" i="4"/>
  <c r="G21" i="4"/>
  <c r="F21" i="4"/>
  <c r="E21" i="4"/>
  <c r="D21" i="4"/>
  <c r="C21" i="4"/>
  <c r="O20" i="4"/>
  <c r="M20" i="4"/>
  <c r="N20" i="4" s="1"/>
  <c r="K20" i="4"/>
  <c r="H20" i="4"/>
  <c r="G20" i="4"/>
  <c r="F20" i="4"/>
  <c r="E20" i="4"/>
  <c r="D20" i="4"/>
  <c r="C20" i="4"/>
  <c r="O19" i="4"/>
  <c r="M19" i="4"/>
  <c r="N19" i="4" s="1"/>
  <c r="K19" i="4"/>
  <c r="H19" i="4"/>
  <c r="G19" i="4"/>
  <c r="F19" i="4"/>
  <c r="E19" i="4"/>
  <c r="D19" i="4"/>
  <c r="C19" i="4"/>
  <c r="O18" i="4"/>
  <c r="M18" i="4"/>
  <c r="N18" i="4" s="1"/>
  <c r="K18" i="4"/>
  <c r="H18" i="4"/>
  <c r="G18" i="4"/>
  <c r="F18" i="4"/>
  <c r="E18" i="4"/>
  <c r="D18" i="4"/>
  <c r="C18" i="4"/>
  <c r="O17" i="4"/>
  <c r="M17" i="4"/>
  <c r="N17" i="4" s="1"/>
  <c r="K17" i="4"/>
  <c r="H17" i="4"/>
  <c r="G17" i="4"/>
  <c r="F17" i="4"/>
  <c r="E17" i="4"/>
  <c r="D17" i="4"/>
  <c r="C17" i="4"/>
  <c r="O16" i="4"/>
  <c r="M16" i="4"/>
  <c r="N16" i="4" s="1"/>
  <c r="K16" i="4"/>
  <c r="H16" i="4"/>
  <c r="G16" i="4"/>
  <c r="F16" i="4"/>
  <c r="E16" i="4"/>
  <c r="D16" i="4"/>
  <c r="C16" i="4"/>
  <c r="O15" i="4"/>
  <c r="M15" i="4"/>
  <c r="N15" i="4" s="1"/>
  <c r="K15" i="4"/>
  <c r="H15" i="4"/>
  <c r="G15" i="4"/>
  <c r="F15" i="4"/>
  <c r="E15" i="4"/>
  <c r="D15" i="4"/>
  <c r="C15" i="4"/>
  <c r="O14" i="4"/>
  <c r="M14" i="4"/>
  <c r="N14" i="4" s="1"/>
  <c r="K14" i="4"/>
  <c r="H14" i="4"/>
  <c r="G14" i="4"/>
  <c r="F14" i="4"/>
  <c r="E14" i="4"/>
  <c r="D14" i="4"/>
  <c r="C14" i="4"/>
  <c r="O13" i="4"/>
  <c r="M13" i="4"/>
  <c r="N13" i="4" s="1"/>
  <c r="K13" i="4"/>
  <c r="H13" i="4"/>
  <c r="G13" i="4"/>
  <c r="F13" i="4"/>
  <c r="E13" i="4"/>
  <c r="D13" i="4"/>
  <c r="C13" i="4"/>
  <c r="O12" i="4"/>
  <c r="M12" i="4"/>
  <c r="N12" i="4" s="1"/>
  <c r="K12" i="4"/>
  <c r="H12" i="4"/>
  <c r="G12" i="4"/>
  <c r="F12" i="4"/>
  <c r="E12" i="4"/>
  <c r="D12" i="4"/>
  <c r="C12" i="4"/>
  <c r="O11" i="4"/>
  <c r="M11" i="4"/>
  <c r="N11" i="4" s="1"/>
  <c r="K11" i="4"/>
  <c r="H11" i="4"/>
  <c r="G11" i="4"/>
  <c r="F11" i="4"/>
  <c r="E11" i="4"/>
  <c r="D11" i="4"/>
  <c r="C11" i="4"/>
  <c r="O10" i="4"/>
  <c r="M10" i="4"/>
  <c r="N10" i="4" s="1"/>
  <c r="K10" i="4"/>
  <c r="H10" i="4"/>
  <c r="G10" i="4"/>
  <c r="F10" i="4"/>
  <c r="E10" i="4"/>
  <c r="D10" i="4"/>
  <c r="C10" i="4"/>
  <c r="O9" i="4"/>
  <c r="M9" i="4"/>
  <c r="N9" i="4" s="1"/>
  <c r="K9" i="4"/>
  <c r="H9" i="4"/>
  <c r="G9" i="4"/>
  <c r="F9" i="4"/>
  <c r="E9" i="4"/>
  <c r="D9" i="4"/>
  <c r="C9" i="4"/>
  <c r="O8" i="4"/>
  <c r="M8" i="4"/>
  <c r="N8" i="4" s="1"/>
  <c r="K8" i="4"/>
  <c r="H8" i="4"/>
  <c r="G8" i="4"/>
  <c r="F8" i="4"/>
  <c r="E8" i="4"/>
  <c r="D8" i="4"/>
  <c r="C8" i="4"/>
  <c r="O7" i="4"/>
  <c r="M7" i="4"/>
  <c r="N7" i="4" s="1"/>
  <c r="K7" i="4"/>
  <c r="H7" i="4"/>
  <c r="G7" i="4"/>
  <c r="F7" i="4"/>
  <c r="E7" i="4"/>
  <c r="D7" i="4"/>
  <c r="C7" i="4"/>
  <c r="O6" i="4"/>
  <c r="M6" i="4"/>
  <c r="N6" i="4" s="1"/>
  <c r="K6" i="4"/>
  <c r="H6" i="4"/>
  <c r="G6" i="4"/>
  <c r="F6" i="4"/>
  <c r="E6" i="4"/>
  <c r="D6" i="4"/>
  <c r="C6" i="4"/>
  <c r="O5" i="4"/>
  <c r="M5" i="4"/>
  <c r="N5" i="4" s="1"/>
  <c r="K5" i="4"/>
  <c r="H5" i="4"/>
  <c r="G5" i="4"/>
  <c r="F5" i="4"/>
  <c r="E5" i="4"/>
  <c r="D5" i="4"/>
  <c r="C5" i="4"/>
  <c r="O4" i="4"/>
  <c r="M4" i="4"/>
  <c r="N4" i="4" s="1"/>
  <c r="K4" i="4"/>
  <c r="H4" i="4"/>
  <c r="G4" i="4"/>
  <c r="F4" i="4"/>
  <c r="E4" i="4"/>
  <c r="D4" i="4"/>
  <c r="C4" i="4"/>
  <c r="O3" i="4"/>
  <c r="M3" i="4"/>
  <c r="N3" i="4" s="1"/>
  <c r="K3" i="4"/>
  <c r="H3" i="4"/>
  <c r="G3" i="4"/>
  <c r="F3" i="4"/>
  <c r="E3" i="4"/>
  <c r="D3" i="4"/>
  <c r="C3" i="4"/>
  <c r="O2" i="4"/>
  <c r="M2" i="4"/>
  <c r="N2" i="4" s="1"/>
  <c r="K2" i="4"/>
  <c r="H2" i="4"/>
  <c r="G2" i="4"/>
  <c r="F2" i="4"/>
  <c r="E2" i="4"/>
  <c r="D2" i="4"/>
  <c r="C2" i="4"/>
  <c r="J144" i="4" l="1"/>
  <c r="I144" i="4"/>
  <c r="J143" i="4"/>
  <c r="I143" i="4"/>
  <c r="J137" i="4"/>
  <c r="I137" i="4"/>
  <c r="J138" i="4"/>
  <c r="I138" i="4"/>
  <c r="J139" i="4"/>
  <c r="I139" i="4"/>
  <c r="J141" i="4"/>
  <c r="I141" i="4"/>
  <c r="J142" i="4"/>
  <c r="I142" i="4"/>
  <c r="J2" i="4"/>
  <c r="I2" i="4"/>
  <c r="J3" i="4"/>
  <c r="I3" i="4"/>
  <c r="J4" i="4"/>
  <c r="I4" i="4"/>
  <c r="J5" i="4"/>
  <c r="I5" i="4"/>
  <c r="J6" i="4"/>
  <c r="I6" i="4"/>
  <c r="J7" i="4"/>
  <c r="I7" i="4"/>
  <c r="J8" i="4"/>
  <c r="I8" i="4"/>
  <c r="J9" i="4"/>
  <c r="I9" i="4"/>
  <c r="J10" i="4"/>
  <c r="I10" i="4"/>
  <c r="J11" i="4"/>
  <c r="I11" i="4"/>
  <c r="J12" i="4"/>
  <c r="I12" i="4"/>
  <c r="J13" i="4"/>
  <c r="I13" i="4"/>
  <c r="J14" i="4"/>
  <c r="I14" i="4"/>
  <c r="J15" i="4"/>
  <c r="I15" i="4"/>
  <c r="J16" i="4"/>
  <c r="I16" i="4"/>
  <c r="J17" i="4"/>
  <c r="I17" i="4"/>
  <c r="J18" i="4"/>
  <c r="I18" i="4"/>
  <c r="J19" i="4"/>
  <c r="I19" i="4"/>
  <c r="J20" i="4"/>
  <c r="I20" i="4"/>
  <c r="J21" i="4"/>
  <c r="I21" i="4"/>
  <c r="J22" i="4"/>
  <c r="I22" i="4"/>
  <c r="J23" i="4"/>
  <c r="I23" i="4"/>
  <c r="J24" i="4"/>
  <c r="I24" i="4"/>
  <c r="J25" i="4"/>
  <c r="I25" i="4"/>
  <c r="J26" i="4"/>
  <c r="I26" i="4"/>
  <c r="J27" i="4"/>
  <c r="I27" i="4"/>
  <c r="J28" i="4"/>
  <c r="I28" i="4"/>
  <c r="J29" i="4"/>
  <c r="I29" i="4"/>
  <c r="J30" i="4"/>
  <c r="I30" i="4"/>
  <c r="J31" i="4"/>
  <c r="I31" i="4"/>
  <c r="J32" i="4"/>
  <c r="I32" i="4"/>
  <c r="J33" i="4"/>
  <c r="I33" i="4"/>
  <c r="J34" i="4"/>
  <c r="I34" i="4"/>
  <c r="J35" i="4"/>
  <c r="I35" i="4"/>
  <c r="J36" i="4"/>
  <c r="I36" i="4"/>
  <c r="J37" i="4"/>
  <c r="I37" i="4"/>
  <c r="J38" i="4"/>
  <c r="I38" i="4"/>
  <c r="J39" i="4"/>
  <c r="I39" i="4"/>
  <c r="J40" i="4"/>
  <c r="I40" i="4"/>
  <c r="J41" i="4"/>
  <c r="I41" i="4"/>
  <c r="J42" i="4"/>
  <c r="I42" i="4"/>
  <c r="J43" i="4"/>
  <c r="I43" i="4"/>
  <c r="J44" i="4"/>
  <c r="I44" i="4"/>
  <c r="J45" i="4"/>
  <c r="I45" i="4"/>
  <c r="J46" i="4"/>
  <c r="I46" i="4"/>
  <c r="J47" i="4"/>
  <c r="I47" i="4"/>
  <c r="J48" i="4"/>
  <c r="I48" i="4"/>
  <c r="J49" i="4"/>
  <c r="I49" i="4"/>
  <c r="J50" i="4"/>
  <c r="I50" i="4"/>
  <c r="J51" i="4"/>
  <c r="I51" i="4"/>
  <c r="J52" i="4"/>
  <c r="I52" i="4"/>
  <c r="J53" i="4"/>
  <c r="I53" i="4"/>
  <c r="J54" i="4"/>
  <c r="I54" i="4"/>
  <c r="J55" i="4"/>
  <c r="I55" i="4"/>
  <c r="J56" i="4"/>
  <c r="I56" i="4"/>
  <c r="J57" i="4"/>
  <c r="I57" i="4"/>
  <c r="J58" i="4"/>
  <c r="I58" i="4"/>
  <c r="J59" i="4"/>
  <c r="I59" i="4"/>
  <c r="J60" i="4"/>
  <c r="I60" i="4"/>
  <c r="J61" i="4"/>
  <c r="I61" i="4"/>
  <c r="J62" i="4"/>
  <c r="I62" i="4"/>
  <c r="J63" i="4"/>
  <c r="I63" i="4"/>
  <c r="J64" i="4"/>
  <c r="I64" i="4"/>
  <c r="J65" i="4"/>
  <c r="I65" i="4"/>
  <c r="J66" i="4"/>
  <c r="I66" i="4"/>
  <c r="J67" i="4"/>
  <c r="I67" i="4"/>
  <c r="J68" i="4"/>
  <c r="I68" i="4"/>
  <c r="J69" i="4"/>
  <c r="I69" i="4"/>
  <c r="J70" i="4"/>
  <c r="I70" i="4"/>
  <c r="J71" i="4"/>
  <c r="I71" i="4"/>
  <c r="J72" i="4"/>
  <c r="I72" i="4"/>
  <c r="J73" i="4"/>
  <c r="I73" i="4"/>
  <c r="J74" i="4"/>
  <c r="I74" i="4"/>
  <c r="J75" i="4"/>
  <c r="I75" i="4"/>
  <c r="J76" i="4"/>
  <c r="I76" i="4"/>
  <c r="J77" i="4"/>
  <c r="I77" i="4"/>
  <c r="J78" i="4"/>
  <c r="I78" i="4"/>
  <c r="J79" i="4"/>
  <c r="I79" i="4"/>
  <c r="J80" i="4"/>
  <c r="I80" i="4"/>
  <c r="J81" i="4"/>
  <c r="I81" i="4"/>
  <c r="J82" i="4"/>
  <c r="I82" i="4"/>
  <c r="J83" i="4"/>
  <c r="I83" i="4"/>
  <c r="J84" i="4"/>
  <c r="I84" i="4"/>
  <c r="J85" i="4"/>
  <c r="I85" i="4"/>
  <c r="J86" i="4"/>
  <c r="I86" i="4"/>
  <c r="J87" i="4"/>
  <c r="I87" i="4"/>
  <c r="J88" i="4"/>
  <c r="I88" i="4"/>
  <c r="J89" i="4"/>
  <c r="I89" i="4"/>
  <c r="J90" i="4"/>
  <c r="I90" i="4"/>
  <c r="J91" i="4"/>
  <c r="I91" i="4"/>
  <c r="J92" i="4"/>
  <c r="I92" i="4"/>
  <c r="J93" i="4"/>
  <c r="I93" i="4"/>
  <c r="J94" i="4"/>
  <c r="I94" i="4"/>
  <c r="J95" i="4"/>
  <c r="I95" i="4"/>
  <c r="J96" i="4"/>
  <c r="I96" i="4"/>
  <c r="J97" i="4"/>
  <c r="I97" i="4"/>
  <c r="J98" i="4"/>
  <c r="I98" i="4"/>
  <c r="J99" i="4"/>
  <c r="I99" i="4"/>
  <c r="J100" i="4"/>
  <c r="I100" i="4"/>
  <c r="J101" i="4"/>
  <c r="I101" i="4"/>
  <c r="J102" i="4"/>
  <c r="I102" i="4"/>
  <c r="J103" i="4"/>
  <c r="I103" i="4"/>
  <c r="J104" i="4"/>
  <c r="I104" i="4"/>
  <c r="J105" i="4"/>
  <c r="I105" i="4"/>
  <c r="J106" i="4"/>
  <c r="I106" i="4"/>
  <c r="J107" i="4"/>
  <c r="I107" i="4"/>
  <c r="J108" i="4"/>
  <c r="I108" i="4"/>
  <c r="J109" i="4"/>
  <c r="I109" i="4"/>
  <c r="J110" i="4"/>
  <c r="I110" i="4"/>
  <c r="J111" i="4"/>
  <c r="I111" i="4"/>
  <c r="J112" i="4"/>
  <c r="I112" i="4"/>
  <c r="J113" i="4"/>
  <c r="I113" i="4"/>
  <c r="J114" i="4"/>
  <c r="I114" i="4"/>
  <c r="J115" i="4"/>
  <c r="I115" i="4"/>
  <c r="J116" i="4"/>
  <c r="I116" i="4"/>
  <c r="J117" i="4"/>
  <c r="I117" i="4"/>
  <c r="J118" i="4"/>
  <c r="I118" i="4"/>
  <c r="J119" i="4"/>
  <c r="I119" i="4"/>
  <c r="J120" i="4"/>
  <c r="I120" i="4"/>
  <c r="J121" i="4"/>
  <c r="I121" i="4"/>
  <c r="J122" i="4"/>
  <c r="I122" i="4"/>
  <c r="J123" i="4"/>
  <c r="I123" i="4"/>
  <c r="J124" i="4"/>
  <c r="I124" i="4"/>
  <c r="J125" i="4"/>
  <c r="I125" i="4"/>
  <c r="J126" i="4"/>
  <c r="I126" i="4"/>
  <c r="J127" i="4"/>
  <c r="I127" i="4"/>
  <c r="J128" i="4"/>
  <c r="I128" i="4"/>
  <c r="J129" i="4"/>
  <c r="I129" i="4"/>
  <c r="J130" i="4"/>
  <c r="I130" i="4"/>
  <c r="J131" i="4"/>
  <c r="I131" i="4"/>
  <c r="J132" i="4"/>
  <c r="I132" i="4"/>
  <c r="J133" i="4"/>
  <c r="I133" i="4"/>
  <c r="J134" i="4"/>
  <c r="I134" i="4"/>
  <c r="J135" i="4"/>
  <c r="I135" i="4"/>
  <c r="J136" i="4"/>
  <c r="I136" i="4"/>
  <c r="J140" i="4"/>
  <c r="I140"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<sst xmlns="http://schemas.openxmlformats.org/spreadsheetml/2006/main" count="32124" uniqueCount="9028">
  <si>
    <t>DatabaseId</t>
  </si>
  <si>
    <t>RobotId</t>
  </si>
  <si>
    <t>DisplayName</t>
  </si>
  <si>
    <t>TreatmentId</t>
  </si>
  <si>
    <t>FinishStatus</t>
  </si>
  <si>
    <t>Date</t>
  </si>
  <si>
    <t>StartTime</t>
  </si>
  <si>
    <t>ErrorTime</t>
  </si>
  <si>
    <t>EndTime</t>
  </si>
  <si>
    <t>MapId</t>
  </si>
  <si>
    <t>Result</t>
  </si>
  <si>
    <t>FailedPath</t>
  </si>
  <si>
    <t>Dribble URL</t>
  </si>
  <si>
    <t>Elastic URL</t>
  </si>
  <si>
    <t>Error code</t>
  </si>
  <si>
    <t>Problem Id</t>
  </si>
  <si>
    <t>Treatment found</t>
  </si>
  <si>
    <t>Notes</t>
  </si>
  <si>
    <t>f7620a9a-8788-44b0-9b0f-1fe1af17c34e</t>
  </si>
  <si>
    <t>01088F23F1</t>
  </si>
  <si>
    <t>LumionFix A5.1</t>
  </si>
  <si>
    <t>612cab5d-3467-4308-a4b7-76fdc2b421a4</t>
  </si>
  <si>
    <t>stopped</t>
  </si>
  <si>
    <t>Recovery</t>
  </si>
  <si>
    <t>Elastic</t>
  </si>
  <si>
    <t>0x1040105</t>
  </si>
  <si>
    <t>8-3-0-0: investigate - raildetection</t>
  </si>
  <si>
    <t>From log</t>
  </si>
  <si>
    <t>d38619be-08e1-4e4d-b91d-75543b2dfd50</t>
  </si>
  <si>
    <t>LumionFix 024</t>
  </si>
  <si>
    <t>0x1040102</t>
  </si>
  <si>
    <t>8-4-0-0: investigate - inductive sensor</t>
  </si>
  <si>
    <t>e87b647b-575c-44b0-9818-3664b797f2e6</t>
  </si>
  <si>
    <t>Fatal</t>
  </si>
  <si>
    <t>03965871-66ad-4e0f-8692-28b0a095a2bc</t>
  </si>
  <si>
    <t>0108C1AD16</t>
  </si>
  <si>
    <t>9ffe7f4b-3f9c-4cc6-beb6-316ab069e995</t>
  </si>
  <si>
    <t>failed</t>
  </si>
  <si>
    <t>right_3811</t>
  </si>
  <si>
    <t>0x1070001</t>
  </si>
  <si>
    <t>battery level critically low</t>
  </si>
  <si>
    <t>8a4714b7-8ba2-4f19-a4df-b061bcc66be8</t>
  </si>
  <si>
    <t>LumionFix A5.3</t>
  </si>
  <si>
    <t>bb4732e9-3e3a-4848-b63d-5349e7871572</t>
  </si>
  <si>
    <t>bb22ea56-35c5-4d17-9f39-24bd85127ecb</t>
  </si>
  <si>
    <t>left_lane3726</t>
  </si>
  <si>
    <t>aca94558-c807-4d20-b8a8-eb1ac90a823d</t>
  </si>
  <si>
    <t>LumionFix A5.2</t>
  </si>
  <si>
    <t>2d046aba-41b3-4d25-9166-cd57c4594628</t>
  </si>
  <si>
    <t>right_3735</t>
  </si>
  <si>
    <t>45f03c2f-810b-412b-ae9f-a0f3be8c9523</t>
  </si>
  <si>
    <t>5234bbd9-05ac-4e44-93e6-2290371576b7</t>
  </si>
  <si>
    <t>left_lane3562</t>
  </si>
  <si>
    <t>8-0-0-0: investigate - third line - unknown cause</t>
  </si>
  <si>
    <t>0e197814-954c-439a-89c1-a274f62b4381</t>
  </si>
  <si>
    <t>f208feab-73dc-4a8a-b63e-878156a8e6b3</t>
  </si>
  <si>
    <t>right_3533</t>
  </si>
  <si>
    <t>24474d47-f03c-4e66-820f-e746c5f022b8</t>
  </si>
  <si>
    <t>LumionFix A5.5</t>
  </si>
  <si>
    <t>61593c3e-21ee-4a9e-bfdd-b9f484885e8c</t>
  </si>
  <si>
    <t>left_lane3716</t>
  </si>
  <si>
    <t>0x1040103</t>
  </si>
  <si>
    <t xml:space="preserve">3-1-8-0: driving while on rails - eol_wall - stopped to soon - </t>
  </si>
  <si>
    <t>06f6872c-b3b6-4f47-a83e-39e733bbb8de</t>
  </si>
  <si>
    <t>f58c6f39-f2c2-4352-acbf-8520805635fd</t>
  </si>
  <si>
    <t>right_3659</t>
  </si>
  <si>
    <t>0aff9435-84ff-4f73-8981-8e0ab0194a34</t>
  </si>
  <si>
    <t>15cac06c-42d3-4d76-aeb1-84b897fce817</t>
  </si>
  <si>
    <t>1b0588bd-29bf-49d2-8c40-8f814e735a28</t>
  </si>
  <si>
    <t>7e68199d-3836-49cd-a843-f507c6ca3b2d</t>
  </si>
  <si>
    <t>4fac7a0c-6a34-43b0-aa0a-d7c29ab2b767</t>
  </si>
  <si>
    <t>LumionFix A5.4</t>
  </si>
  <si>
    <t>774b4522-2c62-41b2-ab8c-90f75e70eabb</t>
  </si>
  <si>
    <t>402df8c2-c6b3-4ffd-93eb-08164bab1590</t>
  </si>
  <si>
    <t>left_lane3748</t>
  </si>
  <si>
    <t>96bf7a4a-8a17-4ac5-b370-20ec8f2e3d95</t>
  </si>
  <si>
    <t>4d0acab1-c881-4bbe-b46c-b5dacad8d9ee</t>
  </si>
  <si>
    <t>right_3611</t>
  </si>
  <si>
    <t>By approach</t>
  </si>
  <si>
    <t>2cd50b9f-bd52-4056-bb43-3cc3a13e78f3</t>
  </si>
  <si>
    <t>0x1060002</t>
  </si>
  <si>
    <t>2-2-1-1: getting onto rails - Fell off rails - invalid rail detection measurements - camera calibration</t>
  </si>
  <si>
    <t>da07d50c-0386-4a4c-9a9c-5259c27981fe</t>
  </si>
  <si>
    <t>04b5b5b1-12a6-4c7d-843b-2ffdd073b709</t>
  </si>
  <si>
    <t>right_3677</t>
  </si>
  <si>
    <t>2178bd22-acc4-4b79-8701-6e8e1ef96e30</t>
  </si>
  <si>
    <t>LumionFix A5.6</t>
  </si>
  <si>
    <t>2bf80b45-4cbf-40c3-ba9e-da04c17c8c71</t>
  </si>
  <si>
    <t>right_3757</t>
  </si>
  <si>
    <t xml:space="preserve">8-2-0-0: investigate - EOL_wall -  - </t>
  </si>
  <si>
    <t>c8e1d79b-a2a8-4a95-b3d5-6861f69f4e43</t>
  </si>
  <si>
    <t>0x1040001</t>
  </si>
  <si>
    <t>3-2-7-0: driving while on rails - eol_open - Stopped to soon</t>
  </si>
  <si>
    <t>6a91fa53-128f-47da-9df9-66203d57b502</t>
  </si>
  <si>
    <t>093fb7a7-86e6-4ca1-8880-1424f7205944</t>
  </si>
  <si>
    <t>dfbef9a9-ebdd-4664-a57b-c608b4fb9bc5</t>
  </si>
  <si>
    <t>b76ddea7-5360-4ebf-a78f-9da24214c258</t>
  </si>
  <si>
    <t>92ef0173-b269-4e12-8a93-b7d4d9183251</t>
  </si>
  <si>
    <t>right_3749</t>
  </si>
  <si>
    <t>9-1-0-0: Various - Invalid recovery</t>
  </si>
  <si>
    <t>ddfcc3d3-11aa-45ad-9494-2964b8684616</t>
  </si>
  <si>
    <t>4a2a64be-eae6-44c0-9268-baf5f7625b46</t>
  </si>
  <si>
    <t>right_3761</t>
  </si>
  <si>
    <t>1-1-1-0: Starting mission - safetytrigger - forgot blue reset button</t>
  </si>
  <si>
    <t>e6ddbddc-f2b5-4ab0-a7ac-a79c090374df</t>
  </si>
  <si>
    <t>88dbd144-15fb-4b9b-8a5c-0ec543d7c0c4</t>
  </si>
  <si>
    <t>right_3743</t>
  </si>
  <si>
    <t>0x1040104</t>
  </si>
  <si>
    <t xml:space="preserve">8-1-0-0: investigate - EOL_open -  - </t>
  </si>
  <si>
    <t>62ddd63e-5637-464e-a085-e69c57732339</t>
  </si>
  <si>
    <t>9ffedef1-f025-4484-84d2-6c015b907d28</t>
  </si>
  <si>
    <t>right_3695</t>
  </si>
  <si>
    <t>3-2-6-0: driving while on rails - eol_open - Drive too far</t>
  </si>
  <si>
    <t>e336a8b4-07ad-40f7-b3b0-9f0d865ecbc6</t>
  </si>
  <si>
    <t>24cff780-3cc6-498b-bd9c-c432b5ae5d8a</t>
  </si>
  <si>
    <t>right_3517</t>
  </si>
  <si>
    <t>2caf6c90-815d-4058-87b5-7c093574952d</t>
  </si>
  <si>
    <t>027824c8-de48-4d7b-95c5-622104d53070</t>
  </si>
  <si>
    <t>862c1163-e961-4d8f-8369-8b4eb9b444ec</t>
  </si>
  <si>
    <t>a3864493-e4b4-4719-8af4-3f3be7421246</t>
  </si>
  <si>
    <t>right_3009</t>
  </si>
  <si>
    <t>917389e3-e8e0-4bd8-94f4-6bca423b7f75</t>
  </si>
  <si>
    <t>right_3541</t>
  </si>
  <si>
    <t>0x1060009</t>
  </si>
  <si>
    <t>461e2039-6e9d-4fc3-8d7c-7e55ecc0e569</t>
  </si>
  <si>
    <t>e83f132f-9f37-4e19-91aa-d6ccd1b46a78</t>
  </si>
  <si>
    <t>right_3543</t>
  </si>
  <si>
    <t>3-1-7-0: driving while on rails - eol_wall - hit wall</t>
  </si>
  <si>
    <t>531cf508-8419-41df-bc9d-7b87ed763afd</t>
  </si>
  <si>
    <t>1dcd6f82-f841-4c5c-9e90-95ca051e4d90</t>
  </si>
  <si>
    <t>right_3589</t>
  </si>
  <si>
    <t>33d91ba2-8028-4529-a963-839d5e82f8cd</t>
  </si>
  <si>
    <t>cce61a48-3ee7-45ec-90c5-78d2f02bca4e</t>
  </si>
  <si>
    <t>d56cf962-2c76-428e-a72b-99199d446f16</t>
  </si>
  <si>
    <t>6662a00b-c5d3-49f5-8d8f-e2cd0a0c3c17</t>
  </si>
  <si>
    <t>right_3601</t>
  </si>
  <si>
    <t>0864d398-177b-4ebb-b147-fdda6a35ae13</t>
  </si>
  <si>
    <t>b8b4f771-a340-4157-9f6a-210051722e25</t>
  </si>
  <si>
    <t>left_lane3764</t>
  </si>
  <si>
    <t>0a9ee04e-90f6-458d-8380-3ced3e5d9527</t>
  </si>
  <si>
    <t>b771f960-5de9-477f-b3a6-a3d9bb682dc7</t>
  </si>
  <si>
    <t>d2638067-f4d0-4b9b-a3ff-d956a68f8b1b</t>
  </si>
  <si>
    <t>78a61324-9886-4ffb-8791-332721a172db</t>
  </si>
  <si>
    <t>96fd6cca-e387-4b25-8a2e-17d429c20991</t>
  </si>
  <si>
    <t>f2afad2b-a405-489d-90c4-ee76ec224b3d</t>
  </si>
  <si>
    <t>right_3799</t>
  </si>
  <si>
    <t>8486e948-3ee0-4089-8c7f-c9f0516cbb02</t>
  </si>
  <si>
    <t>d74b3425-fa7d-4652-b1e4-d52c1e2eda11</t>
  </si>
  <si>
    <t>right_3831</t>
  </si>
  <si>
    <t>5f2ef70f-5c77-4cd3-bb9e-49fe2c5264a6</t>
  </si>
  <si>
    <t>28125d97-b91f-4b1f-b681-298a952f11c4</t>
  </si>
  <si>
    <t>3-1-8-0: driving while on rails - eol_wall - stopped to soon</t>
  </si>
  <si>
    <t>b619cc2c-9fc4-42d4-98db-52b7f0aa05e4</t>
  </si>
  <si>
    <t>060944b2-d9e9-4e16-8674-f5f0f857c2f4</t>
  </si>
  <si>
    <t>right_3035</t>
  </si>
  <si>
    <t>8-2-0-0: investigate - EOL_wall</t>
  </si>
  <si>
    <t>8889378f-5495-452d-b794-56c2e0310ce5</t>
  </si>
  <si>
    <t>4ed2c279-4087-420b-8a5e-3c2dccbd38d2</t>
  </si>
  <si>
    <t>right_3147</t>
  </si>
  <si>
    <t>dcb067eb-12d8-4303-9f22-f35543f49b1f</t>
  </si>
  <si>
    <t>4e49066a-deac-4ef5-87c1-df0334c815d2</t>
  </si>
  <si>
    <t>right_3501</t>
  </si>
  <si>
    <t>5079d829-77dd-4022-9079-e2654c00ec98</t>
  </si>
  <si>
    <t>f44b954e-c407-4e53-b82a-5b77fd14ca26</t>
  </si>
  <si>
    <t>right_3731</t>
  </si>
  <si>
    <t>2b0353ea-6b67-42db-9143-fc72df15d869</t>
  </si>
  <si>
    <t>707bef14-4bb9-4534-bda4-390482889888</t>
  </si>
  <si>
    <t>0x1010103</t>
  </si>
  <si>
    <t>e0ed333b-7510-4f00-8e7e-6504c4eaad98</t>
  </si>
  <si>
    <t>252d79e6-a9ed-4cb1-847e-2dc1dd008fdf</t>
  </si>
  <si>
    <t>7919b85a-864e-4f79-a5d0-88b94ac09256</t>
  </si>
  <si>
    <t>0a6764ab-5ca2-4a7d-a5f5-60479be46f8b</t>
  </si>
  <si>
    <t>left_lane3226</t>
  </si>
  <si>
    <t>3-3-2-3: driving while on rails - Fell off rails - infrastructure - obstacle</t>
  </si>
  <si>
    <t>2e29812e-5077-4520-a42e-9912364a50d2</t>
  </si>
  <si>
    <t>5efe3137-2a68-413f-83fb-aa19d2c35a08</t>
  </si>
  <si>
    <t>left_lane3568</t>
  </si>
  <si>
    <t>0x106000b</t>
  </si>
  <si>
    <t>2-1-1-2: getting onto rails - unable to get on rails - slipping wheels - infrastructure</t>
  </si>
  <si>
    <t>634e8989-6d4c-4d32-a63a-99c3b557aad0</t>
  </si>
  <si>
    <t>6aec8422-ad43-467c-9b15-7e4c8ce8255d</t>
  </si>
  <si>
    <t>right_3711</t>
  </si>
  <si>
    <t>8-0-0-0: investigate - third line</t>
  </si>
  <si>
    <t>722cb8d3-dd06-468f-91e8-e64d280c4314</t>
  </si>
  <si>
    <t>8ba4f58f-0904-4a43-832a-fe44eaad4f90</t>
  </si>
  <si>
    <t>right_3727</t>
  </si>
  <si>
    <t>b5b3beaa-dfd3-4fa6-a8c7-b9e69c4229ab</t>
  </si>
  <si>
    <t>b2cbebda-5df1-42a0-a678-94879a5ce20e</t>
  </si>
  <si>
    <t>left_lane3722</t>
  </si>
  <si>
    <t>712fa123-7129-4c26-a18c-19d678e843e3</t>
  </si>
  <si>
    <t>5f917c77-3c66-4918-b2c2-c9a53b0bb4c8</t>
  </si>
  <si>
    <t>right_3573</t>
  </si>
  <si>
    <t>0x1060101</t>
  </si>
  <si>
    <t>7-1-6-0: independent of location - camera - no data received from back_right</t>
  </si>
  <si>
    <t>a1d6e675-e75c-41b2-b0ea-f2dc795d3cca</t>
  </si>
  <si>
    <t>a7e9993d-d4f0-4031-a375-8bc91a803032</t>
  </si>
  <si>
    <t>left_lane3604</t>
  </si>
  <si>
    <t>3-1-1-3: driving while on rails - eol_wall - stopped before wall was in range of cameras - diverged too far because of slipping</t>
  </si>
  <si>
    <t>7a2e9786-d154-47ac-85b7-88a12bd68516</t>
  </si>
  <si>
    <t>-</t>
  </si>
  <si>
    <t>0b9d28d6-0d8d-48e1-9b90-81f7c7041708</t>
  </si>
  <si>
    <t>4e2b29bb-9ded-44ec-96ee-a202345f1c70</t>
  </si>
  <si>
    <t>left_lane3646</t>
  </si>
  <si>
    <t>4ea29856-a74a-4f41-a76f-1094297a263c</t>
  </si>
  <si>
    <t>ec10c3f2-f0ad-46cf-8e79-be853878dc16</t>
  </si>
  <si>
    <t>left_lane3306</t>
  </si>
  <si>
    <t xml:space="preserve">7-3-1-0: independent of location - safetytrigger - obstacle - </t>
  </si>
  <si>
    <t>6e3df9c1-ca11-4779-b49a-c18e5e4fcfb2</t>
  </si>
  <si>
    <t>430eb13e-80f0-41fd-b902-258f0566fe02</t>
  </si>
  <si>
    <t>left_lane3630</t>
  </si>
  <si>
    <t xml:space="preserve">7-3-2-0: independent of location - safetytrigger - Person hit emergency button or bumper - </t>
  </si>
  <si>
    <t>e074d90c-eaf7-4e21-a2c8-33f430ce0427</t>
  </si>
  <si>
    <t>744c886a-0477-43e2-9cfd-118dd9821c66</t>
  </si>
  <si>
    <t>right_3155</t>
  </si>
  <si>
    <t>f38e4063-2f68-462b-8111-080673c647ae</t>
  </si>
  <si>
    <t>e67182ff-58bb-4b00-97fa-a1f27d00bee3</t>
  </si>
  <si>
    <t xml:space="preserve">9-4-0-0: Various - Testing -  - </t>
  </si>
  <si>
    <t>1e30e97e-a939-494e-b85d-53df1aa777fd</t>
  </si>
  <si>
    <t>8fccdecd-6621-4178-8620-0c8a0662774a</t>
  </si>
  <si>
    <t>4a11d69c-4375-44a0-8998-4dee928321b0</t>
  </si>
  <si>
    <t>784da27b-2402-4333-a372-c7cb0deb29c5</t>
  </si>
  <si>
    <t>7826c206-0529-4851-87e5-a3fc5c8b02b4</t>
  </si>
  <si>
    <t>8e90913d-63fd-4cf4-94fd-5a64c64c0c7d</t>
  </si>
  <si>
    <t>dae4dd58-a8de-4505-bf43-d56c6ac4e24c</t>
  </si>
  <si>
    <t>3a8ecf6a-57d8-43ab-b01a-b404671915eb</t>
  </si>
  <si>
    <t>69659ecc-3260-425c-9001-42b6776e3bf9</t>
  </si>
  <si>
    <t>c6f31cb3-72dc-4dcc-b477-f0ba3a4712af</t>
  </si>
  <si>
    <t>567432d5-c036-4aff-af97-5849bca480a9</t>
  </si>
  <si>
    <t>LumionFix 032</t>
  </si>
  <si>
    <t>bec95e06-2d3b-4fbc-a9ee-0096d35f3620</t>
  </si>
  <si>
    <t>17cd2657-d29b-4142-a1d7-e03b248757ff</t>
  </si>
  <si>
    <t>right_3157</t>
  </si>
  <si>
    <t>96999c74-85b1-439f-9119-e9039352e7ff</t>
  </si>
  <si>
    <t>c8daccf1-11b6-438e-8046-2410f6c8359f</t>
  </si>
  <si>
    <t>right_3171</t>
  </si>
  <si>
    <t>87bc15ad-cb50-448a-a403-c12c3ee8c387</t>
  </si>
  <si>
    <t>fd0ddb12-72f6-4fa1-a08d-899b154c8f2a</t>
  </si>
  <si>
    <t>a705e644-90cc-45ef-b50d-59e04495dd0c</t>
  </si>
  <si>
    <t xml:space="preserve">9-1-0-0: Various - Invalid recovery -  - </t>
  </si>
  <si>
    <t>9eb255f3-4694-4d48-8cbd-01d841138420</t>
  </si>
  <si>
    <t>right_3265</t>
  </si>
  <si>
    <t>2-2-2-1: getting onto rails - Fell off rails - infrastructure - bent rails</t>
  </si>
  <si>
    <t>b3ccbb42-4421-4b20-bbc0-b4fbbe531877</t>
  </si>
  <si>
    <t>f083e183-8fef-4d15-97f7-73d9d3d0ea10</t>
  </si>
  <si>
    <t>4e27362a-f706-4d0a-b6e7-39389bf25b29</t>
  </si>
  <si>
    <t>right_3207</t>
  </si>
  <si>
    <t>c697c21c-f7d6-400e-b044-801efaaaf97d</t>
  </si>
  <si>
    <t>71a62847-318d-4118-9649-c9d15a2897af</t>
  </si>
  <si>
    <t>left_lane3488</t>
  </si>
  <si>
    <t>12cda4d6-7837-4514-8007-1c9cffe4d737</t>
  </si>
  <si>
    <t>fd38230d-0564-4390-97db-95acc6a13123</t>
  </si>
  <si>
    <t>left_lane3186</t>
  </si>
  <si>
    <t>7-1-1-0: independent of location - camera - no data received from cams</t>
  </si>
  <si>
    <t>21eec462-963f-483c-a999-680ab6240cff</t>
  </si>
  <si>
    <t>d71e5034-0d6d-4008-91f0-8e35dcd8d805</t>
  </si>
  <si>
    <t>0c4cef0f-4be5-4212-9c91-bcba218be3d0</t>
  </si>
  <si>
    <t>9a9ae5cd-983d-48c5-a682-3a0edb7fe524</t>
  </si>
  <si>
    <t>ff208b44-bff9-4541-b440-b166bb9798d9</t>
  </si>
  <si>
    <t>cc5358e3-5513-4b1c-bdd8-c1eaa96b1646</t>
  </si>
  <si>
    <t>right_3117</t>
  </si>
  <si>
    <t>3-1-2-2: driving while on rails - eol_wall - wall in range of cameras, no measurements and stopped - camera calibration</t>
  </si>
  <si>
    <t>e4fc8641-a022-4935-a971-914c0c7726cb</t>
  </si>
  <si>
    <t>8ad62f5e-3d92-4c48-ae1a-985bc9ef4c7b</t>
  </si>
  <si>
    <t>right_3179</t>
  </si>
  <si>
    <t>1-1-2-0: Starting mission - safetytrigger - no rgb so unable to draw conclusion</t>
  </si>
  <si>
    <t>a899f7ed-ba58-4afb-a8fd-f52883ec2c18</t>
  </si>
  <si>
    <t>86f2f6f9-4c29-4c36-9301-27ab001a8b29</t>
  </si>
  <si>
    <t>643671ed-a8a4-46c4-b9fe-8c4bc9042d6b</t>
  </si>
  <si>
    <t>36a1dfb9-c27d-4159-9878-9e62455c2257</t>
  </si>
  <si>
    <t>157ee312-d8f3-4939-ab56-3bf629807140</t>
  </si>
  <si>
    <t>left_lane3202</t>
  </si>
  <si>
    <t>7-3-1-0: independent of location - safetytrigger - obstacle</t>
  </si>
  <si>
    <t>9fab8b2d-c5fe-43f0-8d30-690a6c391015</t>
  </si>
  <si>
    <t>OAG1XENLUM2204032</t>
  </si>
  <si>
    <t>a807a975-00a8-43be-801d-2054ad4c2e84</t>
  </si>
  <si>
    <t>right_block17_lane7</t>
  </si>
  <si>
    <t>6c461c75-f7e5-4593-a4d7-b1b21fe7eb65</t>
  </si>
  <si>
    <t>5db8569f-6ca7-49d4-87dd-6dc05e2fe876</t>
  </si>
  <si>
    <t>right_block25_lane3</t>
  </si>
  <si>
    <t>ec0ccf0d-e95d-4ca0-b263-c8425d4e49c0</t>
  </si>
  <si>
    <t>3f260ec3-32bc-4724-980a-106171575ef2</t>
  </si>
  <si>
    <t>1603406f-0dab-40f0-83c9-e38b82e87aef</t>
  </si>
  <si>
    <t>right_block25_lane4</t>
  </si>
  <si>
    <t>2-4-1-1: getting onto rails - collision - safetytrigger - infrastructure</t>
  </si>
  <si>
    <t>467af639-2264-436e-91e6-a84862c54a29</t>
  </si>
  <si>
    <t>53bb4fd1-1550-48aa-8f05-9268f34f0f4e</t>
  </si>
  <si>
    <t>left_block24_lane2</t>
  </si>
  <si>
    <t>0345b7f2-751f-4133-a1c2-e87e324bf97b</t>
  </si>
  <si>
    <t>a57babe7-df8a-4d52-9e88-ad9120579ec1</t>
  </si>
  <si>
    <t>left_block2_lane2</t>
  </si>
  <si>
    <t>3-3-4-3: driving while on rails - Fell off rails - obstacle - Infrastructure</t>
  </si>
  <si>
    <t>aa5bae68-a5c2-4d4c-9d4c-3769e27c7498</t>
  </si>
  <si>
    <t>db86888a-3de7-428d-a33e-3bb7a73b8809</t>
  </si>
  <si>
    <t>right_3007</t>
  </si>
  <si>
    <t>4569a49d-72f9-480d-949a-4116d16f9a37</t>
  </si>
  <si>
    <t>LumionFix 023</t>
  </si>
  <si>
    <t>343df7e4-8c5d-42c1-b1a9-5c8c020da66f</t>
  </si>
  <si>
    <t xml:space="preserve">3-2-6-0: driving while on rails - eol_open - Drive too far - </t>
  </si>
  <si>
    <t>8542f974-31ca-4b55-876f-14c2d58b5efa</t>
  </si>
  <si>
    <t>left_lane3278</t>
  </si>
  <si>
    <t>42020332-4898-4d84-9ba3-77f7c6fc4b79</t>
  </si>
  <si>
    <t>d7838348-6e69-4370-bd82-d238e8571fbf</t>
  </si>
  <si>
    <t>left_lane3276</t>
  </si>
  <si>
    <t>3863ec98-7acb-4755-ac86-20ced35403a1</t>
  </si>
  <si>
    <t>94fa43d2-2c4f-414e-994c-e5fd5c208056</t>
  </si>
  <si>
    <t>ceb9a9e8-a929-4a48-a794-77747341d639</t>
  </si>
  <si>
    <t>LumionFix A4.6</t>
  </si>
  <si>
    <t>5cbf76bd-8daa-4175-8eef-328067c4d761</t>
  </si>
  <si>
    <t>7d5b898b-2ec9-438a-896a-ec8d710bf2ae</t>
  </si>
  <si>
    <t>6fd66e03-5b83-404d-ac8a-c3966b821963</t>
  </si>
  <si>
    <t>97faf759-c83d-47fc-b2d4-c4ab2a3490c0</t>
  </si>
  <si>
    <t>left_lane3308</t>
  </si>
  <si>
    <t>e938471f-4e54-4525-8215-216faab21e23</t>
  </si>
  <si>
    <t>63e73a2e-1e3f-414e-9922-53da566035d8</t>
  </si>
  <si>
    <t xml:space="preserve">7-1-1-0: independent of location - camera - no data received from cams - </t>
  </si>
  <si>
    <t>e5643f33-3afb-4f6d-b3c3-cf409cf2c421</t>
  </si>
  <si>
    <t>right_3261</t>
  </si>
  <si>
    <t>7a141440-7718-4a5b-aa74-7361c339681e</t>
  </si>
  <si>
    <t>4038d258-0f00-49cb-b8da-346ce87b6534</t>
  </si>
  <si>
    <t>9fc27f53-f123-4285-83b7-99d1146f1ecf</t>
  </si>
  <si>
    <t>a08133f9-17f9-4685-8cd8-c77082e50325</t>
  </si>
  <si>
    <t>6a41364e-0c62-494b-9f30-3c212eb91104</t>
  </si>
  <si>
    <t>65eb0b84-743e-4cbf-911a-7d99fa82e61b</t>
  </si>
  <si>
    <t>df8e3026-232f-4058-9499-d085ff0c1eb9</t>
  </si>
  <si>
    <t>1bddb9ed-ed43-4150-818e-51c01a4a25ea</t>
  </si>
  <si>
    <t>50c0bb17-d657-46e0-9de3-c72d1361e953</t>
  </si>
  <si>
    <t>f7d7ca8f-9aca-49f0-8f7c-0066d071eef5</t>
  </si>
  <si>
    <t>ef5717ba-d8da-4c10-a26c-503da8be3ac7</t>
  </si>
  <si>
    <t>right_3263</t>
  </si>
  <si>
    <t>0f87d519-ff80-4ecc-b93d-2c589fb53e41</t>
  </si>
  <si>
    <t>0a31e86b-31d8-421f-a838-88df8f272ee5</t>
  </si>
  <si>
    <t>left_block14_lane7</t>
  </si>
  <si>
    <t>3-2-5-4: driving while on rails - eol_open - end of gutters in range of cameras, measurements and drove too far - current algoritm insufficient</t>
  </si>
  <si>
    <t>6e5f819e-9ed4-4252-af91-b78eafaf2df8</t>
  </si>
  <si>
    <t>704e29ea-a148-41d3-a781-e5dbc44b2537</t>
  </si>
  <si>
    <t>right_3531</t>
  </si>
  <si>
    <t>23dd2cd4-d919-4b65-b35f-a8f18babb882</t>
  </si>
  <si>
    <t>ffb83cdc-fdea-4692-b15e-87ec97b5ab95</t>
  </si>
  <si>
    <t>f221d0b4-a901-487d-8379-227b1fce9261</t>
  </si>
  <si>
    <t>28009ca8-fb00-438b-88e6-d3751e924339</t>
  </si>
  <si>
    <t>right_3539</t>
  </si>
  <si>
    <t>3295ff2c-dd94-4b52-a9d9-5cd2af5b0e81</t>
  </si>
  <si>
    <t>65d68098-531e-451d-8576-27e1e408a562</t>
  </si>
  <si>
    <t>right_3575</t>
  </si>
  <si>
    <t xml:space="preserve">3-2-7-0: driving while on rails - eol_open - Stopped to soon - </t>
  </si>
  <si>
    <t>e3f9e34c-a183-4846-8266-53b0e4584fa1</t>
  </si>
  <si>
    <t>f7c4f6f2-d6d1-4838-ab64-1ab3361379e1</t>
  </si>
  <si>
    <t>left_lane3758</t>
  </si>
  <si>
    <t>67a075d2-cbfe-4967-a145-17e5146dc66b</t>
  </si>
  <si>
    <t>46446112-ae2b-47f3-af7f-e2bc1e7c6de1</t>
  </si>
  <si>
    <t xml:space="preserve">9-2-0-0: Various - Demonstration -  - </t>
  </si>
  <si>
    <t>85da5a0c-7ab2-427f-8dfa-eee3a620847b</t>
  </si>
  <si>
    <t>8de62c9e-30a0-466f-a574-d5ffaf9f6cdf</t>
  </si>
  <si>
    <t>right_3427</t>
  </si>
  <si>
    <t>5-1-1-1: laneswitch - rail detection - invalid measurements - camera calibration</t>
  </si>
  <si>
    <t>2837d406-0c8e-49f6-a10d-0fa5eecf5eb6</t>
  </si>
  <si>
    <t>OAG1XENLUM2204029</t>
  </si>
  <si>
    <t>28050269-7630-4a2b-9c2b-cd73e8059272</t>
  </si>
  <si>
    <t>left_block14_lane8</t>
  </si>
  <si>
    <t xml:space="preserve">3-3-2-0: driving while on rails - Fell off rails - margin for wheels too small because of the design - </t>
  </si>
  <si>
    <t>3ada1a4c-82c6-49ab-8d15-d4b4231830ef</t>
  </si>
  <si>
    <t>b110e859-a833-48d5-8013-c9310aee00d7</t>
  </si>
  <si>
    <t>8a86a657-b8f8-413c-9c6d-ebf77eb98a83</t>
  </si>
  <si>
    <t>6d923a95-bdea-47f9-83d2-f0ebef2d515e</t>
  </si>
  <si>
    <t>7846f0ee-0476-45db-8e5c-b0660b1a12e8</t>
  </si>
  <si>
    <t>right_3415</t>
  </si>
  <si>
    <t>3320714b-9a36-47d6-b834-368f8f1a4c03</t>
  </si>
  <si>
    <t>fae98067-cde6-44df-a4b4-306cd7873ae7</t>
  </si>
  <si>
    <t>d42ca90e-a8eb-4205-8c65-7a2e7df9f5b0</t>
  </si>
  <si>
    <t>18be8578-fbf6-450f-9205-6cf00e205c6d</t>
  </si>
  <si>
    <t>0x1010102</t>
  </si>
  <si>
    <t>9ef56a0d-16cd-48ab-849a-970240a0238f</t>
  </si>
  <si>
    <t>69659bf1-1a8e-4685-b5dc-34cc28f67a99</t>
  </si>
  <si>
    <t>right_3395</t>
  </si>
  <si>
    <t>0x1010101</t>
  </si>
  <si>
    <t xml:space="preserve">9-3-0-0: Various - maintenance -  - </t>
  </si>
  <si>
    <t>89d23ecb-f215-4fd2-a3f9-724d69ad19fe</t>
  </si>
  <si>
    <t>82cf82c2-57a0-43db-913c-3b4073906f1e</t>
  </si>
  <si>
    <t>2b229780-a523-4034-a074-fe0f59797fae</t>
  </si>
  <si>
    <t>26cd128c-924e-4f87-bb83-25096a1a29ba</t>
  </si>
  <si>
    <t>d0553d27-386a-4f9f-9b05-178968707659</t>
  </si>
  <si>
    <t>afecd81e-240d-4676-b38f-76ca26070ea6</t>
  </si>
  <si>
    <t>right_3215</t>
  </si>
  <si>
    <t>f90bb712-cd56-48e9-82c1-2d94af4da606</t>
  </si>
  <si>
    <t>d2d176e9-972f-459a-af0b-8d548135a0be</t>
  </si>
  <si>
    <t>right_3253</t>
  </si>
  <si>
    <t>a371565a-88b0-41d8-9fb5-0227a7175c07</t>
  </si>
  <si>
    <t>63b34c7b-3fde-4bb9-8ad9-5b91e7b1d2e5</t>
  </si>
  <si>
    <t>completed</t>
  </si>
  <si>
    <t>e3205a13-9c50-49b7-91cf-ef0c7271bc6e</t>
  </si>
  <si>
    <t>012a2a77-16f5-4a0d-a0b5-e526e2a58ec4</t>
  </si>
  <si>
    <t>87f4aecc-1ff8-417c-befe-0cd40fd6d51d</t>
  </si>
  <si>
    <t>aebe1f7a-2643-4f5a-9eee-55a00bfe18f9</t>
  </si>
  <si>
    <t>left_lane3474</t>
  </si>
  <si>
    <t>806a3753-f6bf-4d63-97cb-e7a491edb19c</t>
  </si>
  <si>
    <t>d84652de-33ac-4fb3-bd44-afc186992275</t>
  </si>
  <si>
    <t>2854a0d8-7513-4ed9-af73-985c0a129b64</t>
  </si>
  <si>
    <t>eec7afb0-c512-4310-923a-4f74ab1cb2cb</t>
  </si>
  <si>
    <t>left_lane3490</t>
  </si>
  <si>
    <t>856a4da4-8114-44bb-8ccf-04268602455e</t>
  </si>
  <si>
    <t>bc026fac-f8d5-4718-a7c3-f6a75f3c8b1d</t>
  </si>
  <si>
    <t>80a418e5-35b6-451f-9f53-40a214cdc910</t>
  </si>
  <si>
    <t>left_lane3184</t>
  </si>
  <si>
    <t>db0139a8-f736-42c1-9ba0-6a2b51943f62</t>
  </si>
  <si>
    <t>fd382148-9636-49c1-a1cf-d4ef0603c5a7</t>
  </si>
  <si>
    <t>bdebb232-1f0b-4e5c-ab48-ae74f386b669</t>
  </si>
  <si>
    <t>59d3014d-e395-4c33-8a47-7ea73c1c967a</t>
  </si>
  <si>
    <t>4584fe16-99a8-401e-a815-05c7aa159471</t>
  </si>
  <si>
    <t>ad47feab-40ca-433b-a674-2b767549218d</t>
  </si>
  <si>
    <t>e14a520b-b056-4e37-9df0-53516d3c8a98</t>
  </si>
  <si>
    <t>85fa7530-dcad-4eb1-82c5-64db87252e27</t>
  </si>
  <si>
    <t>4d2b19d8-0549-42b7-96c1-deb7a8607538</t>
  </si>
  <si>
    <t>256b483e-b92f-45a3-bf57-5532025ad4cb</t>
  </si>
  <si>
    <t>0a9dce57-6979-4fd4-861c-6d55f0d49220</t>
  </si>
  <si>
    <t>2acb9cd4-c56a-4d1d-b585-faa4ae52d245</t>
  </si>
  <si>
    <t>d2f73459-9cd4-46fb-990c-ba47f5681b93</t>
  </si>
  <si>
    <t>right_3255</t>
  </si>
  <si>
    <t>b9bdf44d-93b7-4cf4-9a39-db2581dc0919</t>
  </si>
  <si>
    <t>97edb9b1-fe70-4c57-9192-727dca8d3170</t>
  </si>
  <si>
    <t>left_lane3476</t>
  </si>
  <si>
    <t>920bd4f8-c65c-48d8-aa35-8569e231a89e</t>
  </si>
  <si>
    <t>b8272764-e0b2-48cd-ba67-c3ed9afe3305</t>
  </si>
  <si>
    <t>de879c19-856d-4929-b28d-67a256e10c16</t>
  </si>
  <si>
    <t>3a0777c8-4860-4156-b8d7-fa3574303fc7</t>
  </si>
  <si>
    <t>8544a7db-335e-4c02-8c62-755846dd6d82</t>
  </si>
  <si>
    <t>9939c1b3-abe4-4786-a475-2ac9b955bbe3</t>
  </si>
  <si>
    <t>4-1-1-0: driving off of rails - stuck on rollers - difference between groundwheel and rollers too small</t>
  </si>
  <si>
    <t>bbd22aae-81dc-459c-95fe-7a4dd9e45bc5</t>
  </si>
  <si>
    <t>789b6bb0-80ef-4489-807f-b6fbcac9c2d8</t>
  </si>
  <si>
    <t>left_lane3328</t>
  </si>
  <si>
    <t>81a0605d-1ebe-4ff2-85b1-b773e2fef663</t>
  </si>
  <si>
    <t>d7c8c990-fcad-4907-add2-92839fe32ae5</t>
  </si>
  <si>
    <t>left_lane3478</t>
  </si>
  <si>
    <t>2356f5d5-1d82-4d1b-9e4d-6a1c5e028ed5</t>
  </si>
  <si>
    <t>c66653a7-bff2-4d6d-851c-4c84568e39e1</t>
  </si>
  <si>
    <t>right_3411</t>
  </si>
  <si>
    <t>4ff7b473-4313-4801-9f83-bb2ede124477</t>
  </si>
  <si>
    <t>1393cb0c-36a9-4248-84bb-d52294aa139f</t>
  </si>
  <si>
    <t>right_block47_lane7</t>
  </si>
  <si>
    <t>0x1060001</t>
  </si>
  <si>
    <t>207ccb9a-ac16-4405-92da-bfee5a302d67</t>
  </si>
  <si>
    <t>505238ed-b23a-46d8-a648-1973c987c701</t>
  </si>
  <si>
    <t>right_block48_lane2</t>
  </si>
  <si>
    <t>c37603c9-3f67-48da-be96-0a5f23819042</t>
  </si>
  <si>
    <t>a106be97-7c71-4f25-bc6d-23ca84eb8de3</t>
  </si>
  <si>
    <t>right_3105</t>
  </si>
  <si>
    <t>c01b71f8-8afc-455d-8d49-1cb1e63afa57</t>
  </si>
  <si>
    <t>f142cc64-db52-417b-8035-18a00b5b66de</t>
  </si>
  <si>
    <t>right_3095</t>
  </si>
  <si>
    <t>550dbbfa-ad87-490a-b6cb-97e9868db400</t>
  </si>
  <si>
    <t>f7ca99b6-dd34-45a2-871d-584c6a7eb612</t>
  </si>
  <si>
    <t>54ed8e33-b078-476c-ae08-d18370b54092</t>
  </si>
  <si>
    <t>right_3079</t>
  </si>
  <si>
    <t>935f4491-8261-4ca5-88d1-2666a0688b5e</t>
  </si>
  <si>
    <t>8413f0bd-cb32-4169-82c7-d410df36633d</t>
  </si>
  <si>
    <t>left_block28_lane3</t>
  </si>
  <si>
    <t>00d7743f-abdd-4f90-9023-8737c7992c94</t>
  </si>
  <si>
    <t>86ff76ca-be3e-4446-9469-baa3c6414b40</t>
  </si>
  <si>
    <t>bd842b45-b9dc-453c-b96a-8665922009fc</t>
  </si>
  <si>
    <t>28ece5d5-be78-4415-b6b9-d776e481c711</t>
  </si>
  <si>
    <t>right_3093</t>
  </si>
  <si>
    <t>15069aab-d9df-4af0-9e16-7b5dd3ee589a</t>
  </si>
  <si>
    <t>2dd389e0-5b31-4a63-b744-542aa5bed70f</t>
  </si>
  <si>
    <t>left_block28_lane7</t>
  </si>
  <si>
    <t>1fb743f0-fe4b-41bf-ab5a-f58850ea60f9</t>
  </si>
  <si>
    <t>b9fd17a6-7c88-47df-9d6c-9eb78b27a6c5</t>
  </si>
  <si>
    <t>left_lane3450</t>
  </si>
  <si>
    <t>Time</t>
  </si>
  <si>
    <t>ErrorCode</t>
  </si>
  <si>
    <t>Logstatus</t>
  </si>
  <si>
    <t>Processed</t>
  </si>
  <si>
    <t>URL</t>
  </si>
  <si>
    <t>0e335397-5a3f-42bf-812a-794cd6c4c9ce</t>
  </si>
  <si>
    <t>2022-06-20T10:43:00.000000+00:00</t>
  </si>
  <si>
    <t>https://dribble.octin.io/?mode=Single+log&amp;log_id=0e335397-5a3f-42bf-812a-794cd6c4c9ce</t>
  </si>
  <si>
    <t>2022-06-20T19:00:00.000000+00:00</t>
  </si>
  <si>
    <t>Yes</t>
  </si>
  <si>
    <t>https://dribble.octin.io/?mode=Single+log&amp;log_id=f7620a9a-8788-44b0-9b0f-1fe1af17c34e</t>
  </si>
  <si>
    <t>2022-06-20T19:07:00.000000+00:00</t>
  </si>
  <si>
    <t>https://dribble.octin.io/?mode=Single+log&amp;log_id=d38619be-08e1-4e4d-b91d-75543b2dfd50</t>
  </si>
  <si>
    <t>2022-06-20T19:08:00.000000+00:00</t>
  </si>
  <si>
    <t>https://dribble.octin.io/?mode=Single+log&amp;log_id=e87b647b-575c-44b0-9818-3664b797f2e6</t>
  </si>
  <si>
    <t>2022-06-20T19:21:00.000000+00:00</t>
  </si>
  <si>
    <t>https://dribble.octin.io/?mode=Single+log&amp;log_id=03965871-66ad-4e0f-8692-28b0a095a2bc</t>
  </si>
  <si>
    <t>https://dribble.octin.io/?mode=Single+log&amp;log_id=8a4714b7-8ba2-4f19-a4df-b061bcc66be8</t>
  </si>
  <si>
    <t>2022-06-20T19:22:00.000000+00:00</t>
  </si>
  <si>
    <t>https://dribble.octin.io/?mode=Single+log&amp;log_id=bb22ea56-35c5-4d17-9f39-24bd85127ecb</t>
  </si>
  <si>
    <t>2022-06-21T20:49:00.000000+00:00</t>
  </si>
  <si>
    <t>https://dribble.octin.io/?mode=Single+log&amp;log_id=aca94558-c807-4d20-b8a8-eb1ac90a823d</t>
  </si>
  <si>
    <t>2022-06-27T21:35:00.000000+00:00</t>
  </si>
  <si>
    <t>https://dribble.octin.io/?mode=Single+log&amp;log_id=45f03c2f-810b-412b-ae9f-a0f3be8c9523</t>
  </si>
  <si>
    <t>ce6f0103-6ea8-4679-877a-a2d9f75131a5</t>
  </si>
  <si>
    <t>2022-06-28T13:24:00.000000+00:00</t>
  </si>
  <si>
    <t>https://dribble.octin.io/?mode=Single+log&amp;log_id=ce6f0103-6ea8-4679-877a-a2d9f75131a5</t>
  </si>
  <si>
    <t>692fa9c9-7cfd-445f-b276-0c246f0f66b7</t>
  </si>
  <si>
    <t>2022-06-28T13:28:00.000000+00:00</t>
  </si>
  <si>
    <t>https://dribble.octin.io/?mode=Single+log&amp;log_id=692fa9c9-7cfd-445f-b276-0c246f0f66b7</t>
  </si>
  <si>
    <t>bacf860b-1883-449b-afc0-c56408be35cc</t>
  </si>
  <si>
    <t>2022-06-28T13:29:00.000000+00:00</t>
  </si>
  <si>
    <t>https://dribble.octin.io/?mode=Single+log&amp;log_id=bacf860b-1883-449b-afc0-c56408be35cc</t>
  </si>
  <si>
    <t>f689de62-203a-4048-843e-bfdc53a1a446</t>
  </si>
  <si>
    <t>2022-06-28T19:08:00.000000+00:00</t>
  </si>
  <si>
    <t>https://dribble.octin.io/?mode=Single+log&amp;log_id=f689de62-203a-4048-843e-bfdc53a1a446</t>
  </si>
  <si>
    <t>2022-06-28T19:15:00.000000+00:00</t>
  </si>
  <si>
    <t>https://dribble.octin.io/?mode=Single+log&amp;log_id=0e197814-954c-439a-89c1-a274f62b4381</t>
  </si>
  <si>
    <t>4031f5d6-d715-4b69-8395-4a007b80aa1a</t>
  </si>
  <si>
    <t>2022-06-29T03:51:00.000000+00:00</t>
  </si>
  <si>
    <t>https://dribble.octin.io/?mode=Single+log&amp;log_id=4031f5d6-d715-4b69-8395-4a007b80aa1a</t>
  </si>
  <si>
    <t>2022-07-04T19:10:00.000000+00:00</t>
  </si>
  <si>
    <t>https://dribble.octin.io/?mode=Single+log&amp;log_id=24474d47-f03c-4e66-820f-e746c5f022b8</t>
  </si>
  <si>
    <t>88ca98aa-e70c-4ace-ba37-b9fe42ca6313</t>
  </si>
  <si>
    <t>2022-07-15T14:27:56.056000+00:00</t>
  </si>
  <si>
    <t>https://dribble.octin.io/?mode=Single+log&amp;log_id=88ca98aa-e70c-4ace-ba37-b9fe42ca6313</t>
  </si>
  <si>
    <t>6cb0f921-0594-4702-95b2-2de1cd9e3f76</t>
  </si>
  <si>
    <t>2022-07-15T14:32:43.107000+00:00</t>
  </si>
  <si>
    <t>0x2040065</t>
  </si>
  <si>
    <t>https://dribble.octin.io/?mode=Single+log&amp;log_id=6cb0f921-0594-4702-95b2-2de1cd9e3f76</t>
  </si>
  <si>
    <t>9a486429-ff06-46a2-b24e-2924dfe848c9</t>
  </si>
  <si>
    <t>2022-07-15T14:35:12.667000+00:00</t>
  </si>
  <si>
    <t>https://dribble.octin.io/?mode=Single+log&amp;log_id=9a486429-ff06-46a2-b24e-2924dfe848c9</t>
  </si>
  <si>
    <t>d9c39ff0-802e-42e6-8a86-255909063dda</t>
  </si>
  <si>
    <t>2022-07-15T14:58:05.858000+00:00</t>
  </si>
  <si>
    <t>https://dribble.octin.io/?mode=Single+log&amp;log_id=d9c39ff0-802e-42e6-8a86-255909063dda</t>
  </si>
  <si>
    <t>f708c860-022b-4e7e-9598-d6121f954c33</t>
  </si>
  <si>
    <t>2022-07-15T15:11:29.990000+00:00</t>
  </si>
  <si>
    <t>https://dribble.octin.io/?mode=Single+log&amp;log_id=f708c860-022b-4e7e-9598-d6121f954c33</t>
  </si>
  <si>
    <t>2022-07-18T18:59:45.250000+00:00</t>
  </si>
  <si>
    <t>https://dribble.octin.io/?mode=Single+log&amp;log_id=06f6872c-b3b6-4f47-a83e-39e733bbb8de</t>
  </si>
  <si>
    <t>2022-07-18T19:01:26.207000+00:00</t>
  </si>
  <si>
    <t>https://dribble.octin.io/?mode=Single+log&amp;log_id=0aff9435-84ff-4f73-8981-8e0ab0194a34</t>
  </si>
  <si>
    <t>2022-07-18T19:05:57.330000+00:00</t>
  </si>
  <si>
    <t>https://dribble.octin.io/?mode=Single+log&amp;log_id=1b0588bd-29bf-49d2-8c40-8f814e735a28</t>
  </si>
  <si>
    <t>2022-07-18T19:06:20.360000+00:00</t>
  </si>
  <si>
    <t>https://dribble.octin.io/?mode=Single+log&amp;log_id=4fac7a0c-6a34-43b0-aa0a-d7c29ab2b767</t>
  </si>
  <si>
    <t>2022-07-18T19:36:52.974000+00:00</t>
  </si>
  <si>
    <t>https://dribble.octin.io/?mode=Single+log&amp;log_id=774b4522-2c62-41b2-ab8c-90f75e70eabb</t>
  </si>
  <si>
    <t>7d6fd532-1953-4a07-9653-3eed666d1b10</t>
  </si>
  <si>
    <t>2022-07-19T05:16:57.480000+00:00</t>
  </si>
  <si>
    <t>https://dribble.octin.io/?mode=Single+log&amp;log_id=7d6fd532-1953-4a07-9653-3eed666d1b10</t>
  </si>
  <si>
    <t>b759d054-edf1-419c-b1d6-60820ab8c71b</t>
  </si>
  <si>
    <t>2022-07-19T05:20:42.933000+00:00</t>
  </si>
  <si>
    <t>https://dribble.octin.io/?mode=Single+log&amp;log_id=b759d054-edf1-419c-b1d6-60820ab8c71b</t>
  </si>
  <si>
    <t>a8af51d6-0a22-4305-af58-f91d6d234ba3</t>
  </si>
  <si>
    <t>2022-07-19T05:35:01.253000+00:00</t>
  </si>
  <si>
    <t>https://dribble.octin.io/?mode=Single+log&amp;log_id=a8af51d6-0a22-4305-af58-f91d6d234ba3</t>
  </si>
  <si>
    <t>113c2fb5-c54d-4be8-a5fc-7fe82ec85ca5</t>
  </si>
  <si>
    <t>2022-07-19T05:35:31.698000+00:00</t>
  </si>
  <si>
    <t>https://dribble.octin.io/?mode=Single+log&amp;log_id=113c2fb5-c54d-4be8-a5fc-7fe82ec85ca5</t>
  </si>
  <si>
    <t>0ca6af7d-7d67-4654-9554-996ad2bd3706</t>
  </si>
  <si>
    <t>2022-07-19T05:40:00.000000+00:00</t>
  </si>
  <si>
    <t>https://dribble.octin.io/?mode=Single+log&amp;log_id=0ca6af7d-7d67-4654-9554-996ad2bd3706</t>
  </si>
  <si>
    <t>699bec61-71a5-42ba-8e6a-84fe2a37e130</t>
  </si>
  <si>
    <t>2022-07-19T09:39:09.128000+00:00</t>
  </si>
  <si>
    <t>https://dribble.octin.io/?mode=Single+log&amp;log_id=699bec61-71a5-42ba-8e6a-84fe2a37e130</t>
  </si>
  <si>
    <t>2727dfcc-2fe7-4f4f-bded-518372739ba9</t>
  </si>
  <si>
    <t>2022-07-20T11:04:08.230000+00:00</t>
  </si>
  <si>
    <t>https://dribble.octin.io/?mode=Single+log&amp;log_id=2727dfcc-2fe7-4f4f-bded-518372739ba9</t>
  </si>
  <si>
    <t>8a0fa1f7-b52e-4b75-9d63-120339e04995</t>
  </si>
  <si>
    <t>2022-07-20T15:03:09.392000+00:00</t>
  </si>
  <si>
    <t>32c7e84e-2b1b-43b3-808c-096d5bf0a1c2</t>
  </si>
  <si>
    <t>https://dribble.octin.io/?mode=Single+log&amp;log_id=8a0fa1f7-b52e-4b75-9d63-120339e04995</t>
  </si>
  <si>
    <t>3271f7cd-d764-4ae0-b22d-817552b2f30e</t>
  </si>
  <si>
    <t>2022-07-20T15:28:06.162000+00:00</t>
  </si>
  <si>
    <t>94c8c414-c93d-44bd-816a-29ea0aad558c</t>
  </si>
  <si>
    <t>0x2030003</t>
  </si>
  <si>
    <t>https://dribble.octin.io/?mode=Single+log&amp;log_id=3271f7cd-d764-4ae0-b22d-817552b2f30e</t>
  </si>
  <si>
    <t>520f53ce-126a-486f-9fbf-7dc95a0cf5d9</t>
  </si>
  <si>
    <t>2022-07-20T15:30:01.584000+00:00</t>
  </si>
  <si>
    <t>https://dribble.octin.io/?mode=Single+log&amp;log_id=520f53ce-126a-486f-9fbf-7dc95a0cf5d9</t>
  </si>
  <si>
    <t>9b980f0a-d8cd-4d8c-a423-f56c8703f23d</t>
  </si>
  <si>
    <t>2022-07-20T15:31:36.362000+00:00</t>
  </si>
  <si>
    <t>0x1050005</t>
  </si>
  <si>
    <t>https://dribble.octin.io/?mode=Single+log&amp;log_id=9b980f0a-d8cd-4d8c-a423-f56c8703f23d</t>
  </si>
  <si>
    <t>42ef46a5-3233-4215-b9a2-8cf6c22fb841</t>
  </si>
  <si>
    <t>2022-07-20T15:32:20.830000+00:00</t>
  </si>
  <si>
    <t>0x2040002</t>
  </si>
  <si>
    <t>https://dribble.octin.io/?mode=Single+log&amp;log_id=42ef46a5-3233-4215-b9a2-8cf6c22fb841</t>
  </si>
  <si>
    <t>f1814003-c7c0-4f33-ab88-2b681c8fde85</t>
  </si>
  <si>
    <t>2022-07-20T15:34:12.941000+00:00</t>
  </si>
  <si>
    <t>0x1010008</t>
  </si>
  <si>
    <t>https://dribble.octin.io/?mode=Single+log&amp;log_id=f1814003-c7c0-4f33-ab88-2b681c8fde85</t>
  </si>
  <si>
    <t>54247cdc-84e6-4377-bd25-c8bb21e11b41</t>
  </si>
  <si>
    <t>2022-07-20T15:35:40.065000+00:00</t>
  </si>
  <si>
    <t>https://dribble.octin.io/?mode=Single+log&amp;log_id=54247cdc-84e6-4377-bd25-c8bb21e11b41</t>
  </si>
  <si>
    <t>5b03c284-6521-48a8-8028-e6bab7ac95e2</t>
  </si>
  <si>
    <t>2022-07-20T15:37:02.445000+00:00</t>
  </si>
  <si>
    <t>https://dribble.octin.io/?mode=Single+log&amp;log_id=5b03c284-6521-48a8-8028-e6bab7ac95e2</t>
  </si>
  <si>
    <t>d07b56d5-f5cb-47e4-9b11-01720a23bad9</t>
  </si>
  <si>
    <t>2022-07-20T16:24:22.663000+00:00</t>
  </si>
  <si>
    <t>bae93dc5-2029-4843-9890-49a7590e8751</t>
  </si>
  <si>
    <t>https://dribble.octin.io/?mode=Single+log&amp;log_id=d07b56d5-f5cb-47e4-9b11-01720a23bad9</t>
  </si>
  <si>
    <t>46e17577-08e0-42c2-8d58-8265473d57f6</t>
  </si>
  <si>
    <t>2022-07-22T14:44:10.393000+00:00</t>
  </si>
  <si>
    <t>0x1010009</t>
  </si>
  <si>
    <t>https://dribble.octin.io/?mode=Single+log&amp;log_id=46e17577-08e0-42c2-8d58-8265473d57f6</t>
  </si>
  <si>
    <t>2022-07-23T18:06:21.253000+00:00</t>
  </si>
  <si>
    <t>https://dribble.octin.io/?mode=Single+log&amp;log_id=96bf7a4a-8a17-4ac5-b370-20ec8f2e3d95</t>
  </si>
  <si>
    <t>2022-07-24T00:08:42.842000+00:00</t>
  </si>
  <si>
    <t>https://dribble.octin.io/?mode=Single+log&amp;log_id=2cd50b9f-bd52-4056-bb43-3cc3a13e78f3</t>
  </si>
  <si>
    <t>bebe8ece-efc2-4583-b7f1-41ce2942bd64</t>
  </si>
  <si>
    <t>2022-07-25T07:44:50.144000+00:00</t>
  </si>
  <si>
    <t>08049a11-a171-49c9-b499-48bcac0b6374</t>
  </si>
  <si>
    <t>https://dribble.octin.io/?mode=Single+log&amp;log_id=bebe8ece-efc2-4583-b7f1-41ce2942bd64</t>
  </si>
  <si>
    <t>b64bab63-3a94-4d45-a3ce-ad0f4f0db24f</t>
  </si>
  <si>
    <t>2022-07-25T07:46:35.918000+00:00</t>
  </si>
  <si>
    <t>0x2020009</t>
  </si>
  <si>
    <t>https://dribble.octin.io/?mode=Single+log&amp;log_id=b64bab63-3a94-4d45-a3ce-ad0f4f0db24f</t>
  </si>
  <si>
    <t>d95c5cd1-a537-46e8-ab19-c701621dbeea</t>
  </si>
  <si>
    <t>2022-07-25T08:47:16.886000+00:00</t>
  </si>
  <si>
    <t>https://dribble.octin.io/?mode=Single+log&amp;log_id=d95c5cd1-a537-46e8-ab19-c701621dbeea</t>
  </si>
  <si>
    <t>453a0110-6aaa-498b-afe8-5ca134b66d66</t>
  </si>
  <si>
    <t>2022-07-26T07:44:08.838000+00:00</t>
  </si>
  <si>
    <t>https://dribble.octin.io/?mode=Single+log&amp;log_id=453a0110-6aaa-498b-afe8-5ca134b66d66</t>
  </si>
  <si>
    <t>05da91e6-9c9a-4b31-afd5-07c36a161745</t>
  </si>
  <si>
    <t>2022-07-26T10:31:14.159000+00:00</t>
  </si>
  <si>
    <t>ece36cbd-6623-4687-9fc7-893e1fb82ec2</t>
  </si>
  <si>
    <t>https://dribble.octin.io/?mode=Single+log&amp;log_id=05da91e6-9c9a-4b31-afd5-07c36a161745</t>
  </si>
  <si>
    <t>3f6932ec-f37c-4aec-af1d-772e33766386</t>
  </si>
  <si>
    <t>2022-07-26T10:40:44.748000+00:00</t>
  </si>
  <si>
    <t>cfbc398a-908b-46ed-a58d-7e3e182c8726</t>
  </si>
  <si>
    <t>https://dribble.octin.io/?mode=Single+log&amp;log_id=3f6932ec-f37c-4aec-af1d-772e33766386</t>
  </si>
  <si>
    <t>67b5a518-5720-4afc-8e88-7e5fec71c3bf</t>
  </si>
  <si>
    <t>2022-07-26T12:51:29.123000+00:00</t>
  </si>
  <si>
    <t>https://dribble.octin.io/?mode=Single+log&amp;log_id=67b5a518-5720-4afc-8e88-7e5fec71c3bf</t>
  </si>
  <si>
    <t>69928ebd-7eab-4206-b4e0-9495e0eb95cd</t>
  </si>
  <si>
    <t>2022-07-26T12:52:08.445000+00:00</t>
  </si>
  <si>
    <t>https://dribble.octin.io/?mode=Single+log&amp;log_id=69928ebd-7eab-4206-b4e0-9495e0eb95cd</t>
  </si>
  <si>
    <t>b6309b67-2c3d-49dd-89ca-7ee4fabfc0c1</t>
  </si>
  <si>
    <t>2022-07-26T12:53:49.986000+00:00</t>
  </si>
  <si>
    <t>https://dribble.octin.io/?mode=Single+log&amp;log_id=b6309b67-2c3d-49dd-89ca-7ee4fabfc0c1</t>
  </si>
  <si>
    <t>47df2748-ee22-435a-aebf-8a201004f436</t>
  </si>
  <si>
    <t>2022-07-26T12:54:09.978000+00:00</t>
  </si>
  <si>
    <t>https://dribble.octin.io/?mode=Single+log&amp;log_id=47df2748-ee22-435a-aebf-8a201004f436</t>
  </si>
  <si>
    <t>9e0e15f0-930d-4e3c-93c5-6882688d71a0</t>
  </si>
  <si>
    <t>2022-07-26T13:15:16.234000+00:00</t>
  </si>
  <si>
    <t>0x2030002</t>
  </si>
  <si>
    <t>https://dribble.octin.io/?mode=Single+log&amp;log_id=9e0e15f0-930d-4e3c-93c5-6882688d71a0</t>
  </si>
  <si>
    <t>2022-07-26T19:01:19.572000+00:00</t>
  </si>
  <si>
    <t>https://dribble.octin.io/?mode=Single+log&amp;log_id=da07d50c-0386-4a4c-9a9c-5259c27981fe</t>
  </si>
  <si>
    <t>2022-07-26T20:01:52.670000+00:00</t>
  </si>
  <si>
    <t>https://dribble.octin.io/?mode=Single+log&amp;log_id=2178bd22-acc4-4b79-8701-6e8e1ef96e30</t>
  </si>
  <si>
    <t>2022-07-27T00:38:57.126000+00:00</t>
  </si>
  <si>
    <t>https://dribble.octin.io/?mode=Single+log&amp;log_id=c8e1d79b-a2a8-4a95-b3d5-6861f69f4e43</t>
  </si>
  <si>
    <t>fe963831-6f5b-4023-ab01-3914a26c331e</t>
  </si>
  <si>
    <t>2022-07-27T14:19:16.499000+00:00</t>
  </si>
  <si>
    <t>https://dribble.octin.io/?mode=Single+log&amp;log_id=fe963831-6f5b-4023-ab01-3914a26c331e</t>
  </si>
  <si>
    <t>2022-07-27T18:02:15.191000+00:00</t>
  </si>
  <si>
    <t>https://dribble.octin.io/?mode=Single+log&amp;log_id=6a91fa53-128f-47da-9df9-66203d57b502</t>
  </si>
  <si>
    <t>2022-07-28T19:06:07.319000+00:00</t>
  </si>
  <si>
    <t>https://dribble.octin.io/?mode=Single+log&amp;log_id=dfbef9a9-ebdd-4664-a57b-c608b4fb9bc5</t>
  </si>
  <si>
    <t>2022-07-28T23:07:28.519000+00:00</t>
  </si>
  <si>
    <t>https://dribble.octin.io/?mode=Single+log&amp;log_id=92ef0173-b269-4e12-8a93-b7d4d9183251</t>
  </si>
  <si>
    <t>5ba854e7-b3a2-472d-96f8-55a063f02e38</t>
  </si>
  <si>
    <t>2022-07-29T12:07:33.125000+00:00</t>
  </si>
  <si>
    <t>0x2040009</t>
  </si>
  <si>
    <t>https://dribble.octin.io/?mode=Single+log&amp;log_id=5ba854e7-b3a2-472d-96f8-55a063f02e38</t>
  </si>
  <si>
    <t>9712b79c-9c43-43ae-aab2-15d603c8e0e7</t>
  </si>
  <si>
    <t>2022-07-29T12:39:44.324000+00:00</t>
  </si>
  <si>
    <t>c4a19a9c-8d9e-4362-baa0-1f72ae4fe5d0</t>
  </si>
  <si>
    <t>2022-07-29T13:09:48.766000+00:00</t>
  </si>
  <si>
    <t>c54d3e9b-a506-4509-a67a-af3a144fded3</t>
  </si>
  <si>
    <t>https://dribble.octin.io/?mode=Single+log&amp;log_id=c4a19a9c-8d9e-4362-baa0-1f72ae4fe5d0</t>
  </si>
  <si>
    <t>12a13caa-cca1-4005-b760-f7cc3aaf0801</t>
  </si>
  <si>
    <t>2022-07-29T13:21:20.285000+00:00</t>
  </si>
  <si>
    <t>https://dribble.octin.io/?mode=Single+log&amp;log_id=12a13caa-cca1-4005-b760-f7cc3aaf0801</t>
  </si>
  <si>
    <t>126fa3cf-16a7-428f-8489-830099f1f7a7</t>
  </si>
  <si>
    <t>2022-07-29T13:27:06.888000+00:00</t>
  </si>
  <si>
    <t>70f85487-8e0d-4228-a44b-1d369b5e7993</t>
  </si>
  <si>
    <t>https://dribble.octin.io/?mode=Single+log&amp;log_id=126fa3cf-16a7-428f-8489-830099f1f7a7</t>
  </si>
  <si>
    <t>ed911110-4a47-4f07-ae0a-ec65f43ec8e9</t>
  </si>
  <si>
    <t>2022-07-29T13:31:13.123000+00:00</t>
  </si>
  <si>
    <t>https://dribble.octin.io/?mode=Single+log&amp;log_id=ed911110-4a47-4f07-ae0a-ec65f43ec8e9</t>
  </si>
  <si>
    <t>e41aafa9-e28d-4d20-a1fa-a0df4501f2b7</t>
  </si>
  <si>
    <t>2022-07-29T13:36:17.914000+00:00</t>
  </si>
  <si>
    <t>e3ee6839-4902-4768-819d-9db8af7326cf</t>
  </si>
  <si>
    <t>2022-07-29T13:42:25.148000+00:00</t>
  </si>
  <si>
    <t>c679ebac-722d-49bb-86ed-bdcb589432b2</t>
  </si>
  <si>
    <t>2022-07-29T13:51:27.645000+00:00</t>
  </si>
  <si>
    <t>56f6b6b6-e980-417f-aee5-49415b145324</t>
  </si>
  <si>
    <t>2022-07-29T13:53:05.951000+00:00</t>
  </si>
  <si>
    <t>2022-07-29T17:40:30.122000+00:00</t>
  </si>
  <si>
    <t>https://dribble.octin.io/?mode=Single+log&amp;log_id=ddfcc3d3-11aa-45ad-9494-2964b8684616</t>
  </si>
  <si>
    <t>cc719f15-0a20-4c89-a99c-aec047a2c3ca</t>
  </si>
  <si>
    <t>2022-08-01T12:10:22.924000+00:00</t>
  </si>
  <si>
    <t>197c9229-2af6-4dc7-b394-b0a711562cdb</t>
  </si>
  <si>
    <t>2022-08-01T14:37:29.068000+00:00</t>
  </si>
  <si>
    <t>2022-08-01T19:09:33.333000+00:00</t>
  </si>
  <si>
    <t>https://dribble.octin.io/?mode=Single+log&amp;log_id=e6ddbddc-f2b5-4ab0-a7ac-a79c090374df</t>
  </si>
  <si>
    <t>ddc5fb09-fa53-4cc3-8483-c388eb1ebe03</t>
  </si>
  <si>
    <t>2022-08-02T07:54:00.988000+00:00</t>
  </si>
  <si>
    <t>12c7ca69-761d-4211-97f8-2372029f07e0</t>
  </si>
  <si>
    <t>2022-08-02T08:05:58.705000+00:00</t>
  </si>
  <si>
    <t>c634d0be-10f6-449c-9d08-2ec127bbfdf3</t>
  </si>
  <si>
    <t>2022-08-02T08:09:44.214000+00:00</t>
  </si>
  <si>
    <t>56cf59bb-1a6d-4049-a99c-d2e7cfebb56c</t>
  </si>
  <si>
    <t>2022-08-02T08:59:55.974000+00:00</t>
  </si>
  <si>
    <t>c6c29126-bb63-40d5-9566-da3e0919ec93</t>
  </si>
  <si>
    <t>2022-08-02T09:13:57.336000+00:00</t>
  </si>
  <si>
    <t>c3b03c1d-662d-4c00-84e5-49c4b8080c71</t>
  </si>
  <si>
    <t>2022-08-02T12:28:09.142000+00:00</t>
  </si>
  <si>
    <t>d9e41d0e-653d-4a6e-920a-9a583579b4bb</t>
  </si>
  <si>
    <t>https://dribble.octin.io/?mode=Single+log&amp;log_id=c3b03c1d-662d-4c00-84e5-49c4b8080c71</t>
  </si>
  <si>
    <t>49a0b4ea-6c3b-4004-a2a4-c8569b9bf182</t>
  </si>
  <si>
    <t>2022-08-02T12:35:46.730000+00:00</t>
  </si>
  <si>
    <t>c8928e51-5564-4d61-b48b-d0cd8826f443</t>
  </si>
  <si>
    <t>https://dribble.octin.io/?mode=Single+log&amp;log_id=49a0b4ea-6c3b-4004-a2a4-c8569b9bf182</t>
  </si>
  <si>
    <t>ae91ce9d-1f9f-4f74-bf05-3c1332c5541e</t>
  </si>
  <si>
    <t>2022-08-02T12:52:03.634000+00:00</t>
  </si>
  <si>
    <t>0x1090001</t>
  </si>
  <si>
    <t>https://dribble.octin.io/?mode=Single+log&amp;log_id=ae91ce9d-1f9f-4f74-bf05-3c1332c5541e</t>
  </si>
  <si>
    <t>13d8e3cb-3448-452f-b806-32157d3eecad</t>
  </si>
  <si>
    <t>2022-08-02T13:26:41.556000+00:00</t>
  </si>
  <si>
    <t>6e0a569d-57a6-4de8-9ccf-c4ab912a8201</t>
  </si>
  <si>
    <t>2022-08-03T09:19:12.489000+00:00</t>
  </si>
  <si>
    <t>0x1090003</t>
  </si>
  <si>
    <t>https://dribble.octin.io/?mode=Single+log&amp;log_id=6e0a569d-57a6-4de8-9ccf-c4ab912a8201</t>
  </si>
  <si>
    <t>27e9e2a7-1eab-4a11-926e-1d3aed686934</t>
  </si>
  <si>
    <t>2022-08-03T10:35:51.388000+00:00</t>
  </si>
  <si>
    <t>e517559f-9b6e-41bf-8879-61b0434c06ae</t>
  </si>
  <si>
    <t>https://dribble.octin.io/?mode=Single+log&amp;log_id=27e9e2a7-1eab-4a11-926e-1d3aed686934</t>
  </si>
  <si>
    <t>2910ae27-81c7-4e30-a3af-d2fa35073b3a</t>
  </si>
  <si>
    <t>2022-08-03T11:40:14.796000+00:00</t>
  </si>
  <si>
    <t>d7f96bf0-4b8f-447d-af9f-4dff95a66eb5</t>
  </si>
  <si>
    <t>2022-08-03T11:54:21.491000+00:00</t>
  </si>
  <si>
    <t>00e3a6df-f8c1-4228-94c8-81ea39385d72</t>
  </si>
  <si>
    <t>2022-08-03T12:15:14.994000+00:00</t>
  </si>
  <si>
    <t>9d541dde-6c86-459f-9930-b9a986c42ba1</t>
  </si>
  <si>
    <t>2022-08-03T13:49:44.956000+00:00</t>
  </si>
  <si>
    <t>2552c8c7-8b27-4821-bf3d-eb61e41e1d90</t>
  </si>
  <si>
    <t>https://dribble.octin.io/?mode=Single+log&amp;log_id=9d541dde-6c86-459f-9930-b9a986c42ba1</t>
  </si>
  <si>
    <t>227dd861-bfd1-4864-9435-eab5e9d9794d</t>
  </si>
  <si>
    <t>2022-08-03T13:55:32.834000+00:00</t>
  </si>
  <si>
    <t>0760b948-36cc-445d-96b2-270b49bc892b</t>
  </si>
  <si>
    <t>2022-08-03T14:03:37.001000+00:00</t>
  </si>
  <si>
    <t>1cacd7bc-2e95-49bc-8652-02151ce004ab</t>
  </si>
  <si>
    <t>2022-08-03T14:07:57.679000+00:00</t>
  </si>
  <si>
    <t>2022-08-03T19:18:03.242000+00:00</t>
  </si>
  <si>
    <t>https://dribble.octin.io/?mode=Single+log&amp;log_id=62ddd63e-5637-464e-a085-e69c57732339</t>
  </si>
  <si>
    <t>ff626dbd-dca8-49f3-a3ca-c0e34696a9d2</t>
  </si>
  <si>
    <t>2022-08-04T13:31:28.156000+00:00</t>
  </si>
  <si>
    <t>91fa4a5c-3884-4ca0-aad9-bae50bd2d8c2</t>
  </si>
  <si>
    <t>2022-08-04T14:37:13.113000+00:00</t>
  </si>
  <si>
    <t>2065e786-634b-43b3-81f2-1dda9c444006</t>
  </si>
  <si>
    <t>2022-08-05T07:13:36.838000+00:00</t>
  </si>
  <si>
    <t>3d444321-5c6f-4039-9e85-41bf1b0a3971</t>
  </si>
  <si>
    <t>2022-08-05T07:17:15.475000+00:00</t>
  </si>
  <si>
    <t>792d55d2-f659-4a26-8140-8dc7215fbb82</t>
  </si>
  <si>
    <t>2022-08-05T07:43:08.645000+00:00</t>
  </si>
  <si>
    <t>1bd3ec5c-a2bb-494c-9507-ff2ae3069d0e</t>
  </si>
  <si>
    <t>2022-08-05T07:44:33.424000+00:00</t>
  </si>
  <si>
    <t>61a6669c-67e9-40ad-901e-33a21aa20072</t>
  </si>
  <si>
    <t>2022-08-05T07:51:32.216000+00:00</t>
  </si>
  <si>
    <t>2db6c091-988f-4981-96c0-39c488396df6</t>
  </si>
  <si>
    <t>2022-08-05T08:22:41.707000+00:00</t>
  </si>
  <si>
    <t>837f0452-7b43-4066-8b6e-50c8414ec2e5</t>
  </si>
  <si>
    <t>2022-08-05T08:46:42.031000+00:00</t>
  </si>
  <si>
    <t>e2484123-6fb4-4f51-ae8b-07c5e6de95e3</t>
  </si>
  <si>
    <t>2022-08-05T09:20:33.869000+00:00</t>
  </si>
  <si>
    <t>d6710487-9bb1-4b27-acd6-5936d227b926</t>
  </si>
  <si>
    <t>2022-08-05T09:24:55.239000+00:00</t>
  </si>
  <si>
    <t>fe373166-6be8-44a1-8013-385773aee312</t>
  </si>
  <si>
    <t>2022-08-08T08:55:17.944000+00:00</t>
  </si>
  <si>
    <t>857fa6bd-44f0-4e7c-b7d2-c928ce2a822e</t>
  </si>
  <si>
    <t>2022-08-08T08:56:17.369000+00:00</t>
  </si>
  <si>
    <t>4d0191c8-6ced-4b25-bde4-a9615a639da3</t>
  </si>
  <si>
    <t>2022-08-08T10:06:28.654000+00:00</t>
  </si>
  <si>
    <t>6a8bd33c-3d66-47ab-86d6-21c668485304</t>
  </si>
  <si>
    <t>2022-08-08T10:07:41.698000+00:00</t>
  </si>
  <si>
    <t>2af76419-f8b3-4279-a319-aaedc31829b4</t>
  </si>
  <si>
    <t>2022-08-08T10:10:55.260000+00:00</t>
  </si>
  <si>
    <t>b50dba33-b681-4342-bcad-d1144a3df112</t>
  </si>
  <si>
    <t>2022-08-08T15:32:00.000000+00:00</t>
  </si>
  <si>
    <t>https://dribble.octin.io/?mode=Single+log&amp;log_id=b50dba33-b681-4342-bcad-d1144a3df112</t>
  </si>
  <si>
    <t>2022-08-08T19:17:42.772000+00:00</t>
  </si>
  <si>
    <t>https://dribble.octin.io/?mode=Single+log&amp;log_id=e336a8b4-07ad-40f7-b3b0-9f0d865ecbc6</t>
  </si>
  <si>
    <t>2022-08-08T19:29:36.457000+00:00</t>
  </si>
  <si>
    <t>https://dribble.octin.io/?mode=Single+log&amp;log_id=2caf6c90-815d-4058-87b5-7c093574952d</t>
  </si>
  <si>
    <t>2022-08-08T20:12:00.000000+00:00</t>
  </si>
  <si>
    <t>https://dribble.octin.io/?mode=Single+log&amp;log_id=862c1163-e961-4d8f-8369-8b4eb9b444ec</t>
  </si>
  <si>
    <t>2022-08-08T20:13:04.205000+00:00</t>
  </si>
  <si>
    <t>https://dribble.octin.io/?mode=Single+log&amp;log_id=917389e3-e8e0-4bd8-94f4-6bca423b7f75</t>
  </si>
  <si>
    <t>2022-08-08T20:46:19.130000+00:00</t>
  </si>
  <si>
    <t>https://dribble.octin.io/?mode=Single+log&amp;log_id=461e2039-6e9d-4fc3-8d7c-7e55ecc0e569</t>
  </si>
  <si>
    <t>2022-08-08T21:42:51.243000+00:00</t>
  </si>
  <si>
    <t>https://dribble.octin.io/?mode=Single+log&amp;log_id=531cf508-8419-41df-bc9d-7b87ed763afd</t>
  </si>
  <si>
    <t>f6b14058-c11b-4951-a7de-1c567956a37d</t>
  </si>
  <si>
    <t>2022-08-08T21:45:38.593000+00:00</t>
  </si>
  <si>
    <t>https://dribble.octin.io/?mode=Single+log&amp;log_id=f6b14058-c11b-4951-a7de-1c567956a37d</t>
  </si>
  <si>
    <t>2022-08-08T22:02:33.941000+00:00</t>
  </si>
  <si>
    <t>https://dribble.octin.io/?mode=Single+log&amp;log_id=33d91ba2-8028-4529-a963-839d5e82f8cd</t>
  </si>
  <si>
    <t>2022-08-08T22:22:26.484000+00:00</t>
  </si>
  <si>
    <t>https://dribble.octin.io/?mode=Single+log&amp;log_id=d56cf962-2c76-428e-a72b-99199d446f16</t>
  </si>
  <si>
    <t>b04c7cd1-52f1-44d7-85ab-a34fb2345547</t>
  </si>
  <si>
    <t>2022-08-08T22:27:32.234000+00:00</t>
  </si>
  <si>
    <t>https://dribble.octin.io/?mode=Single+log&amp;log_id=b04c7cd1-52f1-44d7-85ab-a34fb2345547</t>
  </si>
  <si>
    <t>2022-08-08T23:51:11.848000+00:00</t>
  </si>
  <si>
    <t>https://dribble.octin.io/?mode=Single+log&amp;log_id=0864d398-177b-4ebb-b147-fdda6a35ae13</t>
  </si>
  <si>
    <t>2022-08-09T03:16:47.632000+00:00</t>
  </si>
  <si>
    <t>https://dribble.octin.io/?mode=Single+log&amp;log_id=0a9ee04e-90f6-458d-8380-3ced3e5d9527</t>
  </si>
  <si>
    <t>4267807b-ca04-4e39-bd1e-66bde6306c90</t>
  </si>
  <si>
    <t>2022-08-09T07:34:07.906000+00:00</t>
  </si>
  <si>
    <t>9d33762d-9783-48e8-97bc-93d2c34df521</t>
  </si>
  <si>
    <t>4a2f60dc-9f4f-45ed-b415-3a2dd3f7df06</t>
  </si>
  <si>
    <t>2022-08-09T08:43:34.902000+00:00</t>
  </si>
  <si>
    <t>279c2b03-ff16-4203-aac1-ebc6eb15db00</t>
  </si>
  <si>
    <t>392d1e05-7325-4ba4-9269-8a8a81d8f1f2</t>
  </si>
  <si>
    <t>2022-08-09T09:20:06.246000+00:00</t>
  </si>
  <si>
    <t>059d00e8-9abc-46ff-9ca6-aeb8211eb3a3</t>
  </si>
  <si>
    <t>2022-08-09T10:03:58.780000+00:00</t>
  </si>
  <si>
    <t>2b584596-7ba5-489e-9010-601eb927dc88</t>
  </si>
  <si>
    <t>b887aaa1-4cd0-47a1-a0ae-17a7090d01a0</t>
  </si>
  <si>
    <t>2022-08-09T10:04:54.209000+00:00</t>
  </si>
  <si>
    <t>0e405f3d-1b00-40b2-a468-a9cca79e4472</t>
  </si>
  <si>
    <t>2022-08-09T10:09:27.177000+00:00</t>
  </si>
  <si>
    <t>https://dribble.octin.io/?mode=Single+log&amp;log_id=0e405f3d-1b00-40b2-a468-a9cca79e4472</t>
  </si>
  <si>
    <t>2022-08-09T10:10:21.925000+00:00</t>
  </si>
  <si>
    <t>https://dribble.octin.io/?mode=Single+log&amp;log_id=d2638067-f4d0-4b9b-a3ff-d956a68f8b1b</t>
  </si>
  <si>
    <t>5ca905f8-77a8-4616-adb8-fa4ae7333973</t>
  </si>
  <si>
    <t>2022-08-09T10:18:15.652000+00:00</t>
  </si>
  <si>
    <t>01e26f2f-d365-49b7-9457-c0f50b0be044</t>
  </si>
  <si>
    <t>e7e69128-c9e3-42f2-889a-ffdfbd78e514</t>
  </si>
  <si>
    <t>2022-08-09T10:37:32.909000+00:00</t>
  </si>
  <si>
    <t>a363250f-24d4-4c6d-9467-342cb9c9fa23</t>
  </si>
  <si>
    <t>2022-08-09T10:55:25.584000+00:00</t>
  </si>
  <si>
    <t>2022-08-09T12:16:00.000000+00:00</t>
  </si>
  <si>
    <t>https://dribble.octin.io/?mode=Single+log&amp;log_id=96fd6cca-e387-4b25-8a2e-17d429c20991</t>
  </si>
  <si>
    <t>2022-08-09T13:35:00.000000+00:00</t>
  </si>
  <si>
    <t>https://dribble.octin.io/?mode=Single+log&amp;log_id=8486e948-3ee0-4089-8c7f-c9f0516cbb02</t>
  </si>
  <si>
    <t>2022-08-10T14:05:00.000000+00:00</t>
  </si>
  <si>
    <t>https://dribble.octin.io/?mode=Single+log&amp;log_id=5f2ef70f-5c77-4cd3-bb9e-49fe2c5264a6</t>
  </si>
  <si>
    <t>2022-08-10T15:06:00.000000+00:00</t>
  </si>
  <si>
    <t>https://dribble.octin.io/?mode=Single+log&amp;log_id=b619cc2c-9fc4-42d4-98db-52b7f0aa05e4</t>
  </si>
  <si>
    <t>2022-08-10T15:36:00.000000+00:00</t>
  </si>
  <si>
    <t>https://dribble.octin.io/?mode=Single+log&amp;log_id=8889378f-5495-452d-b794-56c2e0310ce5</t>
  </si>
  <si>
    <t>2022-08-10T20:17:00.000000+00:00</t>
  </si>
  <si>
    <t>https://dribble.octin.io/?mode=Single+log&amp;log_id=dcb067eb-12d8-4303-9f22-f35543f49b1f</t>
  </si>
  <si>
    <t>2022-08-10T23:37:00.000000+00:00</t>
  </si>
  <si>
    <t>https://dribble.octin.io/?mode=Single+log&amp;log_id=5079d829-77dd-4022-9079-e2654c00ec98</t>
  </si>
  <si>
    <t>e1b655bf-a687-41c5-97be-200c5cbc0f13</t>
  </si>
  <si>
    <t>2022-08-11T08:34:07.137000+00:00</t>
  </si>
  <si>
    <t>2022-08-11T14:50:33.600000+00:00</t>
  </si>
  <si>
    <t>https://dribble.octin.io/?mode=Single+log&amp;log_id=2b0353ea-6b67-42db-9143-fc72df15d869</t>
  </si>
  <si>
    <t>2022-08-11T15:06:20.401000+00:00</t>
  </si>
  <si>
    <t>https://dribble.octin.io/?mode=Single+log&amp;log_id=e0ed333b-7510-4f00-8e7e-6504c4eaad98</t>
  </si>
  <si>
    <t>2022-08-11T18:40:15.239000+00:00</t>
  </si>
  <si>
    <t>https://dribble.octin.io/?mode=Single+log&amp;log_id=7919b85a-864e-4f79-a5d0-88b94ac09256</t>
  </si>
  <si>
    <t>c470e575-3870-46cd-93bd-13ae500f2c64</t>
  </si>
  <si>
    <t>2022-08-12T14:50:02.638000+00:00</t>
  </si>
  <si>
    <t>2782b379-66d3-44bb-96f0-0991f4ad0c8b</t>
  </si>
  <si>
    <t>2022-08-16T11:54:29.315000+00:00</t>
  </si>
  <si>
    <t>2022-08-16T20:28:03.961000+00:00</t>
  </si>
  <si>
    <t>https://dribble.octin.io/?mode=Single+log&amp;log_id=2e29812e-5077-4520-a42e-9912364a50d2</t>
  </si>
  <si>
    <t>2022-08-16T21:54:52.156000+00:00</t>
  </si>
  <si>
    <t>https://dribble.octin.io/?mode=Single+log&amp;log_id=634e8989-6d4c-4d32-a63a-99c3b557aad0</t>
  </si>
  <si>
    <t>4f8520c0-4530-4eb4-a378-4373234aaad7</t>
  </si>
  <si>
    <t>2022-08-17T11:42:21.207000+00:00</t>
  </si>
  <si>
    <t>cb2f9243-d0d8-4446-8589-49c6cd2c916b</t>
  </si>
  <si>
    <t>2022-08-17T14:15:52.170000+00:00</t>
  </si>
  <si>
    <t>https://dribble.octin.io/?mode=Single+log&amp;log_id=cb2f9243-d0d8-4446-8589-49c6cd2c916b</t>
  </si>
  <si>
    <t>2022-08-17T18:53:03.327000+00:00</t>
  </si>
  <si>
    <t>https://dribble.octin.io/?mode=Single+log&amp;log_id=722cb8d3-dd06-468f-91e8-e64d280c4314</t>
  </si>
  <si>
    <t>2022-08-17T23:10:47.049000+00:00</t>
  </si>
  <si>
    <t>https://dribble.octin.io/?mode=Single+log&amp;log_id=b5b3beaa-dfd3-4fa6-a8c7-b9e69c4229ab</t>
  </si>
  <si>
    <t>32f8af93-f89d-4a66-bfd6-ba094d5f5360</t>
  </si>
  <si>
    <t>2022-08-18T04:18:48.973000+00:00</t>
  </si>
  <si>
    <t>https://dribble.octin.io/?mode=Single+log&amp;log_id=32f8af93-f89d-4a66-bfd6-ba094d5f5360</t>
  </si>
  <si>
    <t>12d154f8-1381-4e9e-833b-1fada68dbaca</t>
  </si>
  <si>
    <t>2022-08-18T09:21:44.801000+00:00</t>
  </si>
  <si>
    <t>0445a1d5-b79f-4151-8145-d4d1235075b5</t>
  </si>
  <si>
    <t>2022-08-18T10:23:45.380000+00:00</t>
  </si>
  <si>
    <t>2022-08-18T20:32:05.971000+00:00</t>
  </si>
  <si>
    <t>https://dribble.octin.io/?mode=Single+log&amp;log_id=712fa123-7129-4c26-a18c-19d678e843e3</t>
  </si>
  <si>
    <t>ae7b1580-91dd-44ab-beec-80fbb759f663</t>
  </si>
  <si>
    <t>2022-08-23T08:21:00.177000+00:00</t>
  </si>
  <si>
    <t>d8463fc1-f6dc-4058-8bf4-edd52d89107d</t>
  </si>
  <si>
    <t>2022-08-23T08:24:32.698000+00:00</t>
  </si>
  <si>
    <t>7bdb73eb-0f6c-44ce-925d-7238af9eb0fe</t>
  </si>
  <si>
    <t>2022-08-23T10:31:38.653000+00:00</t>
  </si>
  <si>
    <t>b676d83d-1703-4ffa-b045-96142047cbd8</t>
  </si>
  <si>
    <t>2022-08-23T10:37:25.868000+00:00</t>
  </si>
  <si>
    <t>70991225-a717-46c5-b6ab-6128f420632a</t>
  </si>
  <si>
    <t>2022-08-23T10:38:31.821000+00:00</t>
  </si>
  <si>
    <t>4620b231-cbeb-47ca-a6f4-6ea35ad65d15</t>
  </si>
  <si>
    <t>2022-08-23T12:51:46.141000+00:00</t>
  </si>
  <si>
    <t>168c5732-dd17-4ba2-ac15-85ab653569c9</t>
  </si>
  <si>
    <t>2022-08-23T19:57:15.098000+00:00</t>
  </si>
  <si>
    <t>https://dribble.octin.io/?mode=Single+log&amp;log_id=168c5732-dd17-4ba2-ac15-85ab653569c9</t>
  </si>
  <si>
    <t>2022-08-23T20:59:08.315000+00:00</t>
  </si>
  <si>
    <t>https://dribble.octin.io/?mode=Single+log&amp;log_id=a1d6e675-e75c-41b2-b0ea-f2dc795d3cca</t>
  </si>
  <si>
    <t>2022-08-24T00:01:00.560000+00:00</t>
  </si>
  <si>
    <t>https://dribble.octin.io/?mode=Single+log&amp;log_id=7a2e9786-d154-47ac-85b7-88a12bd68516</t>
  </si>
  <si>
    <t>917940f0-8f61-4984-9d32-ee3ae98b40b5</t>
  </si>
  <si>
    <t>2022-08-24T16:06:13.200000+00:00</t>
  </si>
  <si>
    <t>https://dribble.octin.io/?mode=Single+log&amp;log_id=917940f0-8f61-4984-9d32-ee3ae98b40b5</t>
  </si>
  <si>
    <t>2022-08-24T21:33:24.826000+00:00</t>
  </si>
  <si>
    <t>https://dribble.octin.io/?mode=Single+log&amp;log_id=0b9d28d6-0d8d-48e1-9b90-81f7c7041708</t>
  </si>
  <si>
    <t>2022-08-25T03:39:44.915000+00:00</t>
  </si>
  <si>
    <t>https://dribble.octin.io/?mode=Single+log&amp;log_id=4ea29856-a74a-4f41-a76f-1094297a263c</t>
  </si>
  <si>
    <t>2022-08-25T03:45:27.525000+00:00</t>
  </si>
  <si>
    <t>https://dribble.octin.io/?mode=Single+log&amp;log_id=6e3df9c1-ca11-4779-b49a-c18e5e4fcfb2</t>
  </si>
  <si>
    <t>25e848e4-39a1-4e7f-bb74-2749c9730cf6</t>
  </si>
  <si>
    <t>2022-08-25T07:50:07.415000+00:00</t>
  </si>
  <si>
    <t>62586a60-14ea-4b2f-a469-6c48e3559b57</t>
  </si>
  <si>
    <t>2022-08-25T11:02:18.812000+00:00</t>
  </si>
  <si>
    <t>https://dribble.octin.io/?mode=Single+log&amp;log_id=62586a60-14ea-4b2f-a469-6c48e3559b57</t>
  </si>
  <si>
    <t>526c9cdc-0644-402e-8544-4bf7853b5070</t>
  </si>
  <si>
    <t>2022-08-25T11:02:57.569000+00:00</t>
  </si>
  <si>
    <t>https://dribble.octin.io/?mode=Single+log&amp;log_id=526c9cdc-0644-402e-8544-4bf7853b5070</t>
  </si>
  <si>
    <t>a6837e62-1ac2-4672-8279-0372119aac48</t>
  </si>
  <si>
    <t>2022-08-25T11:38:32.484000+00:00</t>
  </si>
  <si>
    <t>3f8a57d0-b1ba-4bca-9720-c1949bdde6dd</t>
  </si>
  <si>
    <t>760d93ff-77f4-40a8-8ca4-4e7ed6508fd9</t>
  </si>
  <si>
    <t>2022-08-25T12:20:25.157000+00:00</t>
  </si>
  <si>
    <t>6872323f-4f4e-40a0-a768-e10355554bb3</t>
  </si>
  <si>
    <t>1cdcadfc-832b-43fe-b17e-86a905332665</t>
  </si>
  <si>
    <t>2022-08-25T12:21:16.770000+00:00</t>
  </si>
  <si>
    <t>0e7367c1-063c-448a-ade1-07d2518e60ba</t>
  </si>
  <si>
    <t>2022-08-25T12:22:15.553000+00:00</t>
  </si>
  <si>
    <t>2022-08-25T13:58:20.720000+00:00</t>
  </si>
  <si>
    <t>https://dribble.octin.io/?mode=Single+log&amp;log_id=e074d90c-eaf7-4e21-a2c8-33f430ce0427</t>
  </si>
  <si>
    <t>2022-08-25T14:08:26.265000+00:00</t>
  </si>
  <si>
    <t>https://dribble.octin.io/?mode=Single+log&amp;log_id=f38e4063-2f68-462b-8111-080673c647ae</t>
  </si>
  <si>
    <t>cc5314aa-7bb7-40cd-8779-ee4840536c7e</t>
  </si>
  <si>
    <t>2022-08-25T14:21:33.763000+00:00</t>
  </si>
  <si>
    <t>https://dribble.octin.io/?mode=Single+log&amp;log_id=cc5314aa-7bb7-40cd-8779-ee4840536c7e</t>
  </si>
  <si>
    <t>2022-08-25T14:27:53.146000+00:00</t>
  </si>
  <si>
    <t>https://dribble.octin.io/?mode=Single+log&amp;log_id=1e30e97e-a939-494e-b85d-53df1aa777fd</t>
  </si>
  <si>
    <t>2022-08-25T14:52:41.861000+00:00</t>
  </si>
  <si>
    <t>https://dribble.octin.io/?mode=Single+log&amp;log_id=4a11d69c-4375-44a0-8998-4dee928321b0</t>
  </si>
  <si>
    <t>2022-08-25T15:06:04.132000+00:00</t>
  </si>
  <si>
    <t>https://dribble.octin.io/?mode=Single+log&amp;log_id=7826c206-0529-4851-87e5-a3fc5c8b02b4</t>
  </si>
  <si>
    <t>2022-08-25T15:28:06.378000+00:00</t>
  </si>
  <si>
    <t>https://dribble.octin.io/?mode=Single+log&amp;log_id=dae4dd58-a8de-4505-bf43-d56c6ac4e24c</t>
  </si>
  <si>
    <t>2022-08-25T15:39:57.782000+00:00</t>
  </si>
  <si>
    <t>https://dribble.octin.io/?mode=Single+log&amp;log_id=69659ecc-3260-425c-9001-42b6776e3bf9</t>
  </si>
  <si>
    <t>2022-08-25T16:08:48.158000+00:00</t>
  </si>
  <si>
    <t>https://dribble.octin.io/?mode=Single+log&amp;log_id=567432d5-c036-4aff-af97-5849bca480a9</t>
  </si>
  <si>
    <t>2022-08-25T16:10:02.723000+00:00</t>
  </si>
  <si>
    <t>https://dribble.octin.io/?mode=Single+log&amp;log_id=17cd2657-d29b-4142-a1d7-e03b248757ff</t>
  </si>
  <si>
    <t>757d7890-d65d-43e1-95e8-4a2bc7d70529</t>
  </si>
  <si>
    <t>2022-08-25T16:55:39.937000+00:00</t>
  </si>
  <si>
    <t>2e8ecd16-258c-4127-9b9d-9aed587e2dd5</t>
  </si>
  <si>
    <t>https://dribble.octin.io/?mode=Single+log&amp;log_id=757d7890-d65d-43e1-95e8-4a2bc7d70529</t>
  </si>
  <si>
    <t>2022-08-25T18:05:28.529000+00:00</t>
  </si>
  <si>
    <t>https://dribble.octin.io/?mode=Single+log&amp;log_id=96999c74-85b1-439f-9119-e9039352e7ff</t>
  </si>
  <si>
    <t>2022-08-25T21:45:11.393000+00:00</t>
  </si>
  <si>
    <t>https://dribble.octin.io/?mode=Single+log&amp;log_id=87bc15ad-cb50-448a-a403-c12c3ee8c387</t>
  </si>
  <si>
    <t>2022-08-25T21:46:47.315000+00:00</t>
  </si>
  <si>
    <t>https://dribble.octin.io/?mode=Single+log&amp;log_id=a705e644-90cc-45ef-b50d-59e04495dd0c</t>
  </si>
  <si>
    <t>2022-08-25T23:46:41.113000+00:00</t>
  </si>
  <si>
    <t>https://dribble.octin.io/?mode=Single+log&amp;log_id=9eb255f3-4694-4d48-8cbd-01d841138420</t>
  </si>
  <si>
    <t>1940902b-952d-47ca-9699-fa9321754777</t>
  </si>
  <si>
    <t>2022-08-26T09:04:57.899000+00:00</t>
  </si>
  <si>
    <t>https://dribble.octin.io/?mode=Single+log&amp;log_id=1940902b-952d-47ca-9699-fa9321754777</t>
  </si>
  <si>
    <t>1ec45d5e-cb0f-4403-a16a-c88e653b9d33</t>
  </si>
  <si>
    <t>2022-08-26T09:13:34.178000+00:00</t>
  </si>
  <si>
    <t>https://dribble.octin.io/?mode=Single+log&amp;log_id=1ec45d5e-cb0f-4403-a16a-c88e653b9d33</t>
  </si>
  <si>
    <t>88f68e68-c0d7-4361-aeca-606ac7be9ac8</t>
  </si>
  <si>
    <t>2022-08-26T12:38:55.529000+00:00</t>
  </si>
  <si>
    <t>9b86ee65-0f75-4edd-94b7-fa4046fda02f</t>
  </si>
  <si>
    <t>2022-08-26T12:41:27.867000+00:00</t>
  </si>
  <si>
    <t>d29d5940-0a24-4a80-bfd3-db5cd9c1d09f</t>
  </si>
  <si>
    <t>2022-08-26T13:37:22.851000+00:00</t>
  </si>
  <si>
    <t>17f32479-7f73-4df9-ab4b-b9867ee27931</t>
  </si>
  <si>
    <t>2022-08-26T13:46:57.360000+00:00</t>
  </si>
  <si>
    <t>562b66c2-30e7-4fd8-9484-c5e15b9ab1e7</t>
  </si>
  <si>
    <t>61d6a9cd-7163-4bc2-8971-40fa8ae6bcf1</t>
  </si>
  <si>
    <t>2022-08-26T17:10:57.216000+00:00</t>
  </si>
  <si>
    <t>64210fc8-9dd5-418b-b6bb-d65045c20c33</t>
  </si>
  <si>
    <t>27bf7099-56bf-47ee-8b1d-0a5fcb0a6742</t>
  </si>
  <si>
    <t>2022-08-26T17:23:08.895000+00:00</t>
  </si>
  <si>
    <t>07dd3332-351c-444d-8cae-c262c6128dd5</t>
  </si>
  <si>
    <t>f10de4e0-be7e-459c-a229-9b6c00384126</t>
  </si>
  <si>
    <t>2022-08-26T17:27:58.965000+00:00</t>
  </si>
  <si>
    <t>05496108-1e53-4fdf-b601-f123195a8955</t>
  </si>
  <si>
    <t>2022-08-26T17:47:21.678000+00:00</t>
  </si>
  <si>
    <t>8f3f6c64-6850-4120-9154-a43084a497d0</t>
  </si>
  <si>
    <t>9195ee04-3395-4309-86ec-3cc96d103929</t>
  </si>
  <si>
    <t>2022-08-26T17:57:37.666000+00:00</t>
  </si>
  <si>
    <t>ff501796-d281-4d86-bec1-2025ec9d17f2</t>
  </si>
  <si>
    <t>3b3e3bcd-f0b0-4250-94e9-85c1fa5044d6</t>
  </si>
  <si>
    <t>2022-08-26T21:24:55.705000+00:00</t>
  </si>
  <si>
    <t>9d2b40ca-c2d8-4e50-b2fb-40e6d9f4bf25</t>
  </si>
  <si>
    <t>f49ec8e3-d41b-422a-a1c1-938ec7776484</t>
  </si>
  <si>
    <t>2022-08-26T21:28:35.402000+00:00</t>
  </si>
  <si>
    <t>870ae900-534e-43ed-b45f-4a057c1d34da</t>
  </si>
  <si>
    <t>27ca4f4d-a168-4910-bdb7-f864dbe0e175</t>
  </si>
  <si>
    <t>2022-08-26T21:29:07.537000+00:00</t>
  </si>
  <si>
    <t>b97752dd-677f-42fb-b514-011d72381c7e</t>
  </si>
  <si>
    <t>2022-08-26T21:32:26.337000+00:00</t>
  </si>
  <si>
    <t>71405fc9-28d9-450c-bb4d-f84ac61124b8</t>
  </si>
  <si>
    <t>29bc9817-1d17-4039-ae1c-aae354f9ee78</t>
  </si>
  <si>
    <t>2022-08-26T21:35:53.463000+00:00</t>
  </si>
  <si>
    <t>229acac3-f151-4f40-a254-9fb94b429dab</t>
  </si>
  <si>
    <t>f0c398d0-b691-4e38-9198-153904b91b32</t>
  </si>
  <si>
    <t>2022-08-29T08:56:30.604000+00:00</t>
  </si>
  <si>
    <t>2b8b61ab-f1b9-414f-b4b1-a9d09be0e8e0</t>
  </si>
  <si>
    <t>d37b6bf7-b0aa-44a6-bbc8-1340c69221d0</t>
  </si>
  <si>
    <t>2022-08-29T10:38:03.882000+00:00</t>
  </si>
  <si>
    <t>0cb02740-6111-45a5-9993-50867dba650d</t>
  </si>
  <si>
    <t>6833c9e5-78d1-41f1-992e-e56530027795</t>
  </si>
  <si>
    <t>2022-08-29T10:48:32.497000+00:00</t>
  </si>
  <si>
    <t>32aec5bb-1fb8-4b2b-a259-f05e3fa2f399</t>
  </si>
  <si>
    <t>4c390560-0bfb-417a-abb2-a6e6cd4edc00</t>
  </si>
  <si>
    <t>2022-08-29T11:46:07.190000+00:00</t>
  </si>
  <si>
    <t>b947f1c7-606d-42ef-a52b-3178df624b0a</t>
  </si>
  <si>
    <t>2022-08-29T13:25:26.971000+00:00</t>
  </si>
  <si>
    <t>31c99851-adf9-4370-8c03-7e8acf1203c5</t>
  </si>
  <si>
    <t>2022-08-29T13:53:07.878000+00:00</t>
  </si>
  <si>
    <t>70d7c372-d2c9-4bd5-ba85-a76865cac55f</t>
  </si>
  <si>
    <t>2022-08-29T14:00:45.885000+00:00</t>
  </si>
  <si>
    <t>2022-08-29T19:51:34.209000+00:00</t>
  </si>
  <si>
    <t>https://dribble.octin.io/?mode=Single+log&amp;log_id=b3ccbb42-4421-4b20-bbc0-b4fbbe531877</t>
  </si>
  <si>
    <t>2022-08-29T23:32:51.770000+00:00</t>
  </si>
  <si>
    <t>https://dribble.octin.io/?mode=Single+log&amp;log_id=4e27362a-f706-4d0a-b6e7-39389bf25b29</t>
  </si>
  <si>
    <t>2022-08-30T03:55:49.015000+00:00</t>
  </si>
  <si>
    <t>https://dribble.octin.io/?mode=Single+log&amp;log_id=c697c21c-f7d6-400e-b044-801efaaaf97d</t>
  </si>
  <si>
    <t>2022-08-30T04:19:08.360000+00:00</t>
  </si>
  <si>
    <t>https://dribble.octin.io/?mode=Single+log&amp;log_id=12cda4d6-7837-4514-8007-1c9cffe4d737</t>
  </si>
  <si>
    <t>2022-08-30T04:20:58.692000+00:00</t>
  </si>
  <si>
    <t>https://dribble.octin.io/?mode=Single+log&amp;log_id=21eec462-963f-483c-a999-680ab6240cff</t>
  </si>
  <si>
    <t>2022-08-30T04:22:13.610000+00:00</t>
  </si>
  <si>
    <t>https://dribble.octin.io/?mode=Single+log&amp;log_id=0c4cef0f-4be5-4212-9c91-bcba218be3d0</t>
  </si>
  <si>
    <t>bd6c4f60-a957-44fd-b97c-d964088ea0c4</t>
  </si>
  <si>
    <t>2022-08-31T09:32:06.842000+00:00</t>
  </si>
  <si>
    <t>7d72505a-d8d2-43e6-aae7-85cef78f2787</t>
  </si>
  <si>
    <t>2022-08-31T09:32:41.221000+00:00</t>
  </si>
  <si>
    <t>a5a40937-5520-4c2c-bbbc-909b6e06e238</t>
  </si>
  <si>
    <t>2022-08-31T09:33:18.968000+00:00</t>
  </si>
  <si>
    <t>95dfdc6c-d47c-4e59-86a0-0865003a56dc</t>
  </si>
  <si>
    <t>2022-08-31T09:37:05.267000+00:00</t>
  </si>
  <si>
    <t>ab48439c-6d1b-4e45-bff9-93f1fbe3715f</t>
  </si>
  <si>
    <t>2022-08-31T09:52:31.066000+00:00</t>
  </si>
  <si>
    <t>2022-08-31T12:29:13.192000+00:00</t>
  </si>
  <si>
    <t>https://dribble.octin.io/?mode=Single+log&amp;log_id=ff208b44-bff9-4541-b440-b166bb9798d9</t>
  </si>
  <si>
    <t>c2b226b4-feb0-4e70-85b0-bd5571153f66</t>
  </si>
  <si>
    <t>2022-08-31T12:40:39.945000+00:00</t>
  </si>
  <si>
    <t>606dcfce-8f6b-4185-90d5-028c4bd361c6</t>
  </si>
  <si>
    <t>8c8aab95-a66b-4b8a-812b-bd337a85b4c1</t>
  </si>
  <si>
    <t>2022-08-31T13:27:21.360000+00:00</t>
  </si>
  <si>
    <t>4ea819d7-f750-4bd3-8ae3-eebf7bdf80c6</t>
  </si>
  <si>
    <t>d1f2e1e5-d664-496d-ae9f-5ef24d07ca55</t>
  </si>
  <si>
    <t>2022-08-31T13:34:56.081000+00:00</t>
  </si>
  <si>
    <t>ea67574e-0ea1-49b2-92ff-8bc647a75342</t>
  </si>
  <si>
    <t>2022-08-31T14:58:35.166000+00:00</t>
  </si>
  <si>
    <t>5c116674-bcc4-4bb0-a559-96fd2577ac44</t>
  </si>
  <si>
    <t>e2ec7ae9-e1a8-4413-978f-21fa8c930dbb</t>
  </si>
  <si>
    <t>2022-08-31T15:19:51.612000+00:00</t>
  </si>
  <si>
    <t>855d0c58-d6c9-4fc6-8766-3ab060481777</t>
  </si>
  <si>
    <t>e3e68f3f-9946-44d6-972e-7de271fa2197</t>
  </si>
  <si>
    <t>2022-08-31T15:28:49.089000+00:00</t>
  </si>
  <si>
    <t>2022-08-31T17:03:03.588000+00:00</t>
  </si>
  <si>
    <t>https://dribble.octin.io/?mode=Single+log&amp;log_id=e4fc8641-a022-4935-a971-914c0c7726cb</t>
  </si>
  <si>
    <t>2022-08-31T17:58:37.633000+00:00</t>
  </si>
  <si>
    <t>https://dribble.octin.io/?mode=Single+log&amp;log_id=a899f7ed-ba58-4afb-a8fd-f52883ec2c18</t>
  </si>
  <si>
    <t>2022-08-31T17:59:56.493000+00:00</t>
  </si>
  <si>
    <t>https://dribble.octin.io/?mode=Single+log&amp;log_id=643671ed-a8a4-46c4-b9fe-8c4bc9042d6b</t>
  </si>
  <si>
    <t>ba671d52-d81d-4dd6-aeed-ad70296c988f</t>
  </si>
  <si>
    <t>2022-08-31T18:22:20.373000+00:00</t>
  </si>
  <si>
    <t>680feaff-9a3c-427d-89be-d2576963791a</t>
  </si>
  <si>
    <t>2022-08-31T19:13:26.298000+00:00</t>
  </si>
  <si>
    <t>https://dribble.octin.io/?mode=Single+log&amp;log_id=36a1dfb9-c27d-4159-9878-9e62455c2257</t>
  </si>
  <si>
    <t>e832485c-73bd-44aa-9e92-5c5becf50f3b</t>
  </si>
  <si>
    <t>2022-08-31T20:46:59.099000+00:00</t>
  </si>
  <si>
    <t>412f14fb-6c4c-4087-b2cc-f8fbd757309c</t>
  </si>
  <si>
    <t>2022-08-31T21:48:32.368000+00:00</t>
  </si>
  <si>
    <t>dc408135-eda3-4608-9861-a75d2fe0799f</t>
  </si>
  <si>
    <t>4927774c-0e49-4023-90b2-196e91ad5824</t>
  </si>
  <si>
    <t>2022-08-31T22:02:06.979000+00:00</t>
  </si>
  <si>
    <t>d3fd588d-3920-40d7-8246-89866f02f8f0</t>
  </si>
  <si>
    <t>8087a4e0-7c78-463f-8ac5-c073c3e9fd03</t>
  </si>
  <si>
    <t>2022-08-31T22:29:29.418000+00:00</t>
  </si>
  <si>
    <t>deb3ae0e-36af-4836-9e5c-ba9ab172ea64</t>
  </si>
  <si>
    <t>2022-08-31T22:55:05.454000+00:00</t>
  </si>
  <si>
    <t>57943b4a-2777-46bf-af0a-37d7f26a7f32</t>
  </si>
  <si>
    <t>c8f9cab2-3ed9-4a2e-a3fc-6a03d1205572</t>
  </si>
  <si>
    <t>2022-08-31T23:01:41.027000+00:00</t>
  </si>
  <si>
    <t>c124f1df-2e15-49d6-8d80-4a2a5851ebc6</t>
  </si>
  <si>
    <t>2022-08-31T23:50:40.430000+00:00</t>
  </si>
  <si>
    <t>573307f0-2097-4622-b1c6-079832a5184f</t>
  </si>
  <si>
    <t>a0eb175e-f938-43b5-bd0a-11d35a146bf3</t>
  </si>
  <si>
    <t>2022-09-01T08:53:54.177000+00:00</t>
  </si>
  <si>
    <t>fcfddbaa-4ea3-4baf-9616-d2a2ecf85ada</t>
  </si>
  <si>
    <t>2022-09-01T09:09:55.931000+00:00</t>
  </si>
  <si>
    <t>9d8257c1-10bf-4a36-bdfb-154aeb37cac0</t>
  </si>
  <si>
    <t>2022-09-01T10:01:17.120000+00:00</t>
  </si>
  <si>
    <t>c2255dd3-594b-44ea-b2b8-b6e1c544b81b</t>
  </si>
  <si>
    <t>2022-09-01T10:41:28.559000+00:00</t>
  </si>
  <si>
    <t>https://dribble.octin.io/?mode=Single+log&amp;log_id=9fab8b2d-c5fe-43f0-8d30-690a6c391015</t>
  </si>
  <si>
    <t>fb71f8e4-2c30-4b23-a13c-cff60d1bb74e</t>
  </si>
  <si>
    <t>2022-09-01T12:14:29.176000+00:00</t>
  </si>
  <si>
    <t>90946c2a-d961-4aca-b0f8-62008758871e</t>
  </si>
  <si>
    <t>06d4c3ad-3f69-483f-a3ad-1645a7f71adc</t>
  </si>
  <si>
    <t>2022-09-01T12:20:19.218000+00:00</t>
  </si>
  <si>
    <t>2022-09-01T13:08:52.130000+00:00</t>
  </si>
  <si>
    <t>https://dribble.octin.io/?mode=Single+log&amp;log_id=6c461c75-f7e5-4593-a4d7-b1b21fe7eb65</t>
  </si>
  <si>
    <t>5c73b2f7-5ce5-4f1b-a282-01568c0d848f</t>
  </si>
  <si>
    <t>2022-09-01T13:24:17.069000+00:00</t>
  </si>
  <si>
    <t>3613dc70-813d-4e44-95e3-b4ffebd3c41e</t>
  </si>
  <si>
    <t>8d039efe-08c8-40a3-855a-86c18153611e</t>
  </si>
  <si>
    <t>2022-09-01T13:32:58.207000+00:00</t>
  </si>
  <si>
    <t>d479674f-7f03-43b2-bbc4-13465bbd57ff</t>
  </si>
  <si>
    <t>b961595e-8a9c-4d2c-99c2-afcae3541db7</t>
  </si>
  <si>
    <t>2022-09-01T13:40:46.802000+00:00</t>
  </si>
  <si>
    <t>2022-09-01T14:25:36.010000+00:00</t>
  </si>
  <si>
    <t>https://dribble.octin.io/?mode=Single+log&amp;log_id=ec0ccf0d-e95d-4ca0-b263-c8425d4e49c0</t>
  </si>
  <si>
    <t>75b87ba3-766f-492a-a1a6-ef79c63b1c5b</t>
  </si>
  <si>
    <t>2022-09-01T14:27:19.048000+00:00</t>
  </si>
  <si>
    <t>8f51c76f-b920-4938-8668-d10be4c00a3b</t>
  </si>
  <si>
    <t>2022-09-01T14:32:18.732000+00:00</t>
  </si>
  <si>
    <t>https://dribble.octin.io/?mode=Single+log&amp;log_id=1603406f-0dab-40f0-83c9-e38b82e87aef</t>
  </si>
  <si>
    <t>2d67ca59-fd6c-4cfe-962e-66c2237b83a3</t>
  </si>
  <si>
    <t>2022-09-01T15:12:51.429000+00:00</t>
  </si>
  <si>
    <t>aeb09cf6-8100-4458-ba93-18b5bdfe398f</t>
  </si>
  <si>
    <t>2022-09-01T16:02:33.592000+00:00</t>
  </si>
  <si>
    <t>https://dribble.octin.io/?mode=Single+log&amp;log_id=467af639-2264-436e-91e6-a84862c54a29</t>
  </si>
  <si>
    <t>679a4796-5e16-4602-8049-3fcb2627227c</t>
  </si>
  <si>
    <t>2022-09-01T16:16:03.114000+00:00</t>
  </si>
  <si>
    <t>2506af84-288b-4607-aa1c-ed88d9cb4256</t>
  </si>
  <si>
    <t>6eaa5312-52ba-4311-ad87-fabe8101647a</t>
  </si>
  <si>
    <t>2022-09-01T18:38:23.954000+00:00</t>
  </si>
  <si>
    <t>520227f0-4c37-42f0-9107-1b9d3e24443e</t>
  </si>
  <si>
    <t>31c72cc4-10b5-46ef-83df-03b7826535c4</t>
  </si>
  <si>
    <t>2022-09-01T19:03:31.673000+00:00</t>
  </si>
  <si>
    <t>d95dec7e-3731-4383-8dbb-8b6c84594b22</t>
  </si>
  <si>
    <t>2022-09-01T19:31:20.752000+00:00</t>
  </si>
  <si>
    <t>https://dribble.octin.io/?mode=Single+log&amp;log_id=0345b7f2-751f-4133-a1c2-e87e324bf97b</t>
  </si>
  <si>
    <t>539d722c-24b1-48c7-b590-e1bec681249a</t>
  </si>
  <si>
    <t>2022-09-01T19:58:47.006000+00:00</t>
  </si>
  <si>
    <t>e7f5b043-7848-418c-a1d6-e7ac91a30b48</t>
  </si>
  <si>
    <t>2022-09-01T19:59:51.296000+00:00</t>
  </si>
  <si>
    <t>85abeceb-d9a9-4a97-8ad0-7567ac09e456</t>
  </si>
  <si>
    <t>2022-09-02T14:06:34.404000+00:00</t>
  </si>
  <si>
    <t>a154bb52-bf47-4ef1-b88c-070a8e5e96ba</t>
  </si>
  <si>
    <t>2022-09-02T14:06:53.779000+00:00</t>
  </si>
  <si>
    <t>08013f95-a39b-4e79-a5fe-657843cab791</t>
  </si>
  <si>
    <t>2022-09-02T14:09:36.628000+00:00</t>
  </si>
  <si>
    <t>16063d79-13cb-4dea-b169-b72a23fe4c81</t>
  </si>
  <si>
    <t>2022-09-02T14:09:56.765000+00:00</t>
  </si>
  <si>
    <t>6958653c-9299-496c-8d1c-e85c1ab206b2</t>
  </si>
  <si>
    <t>2022-09-02T14:15:01.324000+00:00</t>
  </si>
  <si>
    <t>159b978d-d7df-46f8-97b5-07adf06ace35</t>
  </si>
  <si>
    <t>2022-09-02T14:16:52.632000+00:00</t>
  </si>
  <si>
    <t>47122f5a-54c3-4504-a77f-f6b7ade55302</t>
  </si>
  <si>
    <t>41a24288-a423-4d42-80a1-3ba2ad760cb8</t>
  </si>
  <si>
    <t>2022-09-02T14:19:17.357000+00:00</t>
  </si>
  <si>
    <t>7fe3331e-158d-4c86-8adc-97411496182f</t>
  </si>
  <si>
    <t>2022-09-02T14:19:48.063000+00:00</t>
  </si>
  <si>
    <t>39277195-e457-4e79-853b-39f9cdc18624</t>
  </si>
  <si>
    <t>2022-09-02T14:22:57.402000+00:00</t>
  </si>
  <si>
    <t>88e5b280-b010-4d72-9948-10a04d73f8d1</t>
  </si>
  <si>
    <t>2022-09-03T07:17:45.199000+00:00</t>
  </si>
  <si>
    <t>fd68461c-7b3f-4c5f-9b52-4487bbc28923</t>
  </si>
  <si>
    <t>2022-09-03T07:24:30.151000+00:00</t>
  </si>
  <si>
    <t>b0ab9b4b-46f3-4a53-b69e-de0aee22db69</t>
  </si>
  <si>
    <t>fe7f384f-da8b-4a8a-9b51-a8a8e725c685</t>
  </si>
  <si>
    <t>2022-09-03T07:25:50.486000+00:00</t>
  </si>
  <si>
    <t>56031877-5571-4aab-90d1-da8deb693aab</t>
  </si>
  <si>
    <t>2022-09-03T07:37:39.334000+00:00</t>
  </si>
  <si>
    <t>b38baa1d-c232-4bad-bc3e-1e48f00e235b</t>
  </si>
  <si>
    <t>2022-09-05T07:24:15.411000+00:00</t>
  </si>
  <si>
    <t>2022-09-05T18:00:48.023000+00:00</t>
  </si>
  <si>
    <t>https://dribble.octin.io/?mode=Single+log&amp;log_id=aa5bae68-a5c2-4d4c-9d4c-3769e27c7498</t>
  </si>
  <si>
    <t>2022-09-05T21:08:52.573000+00:00</t>
  </si>
  <si>
    <t>https://dribble.octin.io/?mode=Single+log&amp;log_id=4569a49d-72f9-480d-949a-4116d16f9a37</t>
  </si>
  <si>
    <t>2022-09-05T22:52:26.302000+00:00</t>
  </si>
  <si>
    <t>https://dribble.octin.io/?mode=Single+log&amp;log_id=8542f974-31ca-4b55-876f-14c2d58b5efa</t>
  </si>
  <si>
    <t>2022-09-07T18:58:01.405000+00:00</t>
  </si>
  <si>
    <t>https://dribble.octin.io/?mode=Single+log&amp;log_id=42020332-4898-4d84-9ba3-77f7c6fc4b79</t>
  </si>
  <si>
    <t>2022-09-07T19:07:23.512000+00:00</t>
  </si>
  <si>
    <t>https://dribble.octin.io/?mode=Single+log&amp;log_id=3863ec98-7acb-4755-ac86-20ced35403a1</t>
  </si>
  <si>
    <t>2022-09-07T21:10:19.889000+00:00</t>
  </si>
  <si>
    <t>https://dribble.octin.io/?mode=Single+log&amp;log_id=ceb9a9e8-a929-4a48-a794-77747341d639</t>
  </si>
  <si>
    <t>2022-09-08T03:56:43.116000+00:00</t>
  </si>
  <si>
    <t>https://dribble.octin.io/?mode=Single+log&amp;log_id=5cbf76bd-8daa-4175-8eef-328067c4d761</t>
  </si>
  <si>
    <t>2022-09-08T04:58:58.220000+00:00</t>
  </si>
  <si>
    <t>https://dribble.octin.io/?mode=Single+log&amp;log_id=6fd66e03-5b83-404d-ac8a-c3966b821963</t>
  </si>
  <si>
    <t>2022-09-12T16:20:55.827000+00:00</t>
  </si>
  <si>
    <t>https://dribble.octin.io/?mode=Single+log&amp;log_id=e938471f-4e54-4525-8215-216faab21e23</t>
  </si>
  <si>
    <t>2022-09-12T16:21:43.293000+00:00</t>
  </si>
  <si>
    <t>https://dribble.octin.io/?mode=Single+log&amp;log_id=e5643f33-3afb-4f6d-b3c3-cf409cf2c421</t>
  </si>
  <si>
    <t>2022-09-12T16:23:00.584000+00:00</t>
  </si>
  <si>
    <t>https://dribble.octin.io/?mode=Single+log&amp;log_id=7a141440-7718-4a5b-aa74-7361c339681e</t>
  </si>
  <si>
    <t>2022-09-12T16:38:58.599000+00:00</t>
  </si>
  <si>
    <t>https://dribble.octin.io/?mode=Single+log&amp;log_id=9fc27f53-f123-4285-83b7-99d1146f1ecf</t>
  </si>
  <si>
    <t>2022-09-12T16:39:47.101000+00:00</t>
  </si>
  <si>
    <t>https://dribble.octin.io/?mode=Single+log&amp;log_id=6a41364e-0c62-494b-9f30-3c212eb91104</t>
  </si>
  <si>
    <t>2022-09-12T16:47:58.145000+00:00</t>
  </si>
  <si>
    <t>https://dribble.octin.io/?mode=Single+log&amp;log_id=65eb0b84-743e-4cbf-911a-7d99fa82e61b</t>
  </si>
  <si>
    <t>2022-09-12T16:55:46.638000+00:00</t>
  </si>
  <si>
    <t>https://dribble.octin.io/?mode=Single+log&amp;log_id=1bddb9ed-ed43-4150-818e-51c01a4a25ea</t>
  </si>
  <si>
    <t>2022-09-12T16:57:41.360000+00:00</t>
  </si>
  <si>
    <t>https://dribble.octin.io/?mode=Single+log&amp;log_id=50c0bb17-d657-46e0-9de3-c72d1361e953</t>
  </si>
  <si>
    <t>2022-09-12T17:00:17.556000+00:00</t>
  </si>
  <si>
    <t>https://dribble.octin.io/?mode=Single+log&amp;log_id=f7d7ca8f-9aca-49f0-8f7c-0066d071eef5</t>
  </si>
  <si>
    <t>2022-09-12T20:52:08.500000+00:00</t>
  </si>
  <si>
    <t>https://dribble.octin.io/?mode=Single+log&amp;log_id=0f87d519-ff80-4ecc-b93d-2c589fb53e41</t>
  </si>
  <si>
    <t>2022-09-13T10:29:03.176000+00:00</t>
  </si>
  <si>
    <t>https://dribble.octin.io/?mode=Single+log&amp;log_id=6e5f819e-9ed4-4252-af91-b78eafaf2df8</t>
  </si>
  <si>
    <t>2022-09-13T11:11:24.489000+00:00</t>
  </si>
  <si>
    <t>https://dribble.octin.io/?mode=Single+log&amp;log_id=23dd2cd4-d919-4b65-b35f-a8f18babb882</t>
  </si>
  <si>
    <t>2022-09-13T11:13:54.468000+00:00</t>
  </si>
  <si>
    <t>https://dribble.octin.io/?mode=Single+log&amp;log_id=f221d0b4-a901-487d-8379-227b1fce9261</t>
  </si>
  <si>
    <t>2022-09-13T11:14:31.912000+00:00</t>
  </si>
  <si>
    <t>https://dribble.octin.io/?mode=Single+log&amp;log_id=28009ca8-fb00-438b-88e6-d3751e924339</t>
  </si>
  <si>
    <t>d4affc54-16e5-4e31-aa95-ba7ac86c6987</t>
  </si>
  <si>
    <t>2022-09-13T11:17:58.225000+00:00</t>
  </si>
  <si>
    <t>465a2f50-e5d1-47e7-af8b-3f122c329c5f</t>
  </si>
  <si>
    <t>2022-09-13T12:45:08.051000+00:00</t>
  </si>
  <si>
    <t>https://dribble.octin.io/?mode=Single+log&amp;log_id=3295ff2c-dd94-4b52-a9d9-5cd2af5b0e81</t>
  </si>
  <si>
    <t>f810b60c-227b-4c95-b324-9f314a039341</t>
  </si>
  <si>
    <t>2022-09-13T13:07:44.648000+00:00</t>
  </si>
  <si>
    <t>https://dribble.octin.io/?mode=Single+log&amp;log_id=f810b60c-227b-4c95-b324-9f314a039341</t>
  </si>
  <si>
    <t>9b20a39e-86a1-4f0e-abf6-5c609dc284b8</t>
  </si>
  <si>
    <t>2022-09-13T14:59:34.119000+00:00</t>
  </si>
  <si>
    <t>https://dribble.octin.io/?mode=Single+log&amp;log_id=9b20a39e-86a1-4f0e-abf6-5c609dc284b8</t>
  </si>
  <si>
    <t>592054fe-23a4-4ba4-83ff-86ae59be3b39</t>
  </si>
  <si>
    <t>2022-09-13T15:21:09.514000+00:00</t>
  </si>
  <si>
    <t>https://dribble.octin.io/?mode=Single+log&amp;log_id=592054fe-23a4-4ba4-83ff-86ae59be3b39</t>
  </si>
  <si>
    <t>4db1923e-2410-4d61-8f5c-ca696af23278</t>
  </si>
  <si>
    <t>2022-09-13T16:12:20.396000+00:00</t>
  </si>
  <si>
    <t>https://dribble.octin.io/?mode=Single+log&amp;log_id=4db1923e-2410-4d61-8f5c-ca696af23278</t>
  </si>
  <si>
    <t>37b66d30-14e4-434b-ae0a-8c341adb1863</t>
  </si>
  <si>
    <t>2022-09-13T19:59:17.663000+00:00</t>
  </si>
  <si>
    <t>https://dribble.octin.io/?mode=Single+log&amp;log_id=37b66d30-14e4-434b-ae0a-8c341adb1863</t>
  </si>
  <si>
    <t>d2d1dfbc-3134-449b-b226-a86f06268634</t>
  </si>
  <si>
    <t>2022-09-13T20:50:51.370000+00:00</t>
  </si>
  <si>
    <t>https://dribble.octin.io/?mode=Single+log&amp;log_id=d2d1dfbc-3134-449b-b226-a86f06268634</t>
  </si>
  <si>
    <t>d7e4b522-543c-4482-802f-2265515f8cbf</t>
  </si>
  <si>
    <t>2022-09-13T20:51:34.031000+00:00</t>
  </si>
  <si>
    <t>https://dribble.octin.io/?mode=Single+log&amp;log_id=d7e4b522-543c-4482-802f-2265515f8cbf</t>
  </si>
  <si>
    <t>96bf30c4-d2e4-4e79-9155-e652dac9d2f1</t>
  </si>
  <si>
    <t>2022-09-13T21:19:25.960000+00:00</t>
  </si>
  <si>
    <t>https://dribble.octin.io/?mode=Single+log&amp;log_id=96bf30c4-d2e4-4e79-9155-e652dac9d2f1</t>
  </si>
  <si>
    <t>2022-09-14T04:33:08.919000+00:00</t>
  </si>
  <si>
    <t>https://dribble.octin.io/?mode=Single+log&amp;log_id=e3f9e34c-a183-4846-8266-53b0e4584fa1</t>
  </si>
  <si>
    <t>8910b440-4226-45ee-936f-0e407ea10e22</t>
  </si>
  <si>
    <t>2022-09-14T08:55:50.008000+00:00</t>
  </si>
  <si>
    <t>https://dribble.octin.io/?mode=Single+log&amp;log_id=8910b440-4226-45ee-936f-0e407ea10e22</t>
  </si>
  <si>
    <t>d1776d2e-73de-4398-b705-2926e1fa9090</t>
  </si>
  <si>
    <t>2022-09-14T09:02:05.763000+00:00</t>
  </si>
  <si>
    <t>https://dribble.octin.io/?mode=Single+log&amp;log_id=d1776d2e-73de-4398-b705-2926e1fa9090</t>
  </si>
  <si>
    <t>a6f1327e-b3f3-4d00-a43f-a47f7a922e89</t>
  </si>
  <si>
    <t>2022-09-14T09:21:36.256000+00:00</t>
  </si>
  <si>
    <t>https://dribble.octin.io/?mode=Single+log&amp;log_id=a6f1327e-b3f3-4d00-a43f-a47f7a922e89</t>
  </si>
  <si>
    <t>5073a8e4-a89b-44b1-8d89-60017a9fdef4</t>
  </si>
  <si>
    <t>2022-09-14T09:22:57.618000+00:00</t>
  </si>
  <si>
    <t>https://dribble.octin.io/?mode=Single+log&amp;log_id=5073a8e4-a89b-44b1-8d89-60017a9fdef4</t>
  </si>
  <si>
    <t>2022-09-14T12:12:19.605000+00:00</t>
  </si>
  <si>
    <t>https://dribble.octin.io/?mode=Single+log&amp;log_id=67a075d2-cbfe-4967-a145-17e5146dc66b</t>
  </si>
  <si>
    <t>2022-09-14T12:31:01.041000+00:00</t>
  </si>
  <si>
    <t>https://dribble.octin.io/?mode=Single+log&amp;log_id=85da5a0c-7ab2-427f-8dfa-eee3a620847b</t>
  </si>
  <si>
    <t>2022-09-14T14:22:14.941000+00:00</t>
  </si>
  <si>
    <t>https://dribble.octin.io/?mode=Single+log&amp;log_id=8de62c9e-30a0-466f-a574-d5ffaf9f6cdf</t>
  </si>
  <si>
    <t>2022-09-14T20:02:44.640000+00:00</t>
  </si>
  <si>
    <t>https://dribble.octin.io/?mode=Single+log&amp;log_id=2837d406-0c8e-49f6-a10d-0fa5eecf5eb6</t>
  </si>
  <si>
    <t>2022-09-14T21:14:50.711000+00:00</t>
  </si>
  <si>
    <t>https://dribble.octin.io/?mode=Single+log&amp;log_id=3ada1a4c-82c6-49ab-8d15-d4b4231830ef</t>
  </si>
  <si>
    <t>2022-09-14T21:59:57.014000+00:00</t>
  </si>
  <si>
    <t>https://dribble.octin.io/?mode=Single+log&amp;log_id=8a86a657-b8f8-413c-9c6d-ebf77eb98a83</t>
  </si>
  <si>
    <t>2022-09-14T22:28:02.721000+00:00</t>
  </si>
  <si>
    <t>https://dribble.octin.io/?mode=Single+log&amp;log_id=7846f0ee-0476-45db-8e5c-b0660b1a12e8</t>
  </si>
  <si>
    <t>a4f6507a-6315-44a8-a9c9-0860dc8a6b4a</t>
  </si>
  <si>
    <t>2022-09-15T06:22:58.357000+00:00</t>
  </si>
  <si>
    <t>https://dribble.octin.io/?mode=Single+log&amp;log_id=a4f6507a-6315-44a8-a9c9-0860dc8a6b4a</t>
  </si>
  <si>
    <t>3f17846c-c7e5-4613-8652-16aa5bfcb76c</t>
  </si>
  <si>
    <t>2022-09-15T06:24:53.896000+00:00</t>
  </si>
  <si>
    <t>https://dribble.octin.io/?mode=Single+log&amp;log_id=3f17846c-c7e5-4613-8652-16aa5bfcb76c</t>
  </si>
  <si>
    <t>2022-09-15T10:37:49.549000+00:00</t>
  </si>
  <si>
    <t>https://dribble.octin.io/?mode=Single+log&amp;log_id=3320714b-9a36-47d6-b834-368f8f1a4c03</t>
  </si>
  <si>
    <t>2022-09-15T11:00:32.436000+00:00</t>
  </si>
  <si>
    <t>https://dribble.octin.io/?mode=Single+log&amp;log_id=d42ca90e-a8eb-4205-8c65-7a2e7df9f5b0</t>
  </si>
  <si>
    <t>2022-09-15T11:32:18.218000+00:00</t>
  </si>
  <si>
    <t>https://dribble.octin.io/?mode=Single+log&amp;log_id=9ef56a0d-16cd-48ab-849a-970240a0238f</t>
  </si>
  <si>
    <t>2022-09-15T12:52:23.107000+00:00</t>
  </si>
  <si>
    <t>https://dribble.octin.io/?mode=Single+log&amp;log_id=89d23ecb-f215-4fd2-a3f9-724d69ad19fe</t>
  </si>
  <si>
    <t>2022-09-15T12:53:46.894000+00:00</t>
  </si>
  <si>
    <t>https://dribble.octin.io/?mode=Single+log&amp;log_id=2b229780-a523-4034-a074-fe0f59797fae</t>
  </si>
  <si>
    <t>7cc1ecbf-c15e-451f-94ee-3890d8918560</t>
  </si>
  <si>
    <t>2022-09-15T13:00:09.456000+00:00</t>
  </si>
  <si>
    <t>https://dribble.octin.io/?mode=Single+log&amp;log_id=7cc1ecbf-c15e-451f-94ee-3890d8918560</t>
  </si>
  <si>
    <t>2022-09-15T13:38:44.279000+00:00</t>
  </si>
  <si>
    <t>https://dribble.octin.io/?mode=Single+log&amp;log_id=26cd128c-924e-4f87-bb83-25096a1a29ba</t>
  </si>
  <si>
    <t>2022-09-15T13:42:14.154000+00:00</t>
  </si>
  <si>
    <t>https://dribble.octin.io/?mode=Single+log&amp;log_id=afecd81e-240d-4676-b38f-76ca26070ea6</t>
  </si>
  <si>
    <t>2022-09-15T15:12:14.561000+00:00</t>
  </si>
  <si>
    <t>https://dribble.octin.io/?mode=Single+log&amp;log_id=f90bb712-cd56-48e9-82c1-2d94af4da606</t>
  </si>
  <si>
    <t>2022-09-15T16:21:00.869000+00:00</t>
  </si>
  <si>
    <t>https://dribble.octin.io/?mode=Single+log&amp;log_id=a371565a-88b0-41d8-9fb5-0227a7175c07</t>
  </si>
  <si>
    <t>2022-09-15T16:35:21.494000+00:00</t>
  </si>
  <si>
    <t>https://dribble.octin.io/?mode=Single+log&amp;log_id=e3205a13-9c50-49b7-91cf-ef0c7271bc6e</t>
  </si>
  <si>
    <t>2022-09-16T02:04:52.884000+00:00</t>
  </si>
  <si>
    <t>https://dribble.octin.io/?mode=Single+log&amp;log_id=87f4aecc-1ff8-417c-befe-0cd40fd6d51d</t>
  </si>
  <si>
    <t>98e7945c-2831-40b8-bf90-45e37b189676</t>
  </si>
  <si>
    <t>2022-09-16T12:04:22.414000+00:00</t>
  </si>
  <si>
    <t>c7f42985-5e19-4ae0-ad69-be15c4b31d19</t>
  </si>
  <si>
    <t>2022-09-16T13:20:23.246000+00:00</t>
  </si>
  <si>
    <t>b2ce2dbc-4ac7-4897-a06e-9ae15b782da1</t>
  </si>
  <si>
    <t>2022-09-16T13:22:35.121000+00:00</t>
  </si>
  <si>
    <t>2022-09-16T13:25:03.637000+00:00</t>
  </si>
  <si>
    <t>2022-09-16T13:26:18.085000+00:00</t>
  </si>
  <si>
    <t>2022-09-16T13:27:11.518000+00:00</t>
  </si>
  <si>
    <t>cfab0928-f65f-4ed0-b3a7-e5bc1f455e56</t>
  </si>
  <si>
    <t>2022-09-16T13:33:40.250000+00:00</t>
  </si>
  <si>
    <t>2022-09-16T13:46:40.265000+00:00</t>
  </si>
  <si>
    <t>2022-09-16T13:47:24.806000+00:00</t>
  </si>
  <si>
    <t>2022-09-16T13:49:17.652000+00:00</t>
  </si>
  <si>
    <t>2022-09-16T13:50:48.419000+00:00</t>
  </si>
  <si>
    <t>d8e06dea-8908-46f1-b753-a4aa4c2c27a3</t>
  </si>
  <si>
    <t>2022-09-16T14:00:22.910000+00:00</t>
  </si>
  <si>
    <t>2022-09-16T14:02:37.201000+00:00</t>
  </si>
  <si>
    <t>2022-09-16T14:03:20.468000+00:00</t>
  </si>
  <si>
    <t>7c9c8f55-0692-40f6-b72f-90a438787a53</t>
  </si>
  <si>
    <t>2022-09-16T14:10:55.673000+00:00</t>
  </si>
  <si>
    <t>0801f3ed-7190-404a-96e3-b2b329b6b97f</t>
  </si>
  <si>
    <t>2022-09-16T14:31:32.850000+00:00</t>
  </si>
  <si>
    <t>960a17b7-d0d5-4402-a932-cb729f324ccf</t>
  </si>
  <si>
    <t>2022-09-16T14:48:25.448000+00:00</t>
  </si>
  <si>
    <t>4bbda550-0aa8-4f3e-ae8b-58947b683fae</t>
  </si>
  <si>
    <t>2022-09-16T14:49:02.202000+00:00</t>
  </si>
  <si>
    <t>2022-09-16T14:55:41.030000+00:00</t>
  </si>
  <si>
    <t>2022-09-16T14:57:12.929000+00:00</t>
  </si>
  <si>
    <t>2022-09-16T14:57:33.274000+00:00</t>
  </si>
  <si>
    <t>2022-09-16T14:59:19.540000+00:00</t>
  </si>
  <si>
    <t>2022-09-16T20:23:46.433000+00:00</t>
  </si>
  <si>
    <t>2022-09-18T17:11:17.727000+00:00</t>
  </si>
  <si>
    <t>2022-09-18T22:04:03.830000+00:00</t>
  </si>
  <si>
    <t>2022-09-19T05:02:14.988000+00:00</t>
  </si>
  <si>
    <t>2022-09-19T06:32:32.768000+00:00</t>
  </si>
  <si>
    <t>1860db91-b786-42a7-b2f2-afe87bbff9e4</t>
  </si>
  <si>
    <t>2022-09-19T07:02:51.825000+00:00</t>
  </si>
  <si>
    <t>https://dribble.octin.io/?mode=Single+log&amp;log_id=1860db91-b786-42a7-b2f2-afe87bbff9e4</t>
  </si>
  <si>
    <t>2022-09-19T07:18:55.625000+00:00</t>
  </si>
  <si>
    <t>https://dribble.octin.io/?mode=Single+log&amp;log_id=8544a7db-335e-4c02-8c62-755846dd6d82</t>
  </si>
  <si>
    <t>2022-09-19T11:20:40.085000+00:00</t>
  </si>
  <si>
    <t>fd8feac4-1720-4c0b-8fcc-7ee0a48b2c1a</t>
  </si>
  <si>
    <t>2022-09-20T20:37:29.045000+00:00</t>
  </si>
  <si>
    <t>d4bf6b78-ebc1-4532-a4a9-309eb1e9fe10</t>
  </si>
  <si>
    <t>Error Euclastic log</t>
  </si>
  <si>
    <t>6b4c7072-f5d0-409f-98b5-c6abc8977a80</t>
  </si>
  <si>
    <t>2022-09-21T05:02:27.175000+00:00</t>
  </si>
  <si>
    <t>2022-09-21T16:22:05.575000+00:00</t>
  </si>
  <si>
    <t>2022-09-21T18:00:53.338000+00:00</t>
  </si>
  <si>
    <t>6bc27dcf-6663-4bcd-b70e-3212d1473127</t>
  </si>
  <si>
    <t>2022-09-22T06:42:01.466000+00:00</t>
  </si>
  <si>
    <t>acd23233-60be-4066-85c4-ad7e823c70bf</t>
  </si>
  <si>
    <t>2022-09-22T13:41:09.766000+00:00</t>
  </si>
  <si>
    <t>d3d9756d-2525-49a6-8c51-64e75be0adfb</t>
  </si>
  <si>
    <t>2022-09-22T13:47:20.146000+00:00</t>
  </si>
  <si>
    <t>fbebd83f-0aa5-4471-86f2-23fdba178268</t>
  </si>
  <si>
    <t>2022-09-22T13:47:44.738000+00:00</t>
  </si>
  <si>
    <t>2022-09-23T22:34:40.141000+00:00</t>
  </si>
  <si>
    <t>c9099605-b5e0-41b1-9d4c-8b2538d8bf5c</t>
  </si>
  <si>
    <t>2022-09-26T10:04:38.054000+00:00</t>
  </si>
  <si>
    <t>c3f076e3-aa26-45ec-bbc2-c9bb19da0564</t>
  </si>
  <si>
    <t>Upload log</t>
  </si>
  <si>
    <t>c374cb48-23d0-4b67-8cc4-af74e13b54d0</t>
  </si>
  <si>
    <t>2022-09-26T10:05:30.625000+00:00</t>
  </si>
  <si>
    <t>2022-09-26T13:40:05.303000+00:00</t>
  </si>
  <si>
    <t>9530e3c8-2b07-4de6-a464-136b6d8070a5</t>
  </si>
  <si>
    <t>2022-09-26T13:43:51.731000+00:00</t>
  </si>
  <si>
    <t>8f2eaf46-5805-4b21-8f54-d0c8a73fe012</t>
  </si>
  <si>
    <t>2022-09-26T13:45:09.887000+00:00</t>
  </si>
  <si>
    <t>a240e115-dfd1-40b1-b07d-1d09ab6c11b0</t>
  </si>
  <si>
    <t>2022-09-26T13:46:14.898000+00:00</t>
  </si>
  <si>
    <t>5ed139b4-7806-45fa-82d1-e19dbe845861</t>
  </si>
  <si>
    <t>2022-09-26T13:46:35.878000+00:00</t>
  </si>
  <si>
    <t>b38af0c4-6404-480c-8920-590bf506c5be</t>
  </si>
  <si>
    <t>2022-09-26T15:06:43.805000+00:00</t>
  </si>
  <si>
    <t>2027e579-f49a-4bfd-8e7f-c3b1f0170ea5</t>
  </si>
  <si>
    <t>d435aa86-b0cf-4692-9487-cbee796d95d2</t>
  </si>
  <si>
    <t>2022-09-27T08:58:35.233000+00:00</t>
  </si>
  <si>
    <t>0x1060065</t>
  </si>
  <si>
    <t>5d692df6-351f-4c4d-9378-371cdad7e05d</t>
  </si>
  <si>
    <t>2022-09-27T09:00:10.871000+00:00</t>
  </si>
  <si>
    <t>447dd7ff-4091-4641-a555-a42bb5d18910</t>
  </si>
  <si>
    <t>2022-09-27T09:00:28.963000+00:00</t>
  </si>
  <si>
    <t>285e2aed-dfe3-41bb-a157-a7388a6a198d</t>
  </si>
  <si>
    <t>2022-09-27T09:00:48.030000+00:00</t>
  </si>
  <si>
    <t>aec1f9c7-559c-423a-aec8-ab63e71eb109</t>
  </si>
  <si>
    <t>2022-09-27T09:01:16.150000+00:00</t>
  </si>
  <si>
    <t>1ca76716-c403-4b77-9db8-19785d766327</t>
  </si>
  <si>
    <t>2022-09-27T09:01:38.180000+00:00</t>
  </si>
  <si>
    <t>ac1e2240-34a0-4404-afcc-a539f0db4bbb</t>
  </si>
  <si>
    <t>2022-09-27T09:01:55.800000+00:00</t>
  </si>
  <si>
    <t>f12154d5-80d4-4254-8dad-6fd886fb3e7c</t>
  </si>
  <si>
    <t>2022-09-27T09:02:13.948000+00:00</t>
  </si>
  <si>
    <t>4d6caba1-a988-48ac-9d13-afdf50b801fb</t>
  </si>
  <si>
    <t>2022-09-27T09:06:11.140000+00:00</t>
  </si>
  <si>
    <t>861d3889-6f3a-485c-bca3-2a15a9959a2b</t>
  </si>
  <si>
    <t>2022-09-27T09:08:08.062000+00:00</t>
  </si>
  <si>
    <t>d4e104cf-bccd-4b28-a841-c956123cb896</t>
  </si>
  <si>
    <t>2022-09-27T09:09:46.817000+00:00</t>
  </si>
  <si>
    <t>dd50a828-6955-4175-b352-60f57fd48986</t>
  </si>
  <si>
    <t>2022-09-27T09:10:03.797000+00:00</t>
  </si>
  <si>
    <t>2486dc41-6055-4011-b232-95a142ff21f5</t>
  </si>
  <si>
    <t>2022-09-27T15:48:12.076000+00:00</t>
  </si>
  <si>
    <t>5ba021e3-8448-4184-b166-045cc3a0458e</t>
  </si>
  <si>
    <t>2022-09-28T14:00:52.951000+00:00</t>
  </si>
  <si>
    <t>c00ec74d-4a44-4f1a-946f-d6c71737cef9</t>
  </si>
  <si>
    <t>2022-09-28T14:18:06.836000+00:00</t>
  </si>
  <si>
    <t>008e0386-4f41-4b03-9a29-ffbb8a5ff94a</t>
  </si>
  <si>
    <t>2022-09-28T14:18:52.716000+00:00</t>
  </si>
  <si>
    <t>17003ad7-5785-443c-8d47-5a912dd2427d</t>
  </si>
  <si>
    <t>2022-09-28T14:21:30.706000+00:00</t>
  </si>
  <si>
    <t>05f712d6-4309-4048-8be8-b2e2b89dc07a</t>
  </si>
  <si>
    <t>2022-09-28T14:23:53.272000+00:00</t>
  </si>
  <si>
    <t>31902a9a-79b4-437c-aeef-062886bb07c3</t>
  </si>
  <si>
    <t>2022-09-28T14:39:15.725000+00:00</t>
  </si>
  <si>
    <t>2022-09-28T18:17:36.194000+00:00</t>
  </si>
  <si>
    <t>2022-09-28T20:51:25.926000+00:00</t>
  </si>
  <si>
    <t>2022-09-28T21:15:40.356000+00:00</t>
  </si>
  <si>
    <t>2022-09-28T23:24:05.930000+00:00</t>
  </si>
  <si>
    <t>2022-09-29T00:03:55.894000+00:00</t>
  </si>
  <si>
    <t>2022-09-29T19:05:39.766000+00:00</t>
  </si>
  <si>
    <t>2022-09-29T21:41:25.296000+00:00</t>
  </si>
  <si>
    <t>2022-10-01T19:47:42.908000+00:00</t>
  </si>
  <si>
    <t>2022-10-02T00:35:41.739000+00:00</t>
  </si>
  <si>
    <t>bae40a0a-6133-4b6b-bf15-a24bc1be08cc</t>
  </si>
  <si>
    <t>2022-10-02T18:37:54.192000+00:00</t>
  </si>
  <si>
    <t>acddfbd8-9eed-43e4-bc33-5f2aa6aa3eb9</t>
  </si>
  <si>
    <t>863a3b26-fb2a-464c-b2a6-8ab2872d33ff</t>
  </si>
  <si>
    <t>2022-10-02T18:56:11.887000+00:00</t>
  </si>
  <si>
    <t>a2a35f29-b631-43cc-86b0-7b6f1f77c09d</t>
  </si>
  <si>
    <t>https://dribble.octin.io/?mode=Single+log&amp;log_id=863a3b26-fb2a-464c-b2a6-8ab2872d33ff</t>
  </si>
  <si>
    <t>CreationTime</t>
  </si>
  <si>
    <t>FinishTime</t>
  </si>
  <si>
    <t>TotalLanes</t>
  </si>
  <si>
    <t>Completed</t>
  </si>
  <si>
    <t>Failed</t>
  </si>
  <si>
    <t>Queued</t>
  </si>
  <si>
    <t>ResumedLanes</t>
  </si>
  <si>
    <t>MissionName</t>
  </si>
  <si>
    <t>LogId(s)</t>
  </si>
  <si>
    <t>01088f23f1</t>
  </si>
  <si>
    <t>a87b0750-2135-4e6d-90a4-af24b4ad2246</t>
  </si>
  <si>
    <t>2022-05-10T17:23:52.784000+00:00</t>
  </si>
  <si>
    <t>2022-05-10T17:24:44.960000+00:00</t>
  </si>
  <si>
    <t>null</t>
  </si>
  <si>
    <t>[]</t>
  </si>
  <si>
    <t>d8431998-d5a2-4a20-881c-fc44d2f69db2</t>
  </si>
  <si>
    <t>2022-05-11T14:14:30.006000+00:00</t>
  </si>
  <si>
    <t>2022-05-11T14:15:26.171000+00:00</t>
  </si>
  <si>
    <t>2022-05-11T20:16:44.483000+00:00</t>
  </si>
  <si>
    <t>right_3371</t>
  </si>
  <si>
    <t>0108c1ad16</t>
  </si>
  <si>
    <t>4f85410f-19af-4711-b31c-dcf716ef76c8</t>
  </si>
  <si>
    <t>2022-05-12T16:42:02.645000+00:00</t>
  </si>
  <si>
    <t>2022-05-12T16:42:52.801000+00:00</t>
  </si>
  <si>
    <t>2022-05-13T01:20:27.462000+00:00</t>
  </si>
  <si>
    <t>right_3351</t>
  </si>
  <si>
    <t>d1864df4-1472-41e6-853b-343b255f6b21</t>
  </si>
  <si>
    <t>2022-05-13T16:43:40.483000+00:00</t>
  </si>
  <si>
    <t>2022-05-13T16:44:36.640000+00:00</t>
  </si>
  <si>
    <t>2022-05-13T21:32:13.579000+00:00</t>
  </si>
  <si>
    <t>right_3357</t>
  </si>
  <si>
    <t>bc192656-0611-447d-ac6d-324817ec49b6</t>
  </si>
  <si>
    <t>2022-05-17T15:51:16.051000+00:00</t>
  </si>
  <si>
    <t>2022-05-17T15:52:12.189000+00:00</t>
  </si>
  <si>
    <t>2022-05-17T19:45:21.332000+00:00</t>
  </si>
  <si>
    <t>cc785afd-b86e-4ee8-b70e-ac04e30c9eba</t>
  </si>
  <si>
    <t>2022-05-18T14:12:58.416000+00:00</t>
  </si>
  <si>
    <t>2022-05-18T14:13:50.583000+00:00</t>
  </si>
  <si>
    <t>2022-05-19T05:28:46.901000+00:00</t>
  </si>
  <si>
    <t>87cba096-f9df-421d-ac40-20d330ae23e2</t>
  </si>
  <si>
    <t>2022-05-18T14:31:15.588000+00:00</t>
  </si>
  <si>
    <t>2022-05-18T14:32:07.755000+00:00</t>
  </si>
  <si>
    <t>2022-05-19T00:16:15.691000+00:00</t>
  </si>
  <si>
    <t>rect50105</t>
  </si>
  <si>
    <t>7c5cda25-7186-449b-9f70-560631cbceba</t>
  </si>
  <si>
    <t>2022-05-19T12:39:26.429000+00:00</t>
  </si>
  <si>
    <t>2022-05-19T12:40:14.618000+00:00</t>
  </si>
  <si>
    <t>2022-05-20T05:44:20.222000+00:00</t>
  </si>
  <si>
    <t>56caa9e3-b73f-42ae-b777-3575dc62fdba</t>
  </si>
  <si>
    <t>2022-05-20T12:57:18.239000+00:00</t>
  </si>
  <si>
    <t>2022-05-20T12:58:08.421000+00:00</t>
  </si>
  <si>
    <t>2022-05-20T21:11:14.180000+00:00</t>
  </si>
  <si>
    <t>rect49550</t>
  </si>
  <si>
    <t>48770854-433f-4f5f-bdc4-784dbeefa14d</t>
  </si>
  <si>
    <t>2022-05-21T11:58:30.216000+00:00</t>
  </si>
  <si>
    <t>2022-05-21T11:59:24.339000+00:00</t>
  </si>
  <si>
    <t>2022-05-21T11:59:29.480000+00:00</t>
  </si>
  <si>
    <t>e0308712-f234-4103-b789-129d5564fab6</t>
  </si>
  <si>
    <t>2022-05-21T12:00:44.104000+00:00</t>
  </si>
  <si>
    <t>2022-05-21T12:01:34.341000+00:00</t>
  </si>
  <si>
    <t>2022-05-21T20:11:30.307000+00:00</t>
  </si>
  <si>
    <t>left_lane3220</t>
  </si>
  <si>
    <t>f4c46f22-1a16-4782-b7b1-fa6a9e5f3d42</t>
  </si>
  <si>
    <t>2022-05-23T19:29:55.269000+00:00</t>
  </si>
  <si>
    <t>2022-05-23T19:30:57.416000+00:00</t>
  </si>
  <si>
    <t>2022-05-23T22:37:22.146000+00:00</t>
  </si>
  <si>
    <t>d0d2f138-544f-445c-8546-06202ebe6c7d</t>
  </si>
  <si>
    <t>2022-05-24T12:35:13.181000+00:00</t>
  </si>
  <si>
    <t>2022-05-24T12:35:31.297000+00:00</t>
  </si>
  <si>
    <t>2022-05-24T12:38:39.287000+00:00</t>
  </si>
  <si>
    <t>[right_3021]</t>
  </si>
  <si>
    <t>lumionRight1-test</t>
  </si>
  <si>
    <t>right_3021</t>
  </si>
  <si>
    <t>1c9bf342-443f-4c18-8d6f-e2c0fbef9872</t>
  </si>
  <si>
    <t>2022-05-24T13:05:17.655000+00:00</t>
  </si>
  <si>
    <t>2022-05-24T13:05:35.768000+00:00</t>
  </si>
  <si>
    <t>2022-05-24T13:05:42.359000+00:00</t>
  </si>
  <si>
    <t>right_3025</t>
  </si>
  <si>
    <t>a192bcb9-e053-45e8-8127-9a969490a1a5</t>
  </si>
  <si>
    <t>2022-05-24T13:54:41.715000+00:00</t>
  </si>
  <si>
    <t>2022-05-24T13:54:55.767000+00:00</t>
  </si>
  <si>
    <t>2022-05-24T13:56:13.883000+00:00</t>
  </si>
  <si>
    <t>d4b0e918-4470-4190-a2a2-023534ac830a</t>
  </si>
  <si>
    <t>2022-05-24T14:00:43.377000+00:00</t>
  </si>
  <si>
    <t>2022-05-24T14:01:05.509000+00:00</t>
  </si>
  <si>
    <t>2022-05-24T14:19:42.781000+00:00</t>
  </si>
  <si>
    <t>right_3055</t>
  </si>
  <si>
    <t>bb29edb6-9925-4a8c-ad29-8116837b72aa</t>
  </si>
  <si>
    <t>2022-05-24T14:17:03.543000+00:00</t>
  </si>
  <si>
    <t>2022-05-24T14:17:21.643000+00:00</t>
  </si>
  <si>
    <t>2022-05-24T14:24:05.465000+00:00</t>
  </si>
  <si>
    <t>lumionLeft-test</t>
  </si>
  <si>
    <t>e0928692-0845-4a14-a196-c2588376b289</t>
  </si>
  <si>
    <t>2022-05-24T14:50:27.755000+00:00</t>
  </si>
  <si>
    <t>2022-05-24T14:50:45.839000+00:00</t>
  </si>
  <si>
    <t>2022-05-24T14:59:43.780000+00:00</t>
  </si>
  <si>
    <t>ff324a38-bd12-4505-a686-b4930d3adb7f</t>
  </si>
  <si>
    <t>2022-05-24T15:49:18.140000+00:00</t>
  </si>
  <si>
    <t>2022-05-24T15:49:40.228000+00:00</t>
  </si>
  <si>
    <t>e9900cd4-fa99-4fe9-a531-b2abfa2a41d1</t>
  </si>
  <si>
    <t>2022-05-24T16:35:53.548000+00:00</t>
  </si>
  <si>
    <t>2022-05-24T16:36:15.631000+00:00</t>
  </si>
  <si>
    <t>2e9fd252-4931-48fc-842e-f3d9888c351e</t>
  </si>
  <si>
    <t>2022-05-24T18:12:06.705000+00:00</t>
  </si>
  <si>
    <t>2022-05-24T18:12:23.633000+00:00</t>
  </si>
  <si>
    <t>2022-05-24T23:16:59.963000+00:00</t>
  </si>
  <si>
    <t>8592d905-e0af-4a8a-9c08-77356166eb93</t>
  </si>
  <si>
    <t>2022-05-24T18:15:29.345000+00:00</t>
  </si>
  <si>
    <t>2022-05-24T18:15:44.608000+00:00</t>
  </si>
  <si>
    <t>2022-05-24T20:26:52.421000+00:00</t>
  </si>
  <si>
    <t>6343b148-0f49-4d4a-a6f9-dcf60f6a25d3</t>
  </si>
  <si>
    <t>2022-05-31T11:40:32.053000+00:00</t>
  </si>
  <si>
    <t>2022-05-31T11:40:54.148000+00:00</t>
  </si>
  <si>
    <t>2022-05-31T15:46:56.689000+00:00</t>
  </si>
  <si>
    <t>lumionRight1</t>
  </si>
  <si>
    <t>right_3537</t>
  </si>
  <si>
    <t>216497a2-9dec-4699-b4b2-c0a76629290f</t>
  </si>
  <si>
    <t>2022-05-31T12:58:00.462000+00:00</t>
  </si>
  <si>
    <t>2022-05-31T12:58:22.612000+00:00</t>
  </si>
  <si>
    <t>2022-05-31T15:04:13.766000+00:00</t>
  </si>
  <si>
    <t>lumionLeft2andRight2</t>
  </si>
  <si>
    <t>right_3725</t>
  </si>
  <si>
    <t>bcc78f53-ba6b-490f-ab03-371198b82ce3</t>
  </si>
  <si>
    <t>2022-06-03T07:21:58.685000+00:00</t>
  </si>
  <si>
    <t>2022-06-03T07:22:07.631000+00:00</t>
  </si>
  <si>
    <t>2022-06-03T07:37:37.200000+00:00</t>
  </si>
  <si>
    <t>ebfb47d8-39df-499b-b2c6-d67629fad977</t>
  </si>
  <si>
    <t>2022-06-03T18:58:18.975000+00:00</t>
  </si>
  <si>
    <t>2022-06-03T18:58:35.086000+00:00</t>
  </si>
  <si>
    <t>2022-06-03T18:58:47.308000+00:00</t>
  </si>
  <si>
    <t>right_3523</t>
  </si>
  <si>
    <t>4e7695af-3173-4267-a82a-24b664c9cb9b</t>
  </si>
  <si>
    <t>2022-06-03T19:12:35.180000+00:00</t>
  </si>
  <si>
    <t>2022-06-03T19:12:51.321000+00:00</t>
  </si>
  <si>
    <t>2022-06-03T21:39:24.269000+00:00</t>
  </si>
  <si>
    <t>right_3605</t>
  </si>
  <si>
    <t>56307621-a807-4a81-96aa-a8b4af4cfbe9</t>
  </si>
  <si>
    <t>2022-06-03T19:26:58.226000+00:00</t>
  </si>
  <si>
    <t>2022-06-03T19:27:14.333000+00:00</t>
  </si>
  <si>
    <t>2022-06-03T19:34:42.110000+00:00</t>
  </si>
  <si>
    <t>lumionLeft1</t>
  </si>
  <si>
    <t>left_lane3714</t>
  </si>
  <si>
    <t>911fd07d-520e-4bfb-9c70-d63616c320ea</t>
  </si>
  <si>
    <t>2022-06-04T08:02:08.362000+00:00</t>
  </si>
  <si>
    <t>2022-06-04T08:02:16.463000+00:00</t>
  </si>
  <si>
    <t>2022-06-04T08:05:24.701000+00:00</t>
  </si>
  <si>
    <t>left_lane3504</t>
  </si>
  <si>
    <t>cf31001f-6fcc-4006-b5d0-f4b49dc708fb</t>
  </si>
  <si>
    <t>2022-06-04T08:23:53.891000+00:00</t>
  </si>
  <si>
    <t>2022-06-04T08:24:02.582000+00:00</t>
  </si>
  <si>
    <t>2022-06-04T08:27:12.705000+00:00</t>
  </si>
  <si>
    <t>7078f6bb-bc49-46bf-b3b0-ebeeb30002e5</t>
  </si>
  <si>
    <t>2022-06-04T08:50:09.192000+00:00</t>
  </si>
  <si>
    <t>2022-06-04T08:50:17.345000+00:00</t>
  </si>
  <si>
    <t>2022-06-04T08:50:25.370000+00:00</t>
  </si>
  <si>
    <t>8d7cdcf3-769b-4842-835d-eab4b377671c</t>
  </si>
  <si>
    <t>2022-06-04T08:54:47.719000+00:00</t>
  </si>
  <si>
    <t>2022-06-04T08:54:55.347000+00:00</t>
  </si>
  <si>
    <t>2022-06-04T09:02:02.945000+00:00</t>
  </si>
  <si>
    <t>25b4cd2c-d899-4591-b94f-38c5f8a9c1f4</t>
  </si>
  <si>
    <t>2022-06-04T13:17:55.256000+00:00</t>
  </si>
  <si>
    <t>2022-06-04T13:18:11.389000+00:00</t>
  </si>
  <si>
    <t>2022-06-04T13:19:26.440000+00:00</t>
  </si>
  <si>
    <t>d42a3be7-d4b5-4be1-b5ba-2a446cb48917</t>
  </si>
  <si>
    <t>2022-06-04T13:23:07.866000+00:00</t>
  </si>
  <si>
    <t>2022-06-04T13:23:21.386000+00:00</t>
  </si>
  <si>
    <t>2022-06-04T23:38:07.010000+00:00</t>
  </si>
  <si>
    <t>right_3607</t>
  </si>
  <si>
    <t>2e617b58-85f0-446d-9fd4-fa3670c26e45</t>
  </si>
  <si>
    <t>2022-06-05T06:15:22.013000+00:00</t>
  </si>
  <si>
    <t>2022-06-05T06:15:29.735000+00:00</t>
  </si>
  <si>
    <t>2022-06-05T06:22:37.452000+00:00</t>
  </si>
  <si>
    <t>a74a3c10-af85-4ec0-b656-71bea88e6008</t>
  </si>
  <si>
    <t>2022-06-05T06:25:13.135000+00:00</t>
  </si>
  <si>
    <t>2022-06-05T06:25:21.236000+00:00</t>
  </si>
  <si>
    <t>2022-06-05T06:25:30.381000+00:00</t>
  </si>
  <si>
    <t>228a5380-2139-44b7-8cad-a777705b8154</t>
  </si>
  <si>
    <t>2022-06-06T14:52:51.452000+00:00</t>
  </si>
  <si>
    <t>2022-06-06T14:52:59.160000+00:00</t>
  </si>
  <si>
    <t>2022-06-06T15:04:26.825000+00:00</t>
  </si>
  <si>
    <t>a7583a4f-642d-4024-bb66-067d8eac650e</t>
  </si>
  <si>
    <t>2022-06-06T14:58:52.410000+00:00</t>
  </si>
  <si>
    <t>2022-06-06T14:59:00.549000+00:00</t>
  </si>
  <si>
    <t>2022-06-06T15:03:03.985000+00:00</t>
  </si>
  <si>
    <t>95f5845d-ff8d-498d-bc16-fd3a0e9d0b7d</t>
  </si>
  <si>
    <t>2022-06-06T15:05:41.923000+00:00</t>
  </si>
  <si>
    <t>2022-06-06T15:05:50.550000+00:00</t>
  </si>
  <si>
    <t>2022-06-06T15:13:00.265000+00:00</t>
  </si>
  <si>
    <t>d353e828-cdab-4c4a-93d5-3cc4a61c6b63</t>
  </si>
  <si>
    <t>2022-06-06T15:09:09.133000+00:00</t>
  </si>
  <si>
    <t>2022-06-06T15:09:17.155000+00:00</t>
  </si>
  <si>
    <t>2022-06-06T15:20:19.808000+00:00</t>
  </si>
  <si>
    <t>b5eebf22-9b4a-4fff-a81a-a945d4d24524</t>
  </si>
  <si>
    <t>2022-06-06T15:14:44.746000+00:00</t>
  </si>
  <si>
    <t>2022-06-06T15:14:52.546000+00:00</t>
  </si>
  <si>
    <t>2022-06-06T15:15:54.347000+00:00</t>
  </si>
  <si>
    <t>[left_lane3520]</t>
  </si>
  <si>
    <t>left_lane3520</t>
  </si>
  <si>
    <t>5df828b2-9042-46de-a9f7-4fc514e20c4e</t>
  </si>
  <si>
    <t>2022-06-06T15:17:53.293000+00:00</t>
  </si>
  <si>
    <t>2022-06-06T15:18:00.547000+00:00</t>
  </si>
  <si>
    <t>2022-06-06T15:19:08.612000+00:00</t>
  </si>
  <si>
    <t>75106b4c-7763-4f8f-bb0f-fe795e073072</t>
  </si>
  <si>
    <t>2022-06-06T15:25:42.218000+00:00</t>
  </si>
  <si>
    <t>2022-06-06T15:25:53.156000+00:00</t>
  </si>
  <si>
    <t>2022-06-06T18:52:49.834000+00:00</t>
  </si>
  <si>
    <t>right_3635</t>
  </si>
  <si>
    <t>d9e6b8ee-5171-4d82-a3be-663f3aa8912b</t>
  </si>
  <si>
    <t>2022-06-08T12:18:50.276000+00:00</t>
  </si>
  <si>
    <t>2022-06-08T12:19:04.407000+00:00</t>
  </si>
  <si>
    <t>2022-06-08T13:18:58.215000+00:00</t>
  </si>
  <si>
    <t>206b4565-129f-4d77-81d6-7f405f7aec81</t>
  </si>
  <si>
    <t>2022-06-08T16:56:38.934000+00:00</t>
  </si>
  <si>
    <t>2022-06-08T16:56:51.070000+00:00</t>
  </si>
  <si>
    <t>2022-06-08T21:16:36.227000+00:00</t>
  </si>
  <si>
    <t>right_3707</t>
  </si>
  <si>
    <t>d7c74fbd-6266-4e5c-86b5-fbdac1f4f4bc</t>
  </si>
  <si>
    <t>2022-06-09T05:52:54.759000+00:00</t>
  </si>
  <si>
    <t>2022-06-09T05:53:03.375000+00:00</t>
  </si>
  <si>
    <t>2022-06-09T06:08:18.831000+00:00</t>
  </si>
  <si>
    <t>03d8ab55-bf5b-40c4-9b47-ed5d3232fd30</t>
  </si>
  <si>
    <t>2022-06-13T18:55:14.951000+00:00</t>
  </si>
  <si>
    <t>2022-06-13T18:55:26.088000+00:00</t>
  </si>
  <si>
    <t>2022-06-13T19:11:42.585000+00:00</t>
  </si>
  <si>
    <t>left_lane3666</t>
  </si>
  <si>
    <t>5db0d24a-d69c-4014-9acb-9ee940b97414</t>
  </si>
  <si>
    <t>2022-06-13T19:10:22.095000+00:00</t>
  </si>
  <si>
    <t>2022-06-13T19:10:31.260000+00:00</t>
  </si>
  <si>
    <t>2022-06-13T19:11:44.166000+00:00</t>
  </si>
  <si>
    <t>[right_3691</t>
  </si>
  <si>
    <t>right_3691</t>
  </si>
  <si>
    <t>b0f1eea2-4867-40fc-a52e-d35791bc4d07</t>
  </si>
  <si>
    <t>2022-06-13T19:19:56.596000+00:00</t>
  </si>
  <si>
    <t>2022-06-13T19:20:06.085000+00:00</t>
  </si>
  <si>
    <t>2022-06-13T19:29:38.557000+00:00</t>
  </si>
  <si>
    <t>ac265df0-d9f1-48e9-b31d-449a19f29a97</t>
  </si>
  <si>
    <t>2022-06-13T19:31:37.322000+00:00</t>
  </si>
  <si>
    <t>2022-06-13T19:31:46.083000+00:00</t>
  </si>
  <si>
    <t>42a2693a-c571-4a6d-a601-e8e4877b7f60</t>
  </si>
  <si>
    <t>2022-06-14T18:21:05.821000+00:00</t>
  </si>
  <si>
    <t>2022-06-14T18:21:15.942000+00:00</t>
  </si>
  <si>
    <t>2022-06-14T19:33:24.837000+00:00</t>
  </si>
  <si>
    <t>094e1f58-9221-44ca-8aca-68c6ce574447</t>
  </si>
  <si>
    <t>2022-06-14T18:29:55.054000+00:00</t>
  </si>
  <si>
    <t>2022-06-14T18:30:04.080000+00:00</t>
  </si>
  <si>
    <t>2022-06-14T19:24:00.069000+00:00</t>
  </si>
  <si>
    <t>2022-06-20T18:45:36.885000+00:00</t>
  </si>
  <si>
    <t>2022-06-20T18:45:49.012000+00:00</t>
  </si>
  <si>
    <t>2022-06-20T19:20:38.056000+00:00</t>
  </si>
  <si>
    <t>2022-06-20T18:55:39.921000+00:00</t>
  </si>
  <si>
    <t>2022-06-20T18:55:52.033000+00:00</t>
  </si>
  <si>
    <t>2022-06-20T19:19:34.591000+00:00</t>
  </si>
  <si>
    <t>[left_lane3724</t>
  </si>
  <si>
    <t>612cab5d-3467-4308-a4b7-76fdc2b421a4, 612cab5d-3467-4308-a4b7-76fdc2b421a4, 612cab5d-3467-4308-a4b7-76fdc2b421a4</t>
  </si>
  <si>
    <t>2022-06-20T19:20:52.061000+00:00</t>
  </si>
  <si>
    <t>2022-06-20T19:21:02.033000+00:00</t>
  </si>
  <si>
    <t>2022-06-20T19:22:06.794000+00:00</t>
  </si>
  <si>
    <t>[left_lane3726]</t>
  </si>
  <si>
    <t>bb4732e9-3e3a-4848-b63d-5349e7871572, bb4732e9-3e3a-4848-b63d-5349e7871572</t>
  </si>
  <si>
    <t>2022-06-21T18:31:33.514000+00:00</t>
  </si>
  <si>
    <t>2022-06-21T18:31:44.803000+00:00</t>
  </si>
  <si>
    <t>2022-06-21T20:49:07.508000+00:00</t>
  </si>
  <si>
    <t>2022-06-27T19:49:25.254000+00:00</t>
  </si>
  <si>
    <t>2022-06-27T19:49:43.392000+00:00</t>
  </si>
  <si>
    <t>2022-06-27T21:35:32.433000+00:00</t>
  </si>
  <si>
    <t>22472687-5f2b-4bdd-b84f-bec74daf7b78</t>
  </si>
  <si>
    <t>2022-06-27T19:54:19.919000+00:00</t>
  </si>
  <si>
    <t>2022-06-27T19:54:36.068000+00:00</t>
  </si>
  <si>
    <t>2022-06-27T20:13:59.925000+00:00</t>
  </si>
  <si>
    <t>2022-06-28T19:14:34.404000+00:00</t>
  </si>
  <si>
    <t>2022-06-28T19:14:48.536000+00:00</t>
  </si>
  <si>
    <t>2022-06-28T19:14:59.307000+00:00</t>
  </si>
  <si>
    <t>277b2a2d-09dc-445c-bf1c-89ee46b78ba8</t>
  </si>
  <si>
    <t>2022-06-28T19:21:38.813000+00:00</t>
  </si>
  <si>
    <t>2022-06-28T19:22:29.887000+00:00</t>
  </si>
  <si>
    <t>UNKNOWN</t>
  </si>
  <si>
    <t>121b5a12-c028-4654-89fc-f9c8432a7b71</t>
  </si>
  <si>
    <t>2022-06-28T19:23:13.766000+00:00</t>
  </si>
  <si>
    <t>2022-06-28T19:24:04.775000+00:00</t>
  </si>
  <si>
    <t>2022-07-04T18:53:45.458000+00:00</t>
  </si>
  <si>
    <t>2022-07-04T18:54:00.423000+00:00</t>
  </si>
  <si>
    <t>2022-07-04T19:10:46.099000+00:00</t>
  </si>
  <si>
    <t>c2f7b6fd-425d-4697-bebd-55cec7c8af3a</t>
  </si>
  <si>
    <t>2022-07-07T13:07:09.193000+00:00</t>
  </si>
  <si>
    <t>2022-07-07T13:07:23.308000+00:00</t>
  </si>
  <si>
    <t>2022-07-08T06:03:27.416000+00:00</t>
  </si>
  <si>
    <t>[right_3597</t>
  </si>
  <si>
    <t>right_3597</t>
  </si>
  <si>
    <t>ecb1372b-cd1e-4b32-8faa-3ce2a996070b</t>
  </si>
  <si>
    <t>2022-07-11T18:02:06.745000+00:00</t>
  </si>
  <si>
    <t>2022-07-11T18:02:18.098000+00:00</t>
  </si>
  <si>
    <t>2022-07-11T21:22:41.466000+00:00</t>
  </si>
  <si>
    <t>right_3709</t>
  </si>
  <si>
    <t>0284a24f-df8a-44d7-a3d1-45b41853e635</t>
  </si>
  <si>
    <t>2022-07-11T18:16:38.106000+00:00</t>
  </si>
  <si>
    <t>2022-07-11T18:16:54.262000+00:00</t>
  </si>
  <si>
    <t>2022-07-11T19:30:30.605000+00:00</t>
  </si>
  <si>
    <t>left_lane3502</t>
  </si>
  <si>
    <t>2022-07-18T18:49:34.897000+00:00</t>
  </si>
  <si>
    <t>2022-07-18T18:49:51.373000+00:00</t>
  </si>
  <si>
    <t>2022-07-18T19:36:19.753000+00:00</t>
  </si>
  <si>
    <t>2022-07-18T18:59:00.482000+00:00</t>
  </si>
  <si>
    <t>2022-07-18T18:59:10.592000+00:00</t>
  </si>
  <si>
    <t>2022-07-18T18:59:19.472000+00:00</t>
  </si>
  <si>
    <t>2022-07-18T19:00:46.293000+00:00</t>
  </si>
  <si>
    <t>2022-07-18T19:00:54.592000+00:00</t>
  </si>
  <si>
    <t>2022-07-18T19:01:02.132000+00:00</t>
  </si>
  <si>
    <t>2022-07-18T19:05:16.194000+00:00</t>
  </si>
  <si>
    <t>2022-07-18T19:05:24.594000+00:00</t>
  </si>
  <si>
    <t>2022-07-18T19:06:01.970000+00:00</t>
  </si>
  <si>
    <t>[right_3659]</t>
  </si>
  <si>
    <t>7e68199d-3836-49cd-a843-f507c6ca3b2d, 7e68199d-3836-49cd-a843-f507c6ca3b2d</t>
  </si>
  <si>
    <t>2022-07-23T12:03:36.058000+00:00</t>
  </si>
  <si>
    <t>2022-07-23T12:03:48.631000+00:00</t>
  </si>
  <si>
    <t>2022-07-24T00:08:10.125000+00:00</t>
  </si>
  <si>
    <t>4d0acab1-c881-4bbe-b46c-b5dacad8d9ee, 4d0acab1-c881-4bbe-b46c-b5dacad8d9ee</t>
  </si>
  <si>
    <t>2022-07-26T13:23:21.552000+00:00</t>
  </si>
  <si>
    <t>2022-07-26T13:23:31.679000+00:00</t>
  </si>
  <si>
    <t>2022-07-27T00:38:25.443000+00:00</t>
  </si>
  <si>
    <t>04b5b5b1-12a6-4c7d-843b-2ffdd073b709, 04b5b5b1-12a6-4c7d-843b-2ffdd073b709</t>
  </si>
  <si>
    <t>2022-07-26T13:28:24.899000+00:00</t>
  </si>
  <si>
    <t>2022-07-26T13:28:37.010000+00:00</t>
  </si>
  <si>
    <t>2022-07-26T20:01:17.518000+00:00</t>
  </si>
  <si>
    <t>2022-07-27T14:59:06.271000+00:00</t>
  </si>
  <si>
    <t>2022-07-27T14:59:16.138000+00:00</t>
  </si>
  <si>
    <t>2022-07-27T18:01:41.213000+00:00</t>
  </si>
  <si>
    <t>2022-07-28T14:39:32.531000+00:00</t>
  </si>
  <si>
    <t>2022-07-28T14:39:42.627000+00:00</t>
  </si>
  <si>
    <t>2022-07-28T23:06:53.165000+00:00</t>
  </si>
  <si>
    <t>b76ddea7-5360-4ebf-a78f-9da24214c258, b76ddea7-5360-4ebf-a78f-9da24214c258</t>
  </si>
  <si>
    <t>2022-07-29T14:37:51.014000+00:00</t>
  </si>
  <si>
    <t>2022-07-29T14:37:59.953000+00:00</t>
  </si>
  <si>
    <t>2022-07-29T17:40:07.341000+00:00</t>
  </si>
  <si>
    <t>2022-08-01T15:26:56.870000+00:00</t>
  </si>
  <si>
    <t>2022-08-01T15:27:05.927000+00:00</t>
  </si>
  <si>
    <t>2022-08-01T19:09:00.310000+00:00</t>
  </si>
  <si>
    <t>2022-08-03T14:42:39.034000+00:00</t>
  </si>
  <si>
    <t>2022-08-03T14:42:48.860000+00:00</t>
  </si>
  <si>
    <t>2022-08-03T19:17:25.895000+00:00</t>
  </si>
  <si>
    <t>2022-08-08T19:12:43.639000+00:00</t>
  </si>
  <si>
    <t>2022-08-08T19:12:59.733000+00:00</t>
  </si>
  <si>
    <t>2022-08-08T19:17:04.174000+00:00</t>
  </si>
  <si>
    <t>39322484-0732-48d4-adc3-f9d12108b6b2</t>
  </si>
  <si>
    <t>2022-08-08T19:27:39.804000+00:00</t>
  </si>
  <si>
    <t>2022-08-08T19:27:53.914000+00:00</t>
  </si>
  <si>
    <t>2022-08-08T19:27:57.769000+00:00</t>
  </si>
  <si>
    <t>2022-08-08T19:28:49.139000+00:00</t>
  </si>
  <si>
    <t>2022-08-08T19:28:55.915000+00:00</t>
  </si>
  <si>
    <t>2022-08-08T20:12:28.541000+00:00</t>
  </si>
  <si>
    <t>[right_3517]</t>
  </si>
  <si>
    <t>027824c8-de48-4d7b-95c5-622104d53070, 027824c8-de48-4d7b-95c5-622104d53070</t>
  </si>
  <si>
    <t>a50176e0-8df0-43c7-b594-4436e5152fe5</t>
  </si>
  <si>
    <t>2022-08-08T19:38:32.625000+00:00</t>
  </si>
  <si>
    <t>2022-08-08T19:38:44.750000+00:00</t>
  </si>
  <si>
    <t>5696f66b-6257-467f-818e-30698994ef75</t>
  </si>
  <si>
    <t>2022-08-08T20:03:30.491000+00:00</t>
  </si>
  <si>
    <t>2022-08-08T20:03:38.754000+00:00</t>
  </si>
  <si>
    <t>2022-08-08T20:19:37.082000+00:00</t>
  </si>
  <si>
    <t>9668553a-7256-41c9-a630-e3d83637166b</t>
  </si>
  <si>
    <t>2022-08-08T20:22:07.519000+00:00</t>
  </si>
  <si>
    <t>2022-08-08T20:22:20.753000+00:00</t>
  </si>
  <si>
    <t>2022-08-08T22:25:12.689000+00:00</t>
  </si>
  <si>
    <t>752ad6ee-074a-4d3a-9ffa-b746e5cd9a55</t>
  </si>
  <si>
    <t>2022-08-08T20:25:08.378000+00:00</t>
  </si>
  <si>
    <t>2022-08-08T20:25:22.508000+00:00</t>
  </si>
  <si>
    <t>2022-08-08T20:25:52.515000+00:00</t>
  </si>
  <si>
    <t>903fd813-3899-408f-90de-7eea62bcb65f</t>
  </si>
  <si>
    <t>2022-08-08T20:29:00.452000+00:00</t>
  </si>
  <si>
    <t>2022-08-08T20:29:12.574000+00:00</t>
  </si>
  <si>
    <t>2022-08-08T20:43:50.802000+00:00</t>
  </si>
  <si>
    <t>2022-08-08T20:44:06.943000+00:00</t>
  </si>
  <si>
    <t>2022-08-08T20:45:44.691000+00:00</t>
  </si>
  <si>
    <t>a77805c0-9908-4371-ba5e-8a9503daebee</t>
  </si>
  <si>
    <t>2022-08-08T20:58:20.350000+00:00</t>
  </si>
  <si>
    <t>2022-08-08T20:58:34.478000+00:00</t>
  </si>
  <si>
    <t>2022-08-08T20:58:38.592000+00:00</t>
  </si>
  <si>
    <t>c595dd2c-4404-4c14-8759-573dc19ea31d</t>
  </si>
  <si>
    <t>2022-08-08T20:59:16.965000+00:00</t>
  </si>
  <si>
    <t>2022-08-08T20:59:24.482000+00:00</t>
  </si>
  <si>
    <t>2022-08-08T21:11:13.305000+00:00</t>
  </si>
  <si>
    <t>fbc5d9ed-6d1b-4a06-b3ce-60a1df8e0045</t>
  </si>
  <si>
    <t>2022-08-08T21:24:52.713000+00:00</t>
  </si>
  <si>
    <t>2022-08-08T21:25:00.482000+00:00</t>
  </si>
  <si>
    <t>2022-08-08T21:26:47.096000+00:00</t>
  </si>
  <si>
    <t>2022-08-08T21:40:27.106000+00:00</t>
  </si>
  <si>
    <t>2022-08-08T21:40:40.479000+00:00</t>
  </si>
  <si>
    <t>2022-08-08T21:42:16.331000+00:00</t>
  </si>
  <si>
    <t>88354472-1e3c-431e-9996-0583407a83db</t>
  </si>
  <si>
    <t>2022-08-08T21:55:40.999000+00:00</t>
  </si>
  <si>
    <t>2022-08-08T21:56:32.114000+00:00</t>
  </si>
  <si>
    <t>2022-08-08T22:00:12.544000+00:00</t>
  </si>
  <si>
    <t>2022-08-08T22:00:26.682000+00:00</t>
  </si>
  <si>
    <t>2022-08-08T22:01:59.872000+00:00</t>
  </si>
  <si>
    <t>2022-08-08T22:16:09.149000+00:00</t>
  </si>
  <si>
    <t>2022-08-08T22:16:21.352000+00:00</t>
  </si>
  <si>
    <t>2022-08-08T22:21:51.492000+00:00</t>
  </si>
  <si>
    <t>2022-08-08T22:29:41.211000+00:00</t>
  </si>
  <si>
    <t>2022-08-08T22:29:56.757000+00:00</t>
  </si>
  <si>
    <t>2022-08-09T07:28:39.007000+00:00</t>
  </si>
  <si>
    <t>[right_3663]</t>
  </si>
  <si>
    <t>2022-08-08T22:33:51.422000+00:00</t>
  </si>
  <si>
    <t>2022-08-08T22:34:05.355000+00:00</t>
  </si>
  <si>
    <t>2022-08-08T23:50:36.921000+00:00</t>
  </si>
  <si>
    <t>2022-08-09T07:30:15.500000+00:00</t>
  </si>
  <si>
    <t>2022-08-09T07:30:22.750000+00:00</t>
  </si>
  <si>
    <t>2022-08-09T07:33:29.975000+00:00</t>
  </si>
  <si>
    <t>right_3663</t>
  </si>
  <si>
    <t>2022-08-09T08:23:31.632000+00:00</t>
  </si>
  <si>
    <t>2022-08-09T08:23:41.756000+00:00</t>
  </si>
  <si>
    <t>2022-08-09T09:28:34.323000+00:00</t>
  </si>
  <si>
    <t>[right_3707]</t>
  </si>
  <si>
    <t>2022-08-09T09:59:16.810000+00:00</t>
  </si>
  <si>
    <t>2022-08-09T09:59:29.759000+00:00</t>
  </si>
  <si>
    <t>2022-08-09T10:03:25.657000+00:00</t>
  </si>
  <si>
    <t>right_3829</t>
  </si>
  <si>
    <t>2022-08-09T10:01:38.960000+00:00</t>
  </si>
  <si>
    <t>2022-08-09T10:01:48.766000+00:00</t>
  </si>
  <si>
    <t>2022-08-09T10:15:05.903000+00:00</t>
  </si>
  <si>
    <t>[right_3775]</t>
  </si>
  <si>
    <t>2022-08-09T10:11:49.496000+00:00</t>
  </si>
  <si>
    <t>2022-08-09T10:12:01.759000+00:00</t>
  </si>
  <si>
    <t>2022-08-09T10:31:23.613000+00:00</t>
  </si>
  <si>
    <t>[right_3827]</t>
  </si>
  <si>
    <t>right_3827</t>
  </si>
  <si>
    <t>c70bf142-8f7e-4602-8872-e2a74b972883</t>
  </si>
  <si>
    <t>2022-08-09T10:27:06.440000+00:00</t>
  </si>
  <si>
    <t>2022-08-09T10:27:17.574000+00:00</t>
  </si>
  <si>
    <t>2022-08-09T10:49:40.521000+00:00</t>
  </si>
  <si>
    <t>facb70ab-598c-474b-a4fe-ea6b5bce116a</t>
  </si>
  <si>
    <t>2022-08-09T10:53:59.849000+00:00</t>
  </si>
  <si>
    <t>2022-08-09T10:54:09.575000+00:00</t>
  </si>
  <si>
    <t>dd9e4bae-88f4-4f15-bf78-d0fcaf2ecf8b</t>
  </si>
  <si>
    <t>2022-08-09T10:59:50.743000+00:00</t>
  </si>
  <si>
    <t>2022-08-09T11:00:01.573000+00:00</t>
  </si>
  <si>
    <t>2022-08-09T12:07:58.873000+00:00</t>
  </si>
  <si>
    <t>2022-08-09T12:08:08.977000+00:00</t>
  </si>
  <si>
    <t>2022-08-09T12:15:44.586000+00:00</t>
  </si>
  <si>
    <t>ebb9689e-6eb6-454d-93fc-ebbd8b09d1c7</t>
  </si>
  <si>
    <t>2022-08-09T12:21:41.327000+00:00</t>
  </si>
  <si>
    <t>2022-08-09T12:21:50.976000+00:00</t>
  </si>
  <si>
    <t>2022-08-09T12:25:49.773000+00:00</t>
  </si>
  <si>
    <t>2022-08-09T12:27:26.074000+00:00</t>
  </si>
  <si>
    <t>2022-08-09T12:27:34.971000+00:00</t>
  </si>
  <si>
    <t>2022-08-09T13:35:41.627000+00:00</t>
  </si>
  <si>
    <t>b280d180-7d1d-4305-95fc-13df4e34e439</t>
  </si>
  <si>
    <t>2022-08-09T15:52:30.321000+00:00</t>
  </si>
  <si>
    <t>2022-08-09T15:52:44.427000+00:00</t>
  </si>
  <si>
    <t>2022-08-09T15:52:53.229000+00:00</t>
  </si>
  <si>
    <t>lumionLeft</t>
  </si>
  <si>
    <t>ea6bf2f7-968d-4bbc-a960-20b2f6822a67</t>
  </si>
  <si>
    <t>2022-08-09T15:54:05.218000+00:00</t>
  </si>
  <si>
    <t>2022-08-09T15:54:14.428000+00:00</t>
  </si>
  <si>
    <t>2022-08-09T15:54:34.008000+00:00</t>
  </si>
  <si>
    <t>8e85b345-8a1e-45e0-982c-f9e9bb0b7919</t>
  </si>
  <si>
    <t>2022-08-09T15:58:14.766000+00:00</t>
  </si>
  <si>
    <t>2022-08-09T15:58:22.432000+00:00</t>
  </si>
  <si>
    <t>2022-08-09T18:27:33.292000+00:00</t>
  </si>
  <si>
    <t>6118ba32-2fbd-42c9-a65b-3c7c5aad5895</t>
  </si>
  <si>
    <t>2022-08-09T16:00:28.705000+00:00</t>
  </si>
  <si>
    <t>2022-08-09T16:00:40.837000+00:00</t>
  </si>
  <si>
    <t>2022-08-09T16:00:44.892000+00:00</t>
  </si>
  <si>
    <t>4170e291-7e51-46e0-8b76-a3d96388f1d2</t>
  </si>
  <si>
    <t>2022-08-09T16:01:26.223000+00:00</t>
  </si>
  <si>
    <t>2022-08-09T16:01:36.841000+00:00</t>
  </si>
  <si>
    <t>2022-08-09T18:48:54.048000+00:00</t>
  </si>
  <si>
    <t>2022-08-10T13:44:46.501000+00:00</t>
  </si>
  <si>
    <t>2022-08-10T13:45:01.452000+00:00</t>
  </si>
  <si>
    <t>2022-08-10T13:52:18.895000+00:00</t>
  </si>
  <si>
    <t>lumionRight</t>
  </si>
  <si>
    <t>2022-08-10T13:57:43.851000+00:00</t>
  </si>
  <si>
    <t>2022-08-10T13:57:53.730000+00:00</t>
  </si>
  <si>
    <t>2022-08-10T14:05:06.668000+00:00</t>
  </si>
  <si>
    <t>ec2cbc01-d9ef-42ba-a4c4-31cf1050c25d</t>
  </si>
  <si>
    <t>2022-08-10T14:18:17.224000+00:00</t>
  </si>
  <si>
    <t>2022-08-10T14:18:29.393000+00:00</t>
  </si>
  <si>
    <t>2022-08-10T14:26:10.604000+00:00</t>
  </si>
  <si>
    <t>d13348fc-0411-426c-9bff-fa2472e86e1b</t>
  </si>
  <si>
    <t>2022-08-10T14:27:13.578000+00:00</t>
  </si>
  <si>
    <t>2022-08-10T14:27:27.394000+00:00</t>
  </si>
  <si>
    <t>2022-08-10T14:35:32.694000+00:00</t>
  </si>
  <si>
    <t>2022-08-10T14:35:47.692000+00:00</t>
  </si>
  <si>
    <t>2022-08-10T15:06:27.410000+00:00</t>
  </si>
  <si>
    <t>a067feac-0f7c-4155-963a-6031a47f04d7</t>
  </si>
  <si>
    <t>2022-08-10T15:07:31.747000+00:00</t>
  </si>
  <si>
    <t>2022-08-10T15:07:45.874000+00:00</t>
  </si>
  <si>
    <t>2022-08-10T19:59:27.705000+00:00</t>
  </si>
  <si>
    <t>2022-08-10T15:27:36.188000+00:00</t>
  </si>
  <si>
    <t>2022-08-10T15:27:49.694000+00:00</t>
  </si>
  <si>
    <t>2022-08-10T15:36:31.082000+00:00</t>
  </si>
  <si>
    <t>3a02a2b6-89c3-432a-8970-b3d7434de901</t>
  </si>
  <si>
    <t>2022-08-10T16:23:21.637000+00:00</t>
  </si>
  <si>
    <t>2022-08-10T16:23:41.759000+00:00</t>
  </si>
  <si>
    <t>2022-08-10T21:17:15.596000+00:00</t>
  </si>
  <si>
    <t>2022-08-10T20:13:24.219000+00:00</t>
  </si>
  <si>
    <t>2022-08-10T20:13:40.324000+00:00</t>
  </si>
  <si>
    <t>2022-08-10T20:17:10.322000+00:00</t>
  </si>
  <si>
    <t>0515cb48-5621-467b-8769-c2e8a3534725</t>
  </si>
  <si>
    <t>2022-08-10T20:26:46.269000+00:00</t>
  </si>
  <si>
    <t>2022-08-10T20:27:00.389000+00:00</t>
  </si>
  <si>
    <t>2022-08-10T20:30:31.388000+00:00</t>
  </si>
  <si>
    <t>c33028ff-7d70-44f9-b4e1-f518d913b7b2</t>
  </si>
  <si>
    <t>2022-08-10T20:35:00.278000+00:00</t>
  </si>
  <si>
    <t>2022-08-10T20:35:16.405000+00:00</t>
  </si>
  <si>
    <t>2022-08-10T20:45:00.862000+00:00</t>
  </si>
  <si>
    <t>right_3505</t>
  </si>
  <si>
    <t>a246906f-a1b4-49fe-a421-382df3bc8467</t>
  </si>
  <si>
    <t>2022-08-10T20:58:35.092000+00:00</t>
  </si>
  <si>
    <t>2022-08-10T20:58:49.214000+00:00</t>
  </si>
  <si>
    <t>2022-08-10T21:07:40.259000+00:00</t>
  </si>
  <si>
    <t>56e9544f-1678-4a86-90a1-cb635d62c271</t>
  </si>
  <si>
    <t>2022-08-10T21:14:54.937000+00:00</t>
  </si>
  <si>
    <t>2022-08-10T21:15:09.101000+00:00</t>
  </si>
  <si>
    <t>2022-08-10T21:18:30.846000+00:00</t>
  </si>
  <si>
    <t>2022-08-10T21:21:07.308000+00:00</t>
  </si>
  <si>
    <t>2022-08-10T21:21:13.754000+00:00</t>
  </si>
  <si>
    <t>2022-08-10T23:36:52.013000+00:00</t>
  </si>
  <si>
    <t>9467f39e-9826-4cfc-8288-9a67c531b9e0</t>
  </si>
  <si>
    <t>2022-08-10T21:27:57.601000+00:00</t>
  </si>
  <si>
    <t>2022-08-10T21:28:11.721000+00:00</t>
  </si>
  <si>
    <t>2022-08-11T02:20:24.960000+00:00</t>
  </si>
  <si>
    <t>988bacf8-b842-4e44-a5bb-54a150c91860</t>
  </si>
  <si>
    <t>2022-08-11T13:59:54.755000+00:00</t>
  </si>
  <si>
    <t>2022-08-11T14:00:11.781000+00:00</t>
  </si>
  <si>
    <t>2022-08-11T14:49:42.145000+00:00</t>
  </si>
  <si>
    <t>2022-08-11T14:49:53.813000+00:00</t>
  </si>
  <si>
    <t>2022-08-11T14:50:14.123000+00:00</t>
  </si>
  <si>
    <t>c37b11e6-de0f-4bbd-8058-f57657545e48</t>
  </si>
  <si>
    <t>2022-08-11T14:59:26.537000+00:00</t>
  </si>
  <si>
    <t>2022-08-11T14:59:37.493000+00:00</t>
  </si>
  <si>
    <t>2022-08-11T15:01:36.017000+00:00</t>
  </si>
  <si>
    <t>2022-08-11T15:05:38.591000+00:00</t>
  </si>
  <si>
    <t>2022-08-11T15:05:49.798000+00:00</t>
  </si>
  <si>
    <t>2022-08-11T15:06:00.013000+00:00</t>
  </si>
  <si>
    <t>5b92a52e-96db-42d5-b4aa-a21ade8b9472</t>
  </si>
  <si>
    <t>2022-08-11T15:10:36.379000+00:00</t>
  </si>
  <si>
    <t>2022-08-11T15:10:47.315000+00:00</t>
  </si>
  <si>
    <t>[right_3147]</t>
  </si>
  <si>
    <t>048ca773-995d-410c-9066-9b650143d8c5</t>
  </si>
  <si>
    <t>2022-08-11T16:00:17.430000+00:00</t>
  </si>
  <si>
    <t>2022-08-11T16:00:35.542000+00:00</t>
  </si>
  <si>
    <t>2022-08-11T16:00:51.460000+00:00</t>
  </si>
  <si>
    <t>00a0c043-f2d7-426c-9691-b75dca3706f8</t>
  </si>
  <si>
    <t>2022-08-11T16:01:37.659000+00:00</t>
  </si>
  <si>
    <t>2022-08-11T16:01:45.549000+00:00</t>
  </si>
  <si>
    <t>499c8ddc-ab77-4001-8975-4e2074d6f828</t>
  </si>
  <si>
    <t>2022-08-11T16:10:35.287000+00:00</t>
  </si>
  <si>
    <t>2022-08-11T16:10:49.401000+00:00</t>
  </si>
  <si>
    <t>9ad4f70c-2e74-4ac0-9377-0056ed43052b</t>
  </si>
  <si>
    <t>2022-08-11T16:55:18.448000+00:00</t>
  </si>
  <si>
    <t>2022-08-11T16:55:39.400000+00:00</t>
  </si>
  <si>
    <t>2022-08-11T16:55:42.668000+00:00</t>
  </si>
  <si>
    <t>c2a6bbba-b1b4-4dcb-b684-33dd78650fbd</t>
  </si>
  <si>
    <t>2022-08-11T16:56:51.035000+00:00</t>
  </si>
  <si>
    <t>2022-08-11T16:57:09.401000+00:00</t>
  </si>
  <si>
    <t>2022-08-11T17:07:50.862000+00:00</t>
  </si>
  <si>
    <t>2022-08-11T17:04:42.349000+00:00</t>
  </si>
  <si>
    <t>2022-08-11T17:05:08.479000+00:00</t>
  </si>
  <si>
    <t>2022-08-11T18:39:47.347000+00:00</t>
  </si>
  <si>
    <t>f097924d-9ed3-41f3-a38b-2447a01e60c8</t>
  </si>
  <si>
    <t>2022-08-11T17:08:24.998000+00:00</t>
  </si>
  <si>
    <t>2022-08-11T17:08:43.396000+00:00</t>
  </si>
  <si>
    <t>2022-08-11T17:10:19.346000+00:00</t>
  </si>
  <si>
    <t>f44fb878-386f-49a5-8f52-eedfa4444c3f</t>
  </si>
  <si>
    <t>2022-08-11T17:10:59.425000+00:00</t>
  </si>
  <si>
    <t>2022-08-11T17:11:17.399000+00:00</t>
  </si>
  <si>
    <t>2022-08-11T17:45:33.128000+00:00</t>
  </si>
  <si>
    <t>53cb5343-def3-4642-9e25-bb6948916604</t>
  </si>
  <si>
    <t>2022-08-11T17:47:52.444000+00:00</t>
  </si>
  <si>
    <t>2022-08-11T17:48:11.399000+00:00</t>
  </si>
  <si>
    <t>2022-08-12T03:28:12.718000+00:00</t>
  </si>
  <si>
    <t>2022-08-16T15:27:50.822000+00:00</t>
  </si>
  <si>
    <t>2022-08-16T15:28:14.974000+00:00</t>
  </si>
  <si>
    <t>2022-08-16T21:54:13.838000+00:00</t>
  </si>
  <si>
    <t>2022-08-16T15:44:24.361000+00:00</t>
  </si>
  <si>
    <t>2022-08-16T15:44:42.477000+00:00</t>
  </si>
  <si>
    <t>2022-08-16T20:27:30.131000+00:00</t>
  </si>
  <si>
    <t>2022-08-17T18:10:27.131000+00:00</t>
  </si>
  <si>
    <t>2022-08-17T18:10:47.273000+00:00</t>
  </si>
  <si>
    <t>2022-08-17T23:10:06.582000+00:00</t>
  </si>
  <si>
    <t>2022-08-17T18:18:59.166000+00:00</t>
  </si>
  <si>
    <t>2022-08-17T18:19:11.278000+00:00</t>
  </si>
  <si>
    <t>2022-08-17T18:52:14.984000+00:00</t>
  </si>
  <si>
    <t>2022-08-18T18:22:08.598000+00:00</t>
  </si>
  <si>
    <t>2022-08-18T18:22:22.719000+00:00</t>
  </si>
  <si>
    <t>2022-08-18T20:30:19.431000+00:00</t>
  </si>
  <si>
    <t>a8c831aa-6270-4f42-beea-249471b1db1e</t>
  </si>
  <si>
    <t>2022-08-18T18:30:36.231000+00:00</t>
  </si>
  <si>
    <t>2022-08-18T18:30:47.656000+00:00</t>
  </si>
  <si>
    <t>2022-08-18T21:58:40.511000+00:00</t>
  </si>
  <si>
    <t>c83f5864-d2fd-4fcd-8530-f1731026e5dd</t>
  </si>
  <si>
    <t>2022-08-22T17:53:17.202000+00:00</t>
  </si>
  <si>
    <t>2022-08-22T17:53:31.319000+00:00</t>
  </si>
  <si>
    <t>2022-08-22T18:31:34.662000+00:00</t>
  </si>
  <si>
    <t>left_lane3658</t>
  </si>
  <si>
    <t>e0b2ccaa-412e-46ec-84c3-ac2baef82c01</t>
  </si>
  <si>
    <t>2022-08-23T19:48:45.866000+00:00</t>
  </si>
  <si>
    <t>2022-08-23T19:49:01.991000+00:00</t>
  </si>
  <si>
    <t>2022-08-23T19:53:34.292000+00:00</t>
  </si>
  <si>
    <t>f29a497b-347f-4dbc-8879-50d499936a12</t>
  </si>
  <si>
    <t>2022-08-23T20:22:39.301000+00:00</t>
  </si>
  <si>
    <t>2022-08-23T20:22:53.421000+00:00</t>
  </si>
  <si>
    <t>2022-08-24T01:51:52.308000+00:00</t>
  </si>
  <si>
    <t>2022-08-23T20:33:12.930000+00:00</t>
  </si>
  <si>
    <t>2022-08-23T20:33:27.041000+00:00</t>
  </si>
  <si>
    <t>2022-08-23T23:58:14.377000+00:00</t>
  </si>
  <si>
    <t>[left_lane3516]</t>
  </si>
  <si>
    <t>a7e9993d-d4f0-4031-a375-8bc91a803032, a7e9993d-d4f0-4031-a375-8bc91a803032</t>
  </si>
  <si>
    <t>131e1789-37e5-43fd-8cd6-f9aa57f780ad</t>
  </si>
  <si>
    <t>2022-08-24T06:39:45.710000+00:00</t>
  </si>
  <si>
    <t>2022-08-24T06:39:55.038000+00:00</t>
  </si>
  <si>
    <t>2022-08-24T06:51:54.503000+00:00</t>
  </si>
  <si>
    <t>2022-06-07T05:25:53.915000+00:00</t>
  </si>
  <si>
    <t>2022-06-07T05:33:06.524000+00:00</t>
  </si>
  <si>
    <t>2022-08-24T16:57:33.256000+00:00</t>
  </si>
  <si>
    <t>2022-08-24T16:57:47.406000+00:00</t>
  </si>
  <si>
    <t>2022-08-24T21:31:59.906000+00:00</t>
  </si>
  <si>
    <t>2022-08-24T21:29:51.014000+00:00</t>
  </si>
  <si>
    <t>2022-08-24T21:30:10.155000+00:00</t>
  </si>
  <si>
    <t>2022-08-25T03:44:52.978000+00:00</t>
  </si>
  <si>
    <t>ba0b4aff-5464-4978-8561-8e4e1da77415</t>
  </si>
  <si>
    <t>2022-08-24T21:45:40.864000+00:00</t>
  </si>
  <si>
    <t>2022-08-24T21:46:31.994000+00:00</t>
  </si>
  <si>
    <t>2b9c4143-43ac-4bb1-bd4d-273ed89d3c9c</t>
  </si>
  <si>
    <t>2022-08-24T21:47:06.119000+00:00</t>
  </si>
  <si>
    <t>2022-08-24T21:47:57.190000+00:00</t>
  </si>
  <si>
    <t>02d4760c-4328-4955-a086-8fb38e8b4f51</t>
  </si>
  <si>
    <t>2022-08-24T21:48:24.516000+00:00</t>
  </si>
  <si>
    <t>2022-08-24T21:49:15.571000+00:00</t>
  </si>
  <si>
    <t>21bd21f6-0f84-4738-a354-55f8bf844df7</t>
  </si>
  <si>
    <t>2022-08-24T21:50:08.771000+00:00</t>
  </si>
  <si>
    <t>2022-08-24T21:50:59.829000+00:00</t>
  </si>
  <si>
    <t>2022-08-24T21:54:16.281000+00:00</t>
  </si>
  <si>
    <t>2022-08-24T21:54:36.414000+00:00</t>
  </si>
  <si>
    <t>2022-08-25T03:39:07.373000+00:00</t>
  </si>
  <si>
    <t>d1dbf4fb-32f9-4b25-bd4d-b8a96448d23a</t>
  </si>
  <si>
    <t>2022-08-25T08:49:50.724000+00:00</t>
  </si>
  <si>
    <t>2022-08-25T08:49:56.467000+00:00</t>
  </si>
  <si>
    <t>2022-08-25T09:03:29.266000+00:00</t>
  </si>
  <si>
    <t>[node_1]</t>
  </si>
  <si>
    <t>xenion_ss_perpetuum</t>
  </si>
  <si>
    <t>2022-08-25T11:26:15.203000+00:00</t>
  </si>
  <si>
    <t>2022-08-25T11:26:20.447000+00:00</t>
  </si>
  <si>
    <t>2022-08-25T11:37:58.282000+00:00</t>
  </si>
  <si>
    <t>0f693fbf-ab38-41ff-b11f-a7e5ecb744ed</t>
  </si>
  <si>
    <t>2022-08-25T11:44:25.632000+00:00</t>
  </si>
  <si>
    <t>2022-08-25T11:44:31.416000+00:00</t>
  </si>
  <si>
    <t>2022-08-25T12:02:06.710000+00:00</t>
  </si>
  <si>
    <t>[node_1</t>
  </si>
  <si>
    <t>node_1</t>
  </si>
  <si>
    <t>11d807ba-89f9-478c-afed-0e81035571b4</t>
  </si>
  <si>
    <t>2022-08-25T12:09:20.225000+00:00</t>
  </si>
  <si>
    <t>2022-08-25T12:09:27.431000+00:00</t>
  </si>
  <si>
    <t>2022-08-25T12:09:58.710000+00:00</t>
  </si>
  <si>
    <t>2bb15088-8845-4a36-9d0f-dcdbbcab5a49</t>
  </si>
  <si>
    <t>2022-08-25T12:10:55.851000+00:00</t>
  </si>
  <si>
    <t>2022-08-25T12:11:01.442000+00:00</t>
  </si>
  <si>
    <t>2022-08-25T12:11:02.576000+00:00</t>
  </si>
  <si>
    <t>7a1853a3-c842-4cd9-b4bb-1e16f36a08b1</t>
  </si>
  <si>
    <t>2022-08-25T12:12:08.419000+00:00</t>
  </si>
  <si>
    <t>2022-08-25T12:12:15.450000+00:00</t>
  </si>
  <si>
    <t>2022-08-25T12:12:16.587000+00:00</t>
  </si>
  <si>
    <t>18862258-282e-49de-867a-b243b722f9b7</t>
  </si>
  <si>
    <t>2022-08-25T12:14:17.245000+00:00</t>
  </si>
  <si>
    <t>2022-08-25T12:14:23.369000+00:00</t>
  </si>
  <si>
    <t>2022-08-25T12:14:24.635000+00:00</t>
  </si>
  <si>
    <t>2022-08-25T12:17:10.776000+00:00</t>
  </si>
  <si>
    <t>2022-08-25T12:17:16.116000+00:00</t>
  </si>
  <si>
    <t>2022-08-25T12:17:30.378000+00:00</t>
  </si>
  <si>
    <t>8129b260-60fc-4c97-b964-ea10e71f7d79</t>
  </si>
  <si>
    <t>2022-08-25T12:49:58.195000+00:00</t>
  </si>
  <si>
    <t>2022-08-25T12:50:03.771000+00:00</t>
  </si>
  <si>
    <t>2022-08-25T13:07:11.770000+00:00</t>
  </si>
  <si>
    <t>9e36be47-0aec-4419-bdea-3552b9001df0</t>
  </si>
  <si>
    <t>2022-08-25T13:48:37.371000+00:00</t>
  </si>
  <si>
    <t>2022-08-25T13:48:43.692000+00:00</t>
  </si>
  <si>
    <t>2022-08-25T14:00:46.743000+00:00</t>
  </si>
  <si>
    <t>2022-08-25T13:55:11.911000+00:00</t>
  </si>
  <si>
    <t>2022-08-25T13:55:24.627000+00:00</t>
  </si>
  <si>
    <t>2022-08-25T13:57:03.657000+00:00</t>
  </si>
  <si>
    <t>Test</t>
  </si>
  <si>
    <t>2022-08-25T14:05:23.376000+00:00</t>
  </si>
  <si>
    <t>2022-08-25T14:05:32.997000+00:00</t>
  </si>
  <si>
    <t>2022-08-25T14:07:11.565000+00:00</t>
  </si>
  <si>
    <t>471f2275-a1e5-468c-a65f-b39748c75068</t>
  </si>
  <si>
    <t>2022-08-25T14:10:30.911000+00:00</t>
  </si>
  <si>
    <t>2022-08-25T14:10:37.682000+00:00</t>
  </si>
  <si>
    <t>2022-08-25T14:22:25.743000+00:00</t>
  </si>
  <si>
    <t>2022-08-25T14:24:47.730000+00:00</t>
  </si>
  <si>
    <t>2022-08-25T14:24:56.999000+00:00</t>
  </si>
  <si>
    <t>2022-08-25T14:26:35.779000+00:00</t>
  </si>
  <si>
    <t>2022-08-25T14:49:40.152000+00:00</t>
  </si>
  <si>
    <t>2022-08-25T14:49:48.428000+00:00</t>
  </si>
  <si>
    <t>2022-08-25T14:51:27.300000+00:00</t>
  </si>
  <si>
    <t>2022-08-25T15:02:59.430000+00:00</t>
  </si>
  <si>
    <t>2022-08-25T15:03:09.350000+00:00</t>
  </si>
  <si>
    <t>2022-08-25T15:04:47.530000+00:00</t>
  </si>
  <si>
    <t>a2adbea7-4882-4d30-9bec-543e0bbf46b1</t>
  </si>
  <si>
    <t>2022-08-25T15:23:10.324000+00:00</t>
  </si>
  <si>
    <t>2022-08-25T15:23:21.113000+00:00</t>
  </si>
  <si>
    <t>2022-08-25T15:27:46.398000+00:00</t>
  </si>
  <si>
    <t>2022-08-25T15:23:52.601000+00:00</t>
  </si>
  <si>
    <t>2022-08-25T15:24:05.146000+00:00</t>
  </si>
  <si>
    <t>2022-08-25T15:27:33.420000+00:00</t>
  </si>
  <si>
    <t>2022-08-25T15:35:45.750000+00:00</t>
  </si>
  <si>
    <t>2022-08-25T15:35:56.963000+00:00</t>
  </si>
  <si>
    <t>2022-08-25T15:39:25.707000+00:00</t>
  </si>
  <si>
    <t>4165c4af-261f-4ba2-9570-ff2fbe72edb6</t>
  </si>
  <si>
    <t>2022-08-25T15:58:43.224000+00:00</t>
  </si>
  <si>
    <t>2022-08-25T15:58:53.878000+00:00</t>
  </si>
  <si>
    <t>2022-08-25T16:02:26.494000+00:00</t>
  </si>
  <si>
    <t>2022-08-25T16:04:41.190000+00:00</t>
  </si>
  <si>
    <t>2022-08-25T16:04:49.879000+00:00</t>
  </si>
  <si>
    <t>2022-08-25T16:08:56.625000+00:00</t>
  </si>
  <si>
    <t>bec95e06-2d3b-4fbc-a9ee-0096d35f3620, bec95e06-2d3b-4fbc-a9ee-0096d35f3620</t>
  </si>
  <si>
    <t>3b106d6b-6414-4faf-bdb3-734132f7e57c</t>
  </si>
  <si>
    <t>2022-08-25T17:04:25.175000+00:00</t>
  </si>
  <si>
    <t>2022-08-25T17:04:32.923000+00:00</t>
  </si>
  <si>
    <t>2022-08-25T17:09:01.978000+00:00</t>
  </si>
  <si>
    <t>2022-08-25T17:13:20.199000+00:00</t>
  </si>
  <si>
    <t>2022-08-25T17:13:44.313000+00:00</t>
  </si>
  <si>
    <t>2022-08-25T18:04:07.608000+00:00</t>
  </si>
  <si>
    <t>836373bc-e38a-4956-8ded-d34fdc18f9e2</t>
  </si>
  <si>
    <t>2022-08-25T17:26:14.941000+00:00</t>
  </si>
  <si>
    <t>2022-08-25T17:26:35.068000+00:00</t>
  </si>
  <si>
    <t>2022-08-26T03:49:04.208000+00:00</t>
  </si>
  <si>
    <t>2022-08-25T19:52:42.180000+00:00</t>
  </si>
  <si>
    <t>2022-08-25T19:53:06.327000+00:00</t>
  </si>
  <si>
    <t>2022-08-25T23:46:07.569000+00:00</t>
  </si>
  <si>
    <t>[right_3211]</t>
  </si>
  <si>
    <t>fd0ddb12-72f6-4fa1-a08d-899b154c8f2a, fd0ddb12-72f6-4fa1-a08d-899b154c8f2a, fd0ddb12-72f6-4fa1-a08d-899b154c8f2a</t>
  </si>
  <si>
    <t>656ef56c-0e98-49f6-92e8-c39d7dfc280b</t>
  </si>
  <si>
    <t>2022-08-26T12:10:28.531000+00:00</t>
  </si>
  <si>
    <t>2022-08-26T12:10:34.395000+00:00</t>
  </si>
  <si>
    <t>2022-08-26T12:10:57.019000+00:00</t>
  </si>
  <si>
    <t>2022-08-26T13:44:00.312000+00:00</t>
  </si>
  <si>
    <t>2022-08-26T13:44:06.526000+00:00</t>
  </si>
  <si>
    <t>2022-08-26T13:46:31.428000+00:00</t>
  </si>
  <si>
    <t>node_virtual_left</t>
  </si>
  <si>
    <t>2022-08-26T17:10:03.248000+00:00</t>
  </si>
  <si>
    <t>2022-08-26T17:10:21.396000+00:00</t>
  </si>
  <si>
    <t>2022-08-26T17:10:27.542000+00:00</t>
  </si>
  <si>
    <t>left</t>
  </si>
  <si>
    <t>left_block27_lane4</t>
  </si>
  <si>
    <t>2022-08-26T17:22:12.956000+00:00</t>
  </si>
  <si>
    <t>2022-08-26T17:22:33.079000+00:00</t>
  </si>
  <si>
    <t>2022-08-26T17:22:38.772000+00:00</t>
  </si>
  <si>
    <t>right</t>
  </si>
  <si>
    <t>right_block1_lane4</t>
  </si>
  <si>
    <t>21f4b9bb-5409-44c8-92d6-dd208dbca709</t>
  </si>
  <si>
    <t>2022-08-26T17:41:38.701000+00:00</t>
  </si>
  <si>
    <t>2022-08-26T17:42:29.883000+00:00</t>
  </si>
  <si>
    <t>4e04fe7b-10d8-466f-b422-ac1a28bf8c08</t>
  </si>
  <si>
    <t>2022-08-26T17:43:58.690000+00:00</t>
  </si>
  <si>
    <t>2022-08-26T17:44:49.811000+00:00</t>
  </si>
  <si>
    <t>2022-08-26T17:46:30.319000+00:00</t>
  </si>
  <si>
    <t>2022-08-26T17:46:44.815000+00:00</t>
  </si>
  <si>
    <t>2022-08-26T17:46:50.221000+00:00</t>
  </si>
  <si>
    <t>left_block1_lane3</t>
  </si>
  <si>
    <t>2022-08-26T17:56:52.948000+00:00</t>
  </si>
  <si>
    <t>2022-08-26T17:57:09.052000+00:00</t>
  </si>
  <si>
    <t>2022-08-26T17:57:15.391000+00:00</t>
  </si>
  <si>
    <t>right_block1_lane2</t>
  </si>
  <si>
    <t>2022-08-26T21:24:04.166000+00:00</t>
  </si>
  <si>
    <t>2022-08-26T21:24:20.248000+00:00</t>
  </si>
  <si>
    <t>2022-08-26T21:24:22.498000+00:00</t>
  </si>
  <si>
    <t>right_dist_2</t>
  </si>
  <si>
    <t>2022-08-26T21:27:36.522000+00:00</t>
  </si>
  <si>
    <t>2022-08-26T21:27:54.658000+00:00</t>
  </si>
  <si>
    <t>2022-08-26T21:29:37.015000+00:00</t>
  </si>
  <si>
    <t>[right_block1_lane1</t>
  </si>
  <si>
    <t>3f64b673-94c5-44e8-84f1-0e8e40a1d387</t>
  </si>
  <si>
    <t>2022-08-26T21:30:25.988000+00:00</t>
  </si>
  <si>
    <t>2022-08-26T21:30:44.083000+00:00</t>
  </si>
  <si>
    <t>2022-08-26T21:30:49.227000+00:00</t>
  </si>
  <si>
    <t>2022-08-26T21:31:17.438000+00:00</t>
  </si>
  <si>
    <t>2022-08-26T21:31:26.083000+00:00</t>
  </si>
  <si>
    <t>2022-08-26T21:31:49.133000+00:00</t>
  </si>
  <si>
    <t>left_block27_lane2</t>
  </si>
  <si>
    <t>e421175a-31ce-4a4c-9a44-1072ca4adeae</t>
  </si>
  <si>
    <t>2022-08-26T21:33:44.030000+00:00</t>
  </si>
  <si>
    <t>2022-08-26T21:33:54.149000+00:00</t>
  </si>
  <si>
    <t>2022-08-26T21:34:19.512000+00:00</t>
  </si>
  <si>
    <t>2022-08-26T21:34:58.032000+00:00</t>
  </si>
  <si>
    <t>2022-08-26T21:35:06.157000+00:00</t>
  </si>
  <si>
    <t>2022-08-26T21:35:28.400000+00:00</t>
  </si>
  <si>
    <t>left_block5_lane2</t>
  </si>
  <si>
    <t>2022-08-29T08:55:43.177000+00:00</t>
  </si>
  <si>
    <t>2022-08-29T08:55:54.221000+00:00</t>
  </si>
  <si>
    <t>2022-08-29T08:56:01.612000+00:00</t>
  </si>
  <si>
    <t>ec1c0f2c-9101-414e-875d-b176f96544c0</t>
  </si>
  <si>
    <t>2022-08-29T09:02:08.887000+00:00</t>
  </si>
  <si>
    <t>2022-08-29T09:02:18.260000+00:00</t>
  </si>
  <si>
    <t>2022-08-29T09:02:29.483000+00:00</t>
  </si>
  <si>
    <t>aa5973e2-8f95-496f-bea0-6170ce40a0ae</t>
  </si>
  <si>
    <t>2022-08-29T09:05:46.139000+00:00</t>
  </si>
  <si>
    <t>2022-08-29T09:05:54.256000+00:00</t>
  </si>
  <si>
    <t>2022-08-29T09:20:34.892000+00:00</t>
  </si>
  <si>
    <t>376a3ede-f066-4191-917b-1cf88c2ce280</t>
  </si>
  <si>
    <t>2022-08-29T09:24:22.283000+00:00</t>
  </si>
  <si>
    <t>2022-08-29T09:24:30.258000+00:00</t>
  </si>
  <si>
    <t>2022-08-29T09:25:23.077000+00:00</t>
  </si>
  <si>
    <t>2022-08-29T10:37:24.703000+00:00</t>
  </si>
  <si>
    <t>2022-08-29T10:37:35.632000+00:00</t>
  </si>
  <si>
    <t>2022-08-29T10:37:43.111000+00:00</t>
  </si>
  <si>
    <t>2022-08-29T10:41:14.026000+00:00</t>
  </si>
  <si>
    <t>2022-08-29T10:41:23.594000+00:00</t>
  </si>
  <si>
    <t>2022-08-29T11:45:44.692000+00:00</t>
  </si>
  <si>
    <t>e767dc89-9a37-48bb-b601-f85f76ad663e</t>
  </si>
  <si>
    <t>2022-08-29T11:57:51.448000+00:00</t>
  </si>
  <si>
    <t>2022-08-29T11:58:01.115000+00:00</t>
  </si>
  <si>
    <t>2022-08-29T11:58:10.958000+00:00</t>
  </si>
  <si>
    <t>2caa8639-36a7-49ec-a62a-cdeb989e97dd</t>
  </si>
  <si>
    <t>2022-08-29T11:59:36.152000+00:00</t>
  </si>
  <si>
    <t>2022-08-29T11:59:43.109000+00:00</t>
  </si>
  <si>
    <t>2022-08-29T12:14:55.836000+00:00</t>
  </si>
  <si>
    <t>2022-08-29T14:56:00.707000+00:00</t>
  </si>
  <si>
    <t>2022-08-29T14:56:22.883000+00:00</t>
  </si>
  <si>
    <t>2022-08-30T03:55:11.338000+00:00</t>
  </si>
  <si>
    <t>6341f3cc-be9d-4992-bdf6-69354d192502</t>
  </si>
  <si>
    <t>2022-08-29T15:00:14.896000+00:00</t>
  </si>
  <si>
    <t>2022-08-29T15:00:43.026000+00:00</t>
  </si>
  <si>
    <t>2022-08-29T15:02:11.313000+00:00</t>
  </si>
  <si>
    <t>2022-08-29T15:04:57.732000+00:00</t>
  </si>
  <si>
    <t>2022-08-29T15:05:17.041000+00:00</t>
  </si>
  <si>
    <t>2022-08-29T23:31:33.316000+00:00</t>
  </si>
  <si>
    <t>f083e183-8fef-4d15-97f7-73d9d3d0ea10, f083e183-8fef-4d15-97f7-73d9d3d0ea10</t>
  </si>
  <si>
    <t>815576cd-eed1-40f2-966a-a75634eb2856</t>
  </si>
  <si>
    <t>2022-08-30T04:06:39.049000+00:00</t>
  </si>
  <si>
    <t>2022-08-30T04:06:50.216000+00:00</t>
  </si>
  <si>
    <t>2022-08-30T05:01:46.396000+00:00</t>
  </si>
  <si>
    <t>2022-08-30T04:18:22.004000+00:00</t>
  </si>
  <si>
    <t>2022-08-30T04:18:31.320000+00:00</t>
  </si>
  <si>
    <t>2022-08-30T04:18:35.590000+00:00</t>
  </si>
  <si>
    <t>2022-08-30T04:20:13.331000+00:00</t>
  </si>
  <si>
    <t>2022-08-30T04:20:21.317000+00:00</t>
  </si>
  <si>
    <t>2022-08-30T04:20:26.533000+00:00</t>
  </si>
  <si>
    <t>2022-08-30T04:21:29.712000+00:00</t>
  </si>
  <si>
    <t>2022-08-30T04:21:37.317000+00:00</t>
  </si>
  <si>
    <t>2022-08-30T04:21:42.132000+00:00</t>
  </si>
  <si>
    <t>2022-08-31T12:23:38.816000+00:00</t>
  </si>
  <si>
    <t>2022-08-31T12:24:02.220000+00:00</t>
  </si>
  <si>
    <t>2022-08-31T12:27:41.241000+00:00</t>
  </si>
  <si>
    <t>2022-08-31T12:36:53.509000+00:00</t>
  </si>
  <si>
    <t>2022-08-31T12:37:19.669000+00:00</t>
  </si>
  <si>
    <t>2022-08-31T12:40:10.146000+00:00</t>
  </si>
  <si>
    <t>left_block27_lane3</t>
  </si>
  <si>
    <t>d147375e-4627-4f95-9923-b7d9392b0b2d</t>
  </si>
  <si>
    <t>2022-08-31T12:58:28.888000+00:00</t>
  </si>
  <si>
    <t>2022-08-31T12:58:39.151000+00:00</t>
  </si>
  <si>
    <t>2022-08-31T12:58:45.265000+00:00</t>
  </si>
  <si>
    <t>2022-08-31T13:00:14.902000+00:00</t>
  </si>
  <si>
    <t>2022-08-31T13:00:21.149000+00:00</t>
  </si>
  <si>
    <t>2022-08-31T13:26:49.296000+00:00</t>
  </si>
  <si>
    <t>left_block28_lane2</t>
  </si>
  <si>
    <t>02246524-4caa-4ef7-bea8-4c811391ccf6</t>
  </si>
  <si>
    <t>2022-08-31T14:29:29.502000+00:00</t>
  </si>
  <si>
    <t>2022-08-31T14:30:20.657000+00:00</t>
  </si>
  <si>
    <t>1fe0ecf9-8270-41c5-b958-8e3689a575e3</t>
  </si>
  <si>
    <t>2022-08-31T14:37:36.262000+00:00</t>
  </si>
  <si>
    <t>2022-08-31T14:37:46.357000+00:00</t>
  </si>
  <si>
    <t>2022-08-31T14:58:04.248000+00:00</t>
  </si>
  <si>
    <t>2022-08-31T14:49:45.713000+00:00</t>
  </si>
  <si>
    <t>2022-08-31T14:50:03.817000+00:00</t>
  </si>
  <si>
    <t>2022-08-31T14:58:07.580000+00:00</t>
  </si>
  <si>
    <t>left_block33_lane2</t>
  </si>
  <si>
    <t>dc001902-a70e-4bc2-a189-4d87a72bf40a</t>
  </si>
  <si>
    <t>2022-08-31T15:19:03.408000+00:00</t>
  </si>
  <si>
    <t>2022-08-31T15:19:15.820000+00:00</t>
  </si>
  <si>
    <t>2022-08-31T15:19:31.692000+00:00</t>
  </si>
  <si>
    <t>left_block32_lane7</t>
  </si>
  <si>
    <t>2022-08-31T15:20:38.687000+00:00</t>
  </si>
  <si>
    <t>2022-08-31T15:20:45.820000+00:00</t>
  </si>
  <si>
    <t>2022-08-31T15:28:23.567000+00:00</t>
  </si>
  <si>
    <t>left_block33_lane3</t>
  </si>
  <si>
    <t>f64595ec-b72c-4d64-a870-56cc72d91714</t>
  </si>
  <si>
    <t>2022-08-31T15:36:50.621000+00:00</t>
  </si>
  <si>
    <t>2022-08-31T15:37:08.356000+00:00</t>
  </si>
  <si>
    <t>2022-08-31T17:23:07.843000+00:00</t>
  </si>
  <si>
    <t>right_block31_lane4</t>
  </si>
  <si>
    <t>2022-08-31T15:46:19.483000+00:00</t>
  </si>
  <si>
    <t>2022-08-31T15:46:33.600000+00:00</t>
  </si>
  <si>
    <t>2022-08-31T18:21:50.836000+00:00</t>
  </si>
  <si>
    <t>left_block39_lane8</t>
  </si>
  <si>
    <t>2022-08-31T16:47:39.857000+00:00</t>
  </si>
  <si>
    <t>2022-08-31T16:48:03.973000+00:00</t>
  </si>
  <si>
    <t>2022-08-31T17:02:36.925000+00:00</t>
  </si>
  <si>
    <t>2022-08-31T17:06:11.887000+00:00</t>
  </si>
  <si>
    <t>2022-08-31T17:06:34.020000+00:00</t>
  </si>
  <si>
    <t>2022-08-31T17:59:06.523000+00:00</t>
  </si>
  <si>
    <t>86f2f6f9-4c29-4c36-9301-27ab001a8b29, 86f2f6f9-4c29-4c36-9301-27ab001a8b29</t>
  </si>
  <si>
    <t>59bd4023-bf4c-40f7-86ba-8d0aa5b45ef3</t>
  </si>
  <si>
    <t>2022-08-31T17:25:32.692000+00:00</t>
  </si>
  <si>
    <t>2022-08-31T17:25:40.803000+00:00</t>
  </si>
  <si>
    <t>2022-08-31T17:25:45.979000+00:00</t>
  </si>
  <si>
    <t>5892818d-3d74-4530-977c-fc30768f7f64</t>
  </si>
  <si>
    <t>2022-08-31T17:26:36.754000+00:00</t>
  </si>
  <si>
    <t>2022-08-31T17:26:44.804000+00:00</t>
  </si>
  <si>
    <t>2022-08-31T17:38:41.148000+00:00</t>
  </si>
  <si>
    <t>2022-08-31T17:44:01.240000+00:00</t>
  </si>
  <si>
    <t>2022-08-31T17:44:22.804000+00:00</t>
  </si>
  <si>
    <t>2022-08-31T19:12:53.561000+00:00</t>
  </si>
  <si>
    <t>e0100e0c-05bd-4214-97f8-1332319c5070</t>
  </si>
  <si>
    <t>2022-08-31T18:27:42.066000+00:00</t>
  </si>
  <si>
    <t>2022-08-31T18:27:52.356000+00:00</t>
  </si>
  <si>
    <t>2022-08-31T19:37:53.556000+00:00</t>
  </si>
  <si>
    <t>right_block36_lane6</t>
  </si>
  <si>
    <t>95d6b677-444c-417c-a705-9025dba135f2</t>
  </si>
  <si>
    <t>2022-08-31T18:28:23.586000+00:00</t>
  </si>
  <si>
    <t>2022-08-31T18:28:33.602000+00:00</t>
  </si>
  <si>
    <t>2022-08-31T18:28:50.042000+00:00</t>
  </si>
  <si>
    <t>e01a43a8-f1c8-4eac-9489-6df7a7ace5bf</t>
  </si>
  <si>
    <t>2022-08-31T18:30:40.088000+00:00</t>
  </si>
  <si>
    <t>2022-08-31T18:30:49.599000+00:00</t>
  </si>
  <si>
    <t>2022-08-31T19:40:22.629000+00:00</t>
  </si>
  <si>
    <t>2022-08-31T20:54:27.495000+00:00</t>
  </si>
  <si>
    <t>2022-08-31T20:54:37.600000+00:00</t>
  </si>
  <si>
    <t>2022-08-31T22:28:57.694000+00:00</t>
  </si>
  <si>
    <t>[left_block31_lane4]</t>
  </si>
  <si>
    <t>2022-08-31T22:01:06.132000+00:00</t>
  </si>
  <si>
    <t>2022-08-31T22:01:16.267000+00:00</t>
  </si>
  <si>
    <t>2022-08-31T22:01:34.280000+00:00</t>
  </si>
  <si>
    <t>right_block37_lane2</t>
  </si>
  <si>
    <t>a743cf4b-e241-4cd1-9d96-7bba69c0a8b2</t>
  </si>
  <si>
    <t>2022-08-31T22:16:42.617000+00:00</t>
  </si>
  <si>
    <t>2022-08-31T22:16:52.723000+00:00</t>
  </si>
  <si>
    <t>2022-08-31T22:23:08.983000+00:00</t>
  </si>
  <si>
    <t>2022-08-31T22:26:37.535000+00:00</t>
  </si>
  <si>
    <t>2022-08-31T22:27:06.724000+00:00</t>
  </si>
  <si>
    <t>2022-09-01T03:42:59.297000+00:00</t>
  </si>
  <si>
    <t>[right_block41_lane1]</t>
  </si>
  <si>
    <t>2022-08-31T23:17:19.723000+00:00</t>
  </si>
  <si>
    <t>2022-08-31T23:17:47.847000+00:00</t>
  </si>
  <si>
    <t>2022-08-31T23:50:07.224000+00:00</t>
  </si>
  <si>
    <t>right_block15_lane4</t>
  </si>
  <si>
    <t>2022-09-01T07:59:09.257000+00:00</t>
  </si>
  <si>
    <t>2022-09-01T07:59:33.348000+00:00</t>
  </si>
  <si>
    <t>2022-09-01T08:53:21.702000+00:00</t>
  </si>
  <si>
    <t>156c00c0-fb76-49e0-8a9f-76979d856a28</t>
  </si>
  <si>
    <t>2022-09-01T08:32:40.185000+00:00</t>
  </si>
  <si>
    <t>2022-09-01T08:32:50.279000+00:00</t>
  </si>
  <si>
    <t>2022-09-01T08:33:28.003000+00:00</t>
  </si>
  <si>
    <t>2022-09-01T09:13:37.162000+00:00</t>
  </si>
  <si>
    <t>2022-09-01T09:13:50.282000+00:00</t>
  </si>
  <si>
    <t>2022-09-01T10:00:45.352000+00:00</t>
  </si>
  <si>
    <t>left_block15_lane8</t>
  </si>
  <si>
    <t>55c117fb-99da-4b63-9568-6fcd21bab8ab</t>
  </si>
  <si>
    <t>2022-09-01T10:39:50.731000+00:00</t>
  </si>
  <si>
    <t>2022-09-01T10:40:04.811000+00:00</t>
  </si>
  <si>
    <t>2022-09-01T10:40:19.574000+00:00</t>
  </si>
  <si>
    <t>2022-09-01T10:41:43.199000+00:00</t>
  </si>
  <si>
    <t>2022-09-01T10:41:54.814000+00:00</t>
  </si>
  <si>
    <t>2022-09-01T12:33:54.730000+00:00</t>
  </si>
  <si>
    <t>[left_block19_lane4</t>
  </si>
  <si>
    <t>2022-09-01T12:23:55.397000+00:00</t>
  </si>
  <si>
    <t>2022-09-01T12:24:07.548000+00:00</t>
  </si>
  <si>
    <t>2022-09-01T13:08:26.796000+00:00</t>
  </si>
  <si>
    <t>[right_block24_lane3]</t>
  </si>
  <si>
    <t>9edca962-a46e-459d-9706-a1cdec8c6ec5</t>
  </si>
  <si>
    <t>2022-09-01T12:43:43.991000+00:00</t>
  </si>
  <si>
    <t>2022-09-01T12:43:54.136000+00:00</t>
  </si>
  <si>
    <t>2022-09-01T12:44:16.181000+00:00</t>
  </si>
  <si>
    <t>4ca859d3-9c95-4b8d-92d2-50e05aa7f794</t>
  </si>
  <si>
    <t>2022-09-01T12:47:16.108000+00:00</t>
  </si>
  <si>
    <t>2022-09-01T12:47:28.138000+00:00</t>
  </si>
  <si>
    <t>2022-09-01T12:50:57.735000+00:00</t>
  </si>
  <si>
    <t>2ee8eadc-318d-43b9-a746-3ea55e72910d</t>
  </si>
  <si>
    <t>2022-09-01T13:06:54.702000+00:00</t>
  </si>
  <si>
    <t>2022-09-01T13:07:04.832000+00:00</t>
  </si>
  <si>
    <t>2022-09-01T13:07:47.499000+00:00</t>
  </si>
  <si>
    <t>2022-09-01T13:09:00.975000+00:00</t>
  </si>
  <si>
    <t>2022-09-01T13:09:14.831000+00:00</t>
  </si>
  <si>
    <t>2022-09-01T13:23:51.499000+00:00</t>
  </si>
  <si>
    <t>left_block20_lane3</t>
  </si>
  <si>
    <t>59e33e63-49e3-4cda-8091-ac36d8e7834a</t>
  </si>
  <si>
    <t>2022-09-01T13:32:14.071000+00:00</t>
  </si>
  <si>
    <t>2022-09-01T13:32:26.837000+00:00</t>
  </si>
  <si>
    <t>2022-09-01T13:32:36.550000+00:00</t>
  </si>
  <si>
    <t>left_block19_lane7</t>
  </si>
  <si>
    <t>2022-09-01T13:33:28.247000+00:00</t>
  </si>
  <si>
    <t>2022-09-01T13:33:40.835000+00:00</t>
  </si>
  <si>
    <t>2022-09-01T13:39:33.290000+00:00</t>
  </si>
  <si>
    <t>2022-09-01T14:22:54.902000+00:00</t>
  </si>
  <si>
    <t>2022-09-01T14:23:10.840000+00:00</t>
  </si>
  <si>
    <t>2022-09-01T14:25:54.199000+00:00</t>
  </si>
  <si>
    <t>left_block21_lane2</t>
  </si>
  <si>
    <t>2022-09-01T14:24:47.790000+00:00</t>
  </si>
  <si>
    <t>2022-09-01T14:24:59.910000+00:00</t>
  </si>
  <si>
    <t>2022-09-01T14:31:50.804000+00:00</t>
  </si>
  <si>
    <t>[right_block25_lane3]</t>
  </si>
  <si>
    <t>3f260ec3-32bc-4724-980a-106171575ef2, 3f260ec3-32bc-4724-980a-106171575ef2</t>
  </si>
  <si>
    <t>29425bd4-9a09-41be-91a4-2b8454454a88</t>
  </si>
  <si>
    <t>2022-09-01T14:35:22.033000+00:00</t>
  </si>
  <si>
    <t>2022-09-01T14:35:31.914000+00:00</t>
  </si>
  <si>
    <t>2022-09-01T14:38:40.361000+00:00</t>
  </si>
  <si>
    <t>2022-09-01T14:57:23.798000+00:00</t>
  </si>
  <si>
    <t>2022-09-01T14:57:41.912000+00:00</t>
  </si>
  <si>
    <t>2022-09-01T15:12:25.288000+00:00</t>
  </si>
  <si>
    <t>left_block21_lane5</t>
  </si>
  <si>
    <t>ba4b128a-5b7d-4419-907c-387b98636eea</t>
  </si>
  <si>
    <t>2022-09-01T15:07:35.363000+00:00</t>
  </si>
  <si>
    <t>2022-09-01T15:07:45.505000+00:00</t>
  </si>
  <si>
    <t>2022-09-01T15:35:01.103000+00:00</t>
  </si>
  <si>
    <t>2022-09-01T15:59:03.381000+00:00</t>
  </si>
  <si>
    <t>2022-09-01T15:59:15.506000+00:00</t>
  </si>
  <si>
    <t>2022-09-01T16:01:54.170000+00:00</t>
  </si>
  <si>
    <t>2022-09-01T16:11:13.753000+00:00</t>
  </si>
  <si>
    <t>2022-09-01T16:11:25.872000+00:00</t>
  </si>
  <si>
    <t>2022-09-01T16:15:36.209000+00:00</t>
  </si>
  <si>
    <t>left_block9_lane2</t>
  </si>
  <si>
    <t>24748a1a-743c-440c-9ebf-e97f8b48dce1</t>
  </si>
  <si>
    <t>2022-09-01T16:21:37.061000+00:00</t>
  </si>
  <si>
    <t>2022-09-01T16:21:45.870000+00:00</t>
  </si>
  <si>
    <t>2022-09-01T16:22:36.762000+00:00</t>
  </si>
  <si>
    <t>01c4707a-52c0-4f0d-8c5d-90e313a3307b</t>
  </si>
  <si>
    <t>2022-09-01T17:05:24.519000+00:00</t>
  </si>
  <si>
    <t>2022-09-01T17:05:36.655000+00:00</t>
  </si>
  <si>
    <t>2022-09-01T17:48:05.574000+00:00</t>
  </si>
  <si>
    <t>left_block26_lane2</t>
  </si>
  <si>
    <t>f7545c03-0218-4c13-86e0-f4f4885be2c7</t>
  </si>
  <si>
    <t>2022-09-01T18:26:29.863000+00:00</t>
  </si>
  <si>
    <t>2022-09-01T18:26:39.952000+00:00</t>
  </si>
  <si>
    <t>2022-09-01T18:29:45.402000+00:00</t>
  </si>
  <si>
    <t>left_test</t>
  </si>
  <si>
    <t>2022-09-01T18:30:17.049000+00:00</t>
  </si>
  <si>
    <t>2022-09-01T18:30:25.953000+00:00</t>
  </si>
  <si>
    <t>2022-09-01T18:38:00.663000+00:00</t>
  </si>
  <si>
    <t>2022-09-01T18:51:23.916000+00:00</t>
  </si>
  <si>
    <t>2022-09-01T18:51:34.035000+00:00</t>
  </si>
  <si>
    <t>2022-09-01T19:02:50.529000+00:00</t>
  </si>
  <si>
    <t>left_block26_lane7</t>
  </si>
  <si>
    <t>2022-09-01T19:03:44.881000+00:00</t>
  </si>
  <si>
    <t>2022-09-01T19:04:11.026000+00:00</t>
  </si>
  <si>
    <t>2022-09-01T19:30:46.201000+00:00</t>
  </si>
  <si>
    <t>5475f264-0560-4a9c-8a32-3b02c4f83884</t>
  </si>
  <si>
    <t>2022-09-01T19:22:16.718000+00:00</t>
  </si>
  <si>
    <t>2022-09-01T19:22:40.842000+00:00</t>
  </si>
  <si>
    <t>2022-09-01T19:22:51.945000+00:00</t>
  </si>
  <si>
    <t>b6ac5e0f-485c-441f-9351-c01539c29fd7</t>
  </si>
  <si>
    <t>2022-09-01T19:31:49.013000+00:00</t>
  </si>
  <si>
    <t>2022-09-01T19:32:17.119000+00:00</t>
  </si>
  <si>
    <t>2022-09-01T19:34:53.289000+00:00</t>
  </si>
  <si>
    <t>left_block8_lane2</t>
  </si>
  <si>
    <t>2022-09-02T14:16:17.636000+00:00</t>
  </si>
  <si>
    <t>2022-09-02T14:16:27.737000+00:00</t>
  </si>
  <si>
    <t>2022-09-02T14:16:31.902000+00:00</t>
  </si>
  <si>
    <t>left_block49_lane2</t>
  </si>
  <si>
    <t>2022-09-03T07:23:48.678000+00:00</t>
  </si>
  <si>
    <t>2022-09-03T07:24:02.818000+00:00</t>
  </si>
  <si>
    <t>2022-09-03T07:25:30.452000+00:00</t>
  </si>
  <si>
    <t>[left_block49_lane2]</t>
  </si>
  <si>
    <t>2022-09-05T16:05:28.489000+00:00</t>
  </si>
  <si>
    <t>2022-09-05T16:05:52.658000+00:00</t>
  </si>
  <si>
    <t>2022-09-05T18:00:19.764000+00:00</t>
  </si>
  <si>
    <t>2022-09-05T16:16:32.678000+00:00</t>
  </si>
  <si>
    <t>2022-09-05T16:16:50.792000+00:00</t>
  </si>
  <si>
    <t>2022-09-05T22:51:16.519000+00:00</t>
  </si>
  <si>
    <t>343df7e4-8c5d-42c1-b1a9-5c8c020da66f, 343df7e4-8c5d-42c1-b1a9-5c8c020da66f</t>
  </si>
  <si>
    <t>2022-09-07T16:13:31.983000+00:00</t>
  </si>
  <si>
    <t>2022-09-07T16:13:50.090000+00:00</t>
  </si>
  <si>
    <t>2022-09-07T21:08:56.926000+00:00</t>
  </si>
  <si>
    <t>94fa43d2-2c4f-414e-994c-e5fd5c208056, 94fa43d2-2c4f-414e-994c-e5fd5c208056</t>
  </si>
  <si>
    <t>2022-09-07T16:19:22.950000+00:00</t>
  </si>
  <si>
    <t>2022-09-07T16:19:43.086000+00:00</t>
  </si>
  <si>
    <t>2022-09-07T18:57:29.618000+00:00</t>
  </si>
  <si>
    <t>2022-09-08T03:52:41.279000+00:00</t>
  </si>
  <si>
    <t>2022-09-08T03:52:51.390000+00:00</t>
  </si>
  <si>
    <t>2022-09-08T03:56:09.889000+00:00</t>
  </si>
  <si>
    <t>0a3bd2f8-3ec2-4577-8320-58d4a0d65366</t>
  </si>
  <si>
    <t>2022-09-08T03:58:19.639000+00:00</t>
  </si>
  <si>
    <t>2022-09-08T03:58:29.780000+00:00</t>
  </si>
  <si>
    <t>2022-09-08T04:36:10.041000+00:00</t>
  </si>
  <si>
    <t>2022-09-08T04:02:49.113000+00:00</t>
  </si>
  <si>
    <t>2022-09-08T04:03:03.259000+00:00</t>
  </si>
  <si>
    <t>2022-09-08T04:58:32.022000+00:00</t>
  </si>
  <si>
    <t>2022-09-12T16:20:02.287000+00:00</t>
  </si>
  <si>
    <t>2022-09-12T16:20:20.400000+00:00</t>
  </si>
  <si>
    <t>2022-09-12T16:21:24.403000+00:00</t>
  </si>
  <si>
    <t>[right_3261]</t>
  </si>
  <si>
    <t>63e73a2e-1e3f-414e-9922-53da566035d8, 63e73a2e-1e3f-414e-9922-53da566035d8</t>
  </si>
  <si>
    <t>2022-09-12T16:22:21.405000+00:00</t>
  </si>
  <si>
    <t>2022-09-12T16:22:28.401000+00:00</t>
  </si>
  <si>
    <t>2022-09-12T16:22:36.212000+00:00</t>
  </si>
  <si>
    <t>5b2d0deb-6325-4e12-8e08-5e6be39bf95b</t>
  </si>
  <si>
    <t>2022-09-12T16:35:20.788000+00:00</t>
  </si>
  <si>
    <t>2022-09-12T16:35:36.913000+00:00</t>
  </si>
  <si>
    <t>2022-09-12T22:20:55.820000+00:00</t>
  </si>
  <si>
    <t>2022-09-12T16:38:18.809000+00:00</t>
  </si>
  <si>
    <t>2022-09-12T16:38:26.397000+00:00</t>
  </si>
  <si>
    <t>2022-09-12T16:39:28.534000+00:00</t>
  </si>
  <si>
    <t>a08133f9-17f9-4685-8cd8-c77082e50325, a08133f9-17f9-4685-8cd8-c77082e50325</t>
  </si>
  <si>
    <t>61028a25-57be-42ba-84e7-a040920f5d02</t>
  </si>
  <si>
    <t>2022-09-12T16:41:19.029000+00:00</t>
  </si>
  <si>
    <t>2022-09-12T16:41:34.400000+00:00</t>
  </si>
  <si>
    <t>2022-09-12T16:41:42.526000+00:00</t>
  </si>
  <si>
    <t>right_3259</t>
  </si>
  <si>
    <t>2022-09-12T16:47:05.195000+00:00</t>
  </si>
  <si>
    <t>2022-09-12T16:47:23.310000+00:00</t>
  </si>
  <si>
    <t>2022-09-12T16:57:15.662000+00:00</t>
  </si>
  <si>
    <t>[right_3261</t>
  </si>
  <si>
    <t>df8e3026-232f-4058-9499-d085ff0c1eb9, df8e3026-232f-4058-9499-d085ff0c1eb9, df8e3026-232f-4058-9499-d085ff0c1eb9</t>
  </si>
  <si>
    <t>2022-09-12T16:59:39.085000+00:00</t>
  </si>
  <si>
    <t>2022-09-12T16:59:47.309000+00:00</t>
  </si>
  <si>
    <t>2022-09-12T16:59:51.988000+00:00</t>
  </si>
  <si>
    <t>2022-09-12T17:05:17.878000+00:00</t>
  </si>
  <si>
    <t>2022-09-12T17:05:56.003000+00:00</t>
  </si>
  <si>
    <t>2022-09-12T20:51:28.821000+00:00</t>
  </si>
  <si>
    <t>9cf48e7e-3027-4e3e-b47a-f79aba77bfd5</t>
  </si>
  <si>
    <t>2022-09-13T08:44:46.695000+00:00</t>
  </si>
  <si>
    <t>2022-09-13T08:44:54.779000+00:00</t>
  </si>
  <si>
    <t>2022-09-13T08:56:55.705000+00:00</t>
  </si>
  <si>
    <t>2022-09-13T09:30:02.967000+00:00</t>
  </si>
  <si>
    <t>2022-09-13T09:30:29.083000+00:00</t>
  </si>
  <si>
    <t>2022-09-13T10:27:46.847000+00:00</t>
  </si>
  <si>
    <t>08041300-7dd2-453f-a6d6-54031f0f4b25</t>
  </si>
  <si>
    <t>2022-09-13T09:38:17.098000+00:00</t>
  </si>
  <si>
    <t>2022-09-13T09:38:41.162000+00:00</t>
  </si>
  <si>
    <t>2022-09-13T10:33:14.500000+00:00</t>
  </si>
  <si>
    <t>2022-09-13T10:57:58.724000+00:00</t>
  </si>
  <si>
    <t>2022-09-13T10:58:15.083000+00:00</t>
  </si>
  <si>
    <t>2022-09-13T11:14:15.262000+00:00</t>
  </si>
  <si>
    <t>[right_3539</t>
  </si>
  <si>
    <t>ffb83cdc-fdea-4692-b15e-87ec97b5ab95, ffb83cdc-fdea-4692-b15e-87ec97b5ab95, ffb83cdc-fdea-4692-b15e-87ec97b5ab95</t>
  </si>
  <si>
    <t>2022-09-13T11:17:09.419000+00:00</t>
  </si>
  <si>
    <t>2022-09-13T11:17:27.081000+00:00</t>
  </si>
  <si>
    <t>2022-09-13T11:17:37.139000+00:00</t>
  </si>
  <si>
    <t>b745df13-0444-45ab-bc9c-611e9c1dcc70</t>
  </si>
  <si>
    <t>2022-09-13T11:21:41.760000+00:00</t>
  </si>
  <si>
    <t>2022-09-13T11:21:53.205000+00:00</t>
  </si>
  <si>
    <t>2022-09-13T11:22:49.092000+00:00</t>
  </si>
  <si>
    <t>2022-09-13T11:27:41.209000+00:00</t>
  </si>
  <si>
    <t>2022-09-13T11:27:49.206000+00:00</t>
  </si>
  <si>
    <t>2022-09-13T12:43:43.519000+00:00</t>
  </si>
  <si>
    <t>2022-09-13T21:21:49.627000+00:00</t>
  </si>
  <si>
    <t>2022-09-13T21:22:07.745000+00:00</t>
  </si>
  <si>
    <t>2022-09-14T04:32:39.794000+00:00</t>
  </si>
  <si>
    <t>20033b04-0b34-4d9a-9dff-2500a4227ed5</t>
  </si>
  <si>
    <t>2022-09-13T21:23:25.405000+00:00</t>
  </si>
  <si>
    <t>2022-09-13T21:23:43.527000+00:00</t>
  </si>
  <si>
    <t>2022-09-14T05:20:15.341000+00:00</t>
  </si>
  <si>
    <t>e2bb2404-0f54-494e-a436-6d7f2a943327</t>
  </si>
  <si>
    <t>2022-09-14T08:59:45.967000+00:00</t>
  </si>
  <si>
    <t>2022-09-14T08:59:58.083000+00:00</t>
  </si>
  <si>
    <t>2022-09-14T11:24:25.483000+00:00</t>
  </si>
  <si>
    <t>2022-09-14T12:07:23.178000+00:00</t>
  </si>
  <si>
    <t>2022-09-14T12:08:01.300000+00:00</t>
  </si>
  <si>
    <t>2022-09-14T14:21:40.784000+00:00</t>
  </si>
  <si>
    <t>[right_3489</t>
  </si>
  <si>
    <t>46446112-ae2b-47f3-af7f-e2bc1e7c6de1, 46446112-ae2b-47f3-af7f-e2bc1e7c6de1, 46446112-ae2b-47f3-af7f-e2bc1e7c6de1</t>
  </si>
  <si>
    <t>2022-09-14T15:05:57.428000+00:00</t>
  </si>
  <si>
    <t>2022-09-14T15:06:33.602000+00:00</t>
  </si>
  <si>
    <t>2022-09-14T20:02:12.102000+00:00</t>
  </si>
  <si>
    <t>5de5fb6e-0441-4345-9c9f-fb0c951352bf</t>
  </si>
  <si>
    <t>2022-09-14T21:05:23.868000+00:00</t>
  </si>
  <si>
    <t>2022-09-14T21:05:47.306000+00:00</t>
  </si>
  <si>
    <t>2022-09-14T21:11:23.026000+00:00</t>
  </si>
  <si>
    <t>2022-09-14T21:13:20.302000+00:00</t>
  </si>
  <si>
    <t>2022-09-14T21:13:47.306000+00:00</t>
  </si>
  <si>
    <t>2022-09-14T21:27:26.467000+00:00</t>
  </si>
  <si>
    <t>[right_3441]</t>
  </si>
  <si>
    <t>3f60af75-376f-4116-b094-a7dd6ad75be7</t>
  </si>
  <si>
    <t>2022-09-14T21:14:38.875000+00:00</t>
  </si>
  <si>
    <t>2022-09-14T21:15:06.980000+00:00</t>
  </si>
  <si>
    <t>2022-09-15T01:25:24.300000+00:00</t>
  </si>
  <si>
    <t>12aa6728-5688-4903-af45-97f6a2b940dd</t>
  </si>
  <si>
    <t>2022-09-14T21:30:47.496000+00:00</t>
  </si>
  <si>
    <t>2022-09-14T21:33:36.319000+00:00</t>
  </si>
  <si>
    <t>2022-09-14T21:33:43.304000+00:00</t>
  </si>
  <si>
    <t>2022-09-14T22:27:22.390000+00:00</t>
  </si>
  <si>
    <t>[right_3427]</t>
  </si>
  <si>
    <t>6d923a95-bdea-47f9-83d2-f0ebef2d515e, 6d923a95-bdea-47f9-83d2-f0ebef2d515e</t>
  </si>
  <si>
    <t>59837af5-c2cc-4f80-a14f-055e39770e1f</t>
  </si>
  <si>
    <t>2022-09-15T09:39:11.819000+00:00</t>
  </si>
  <si>
    <t>2022-09-15T09:39:21.955000+00:00</t>
  </si>
  <si>
    <t>2022-09-15T09:56:28.639000+00:00</t>
  </si>
  <si>
    <t>65f15429-656f-487f-bb75-d1188d02fe5a</t>
  </si>
  <si>
    <t>2022-09-15T09:43:34.973000+00:00</t>
  </si>
  <si>
    <t>2022-09-15T09:44:01.305000+00:00</t>
  </si>
  <si>
    <t>2022-09-15T10:17:28.152000+00:00</t>
  </si>
  <si>
    <t>2022-09-15T09:57:20.894000+00:00</t>
  </si>
  <si>
    <t>2022-09-15T09:57:46.980000+00:00</t>
  </si>
  <si>
    <t>2022-09-15T11:31:47.863000+00:00</t>
  </si>
  <si>
    <t>2022-09-15T10:19:57.446000+00:00</t>
  </si>
  <si>
    <t>2022-09-15T10:20:11.305000+00:00</t>
  </si>
  <si>
    <t>2022-09-15T10:37:15.874000+00:00</t>
  </si>
  <si>
    <t>113a7391-6e09-4754-97c3-de093bd6af98</t>
  </si>
  <si>
    <t>2022-09-15T10:51:38.657000+00:00</t>
  </si>
  <si>
    <t>2022-09-15T10:51:57.309000+00:00</t>
  </si>
  <si>
    <t>2022-09-15T10:53:31.859000+00:00</t>
  </si>
  <si>
    <t>2022-09-15T10:59:44.887000+00:00</t>
  </si>
  <si>
    <t>2022-09-15T10:59:53.304000+00:00</t>
  </si>
  <si>
    <t>2022-09-15T11:45:19.441000+00:00</t>
  </si>
  <si>
    <t>2022-09-15T11:45:43.573000+00:00</t>
  </si>
  <si>
    <t>2022-09-15T12:52:48.088000+00:00</t>
  </si>
  <si>
    <t>82cf82c2-57a0-43db-913c-3b4073906f1e, 82cf82c2-57a0-43db-913c-3b4073906f1e</t>
  </si>
  <si>
    <t>a0fcc393-6879-4a27-9fda-d40b084ebdc4</t>
  </si>
  <si>
    <t>2022-09-15T13:02:24.643000+00:00</t>
  </si>
  <si>
    <t>2022-09-15T13:02:44.779000+00:00</t>
  </si>
  <si>
    <t>2022-09-15T13:16:56.901000+00:00</t>
  </si>
  <si>
    <t>2022-09-15T13:37:48.984000+00:00</t>
  </si>
  <si>
    <t>2022-09-15T13:38:09.106000+00:00</t>
  </si>
  <si>
    <t>2022-09-15T13:38:19.151000+00:00</t>
  </si>
  <si>
    <t>d0553d27-386a-4f9f-9b05-178968707659, d0553d27-386a-4f9f-9b05-178968707659</t>
  </si>
  <si>
    <t>2022-09-15T13:45:32.288000+00:00</t>
  </si>
  <si>
    <t>2022-09-15T13:45:52.394000+00:00</t>
  </si>
  <si>
    <t>2022-09-15T16:13:50.328000+00:00</t>
  </si>
  <si>
    <t>[right_3215</t>
  </si>
  <si>
    <t>2022-09-15T16:15:41.756000+00:00</t>
  </si>
  <si>
    <t>2022-09-15T16:15:58.396000+00:00</t>
  </si>
  <si>
    <t>2022-09-15T23:44:24.574000+00:00</t>
  </si>
  <si>
    <t>[right_3259]</t>
  </si>
  <si>
    <t>2022-09-15T16:29:42.285000+00:00</t>
  </si>
  <si>
    <t>2022-09-15T16:30:06.460000+00:00</t>
  </si>
  <si>
    <t>[left_lane3178]</t>
  </si>
  <si>
    <t>2022-09-15T16:48:28.276000+00:00</t>
  </si>
  <si>
    <t>2022-09-15T16:48:52.421000+00:00</t>
  </si>
  <si>
    <t>2022-09-16T02:03:15.234000+00:00</t>
  </si>
  <si>
    <t>855b3a58-ff09-40a1-9d64-50211ca6fd1a</t>
  </si>
  <si>
    <t>2022-09-16T10:57:53.433000+00:00</t>
  </si>
  <si>
    <t>2022-09-16T10:58:03.561000+00:00</t>
  </si>
  <si>
    <t>2022-09-16T11:10:04.784000+00:00</t>
  </si>
  <si>
    <t>2022-09-16T12:57:45.053000+00:00</t>
  </si>
  <si>
    <t>2022-09-16T12:58:13.199000+00:00</t>
  </si>
  <si>
    <t>2022-09-16T20:22:19.511000+00:00</t>
  </si>
  <si>
    <t>2022-09-16T13:24:19.147000+00:00</t>
  </si>
  <si>
    <t>2022-09-16T13:24:41.279000+00:00</t>
  </si>
  <si>
    <t>2022-09-16T13:26:53.942000+00:00</t>
  </si>
  <si>
    <t>[left_lane3490</t>
  </si>
  <si>
    <t>d84652de-33ac-4fb3-bd44-afc186992275, d84652de-33ac-4fb3-bd44-afc186992275, d84652de-33ac-4fb3-bd44-afc186992275</t>
  </si>
  <si>
    <t>2022-09-16T13:46:10.410000+00:00</t>
  </si>
  <si>
    <t>2022-09-16T13:46:17.279000+00:00</t>
  </si>
  <si>
    <t>2022-09-16T13:47:05.879000+00:00</t>
  </si>
  <si>
    <t>[left_lane3184]</t>
  </si>
  <si>
    <t>bc026fac-f8d5-4718-a7c3-f6a75f3c8b1d, bc026fac-f8d5-4718-a7c3-f6a75f3c8b1d</t>
  </si>
  <si>
    <t>2022-09-16T13:50:07.542000+00:00</t>
  </si>
  <si>
    <t>2022-09-16T13:50:27.283000+00:00</t>
  </si>
  <si>
    <t>2022-09-16T13:50:29.951000+00:00</t>
  </si>
  <si>
    <t>fd382148-9636-49c1-a1cf-d4ef0603c5a7, fd382148-9636-49c1-a1cf-d4ef0603c5a7</t>
  </si>
  <si>
    <t>2022-09-16T14:02:08.540000+00:00</t>
  </si>
  <si>
    <t>2022-09-16T14:02:15.281000+00:00</t>
  </si>
  <si>
    <t>2022-09-16T14:03:03.962000+00:00</t>
  </si>
  <si>
    <t>[left_lane3490]</t>
  </si>
  <si>
    <t>4584fe16-99a8-401e-a815-05c7aa159471, 4584fe16-99a8-401e-a815-05c7aa159471</t>
  </si>
  <si>
    <t>2022-09-16T14:56:30.207000+00:00</t>
  </si>
  <si>
    <t>2022-09-16T14:56:48.330000+00:00</t>
  </si>
  <si>
    <t>2022-09-16T14:57:16.762000+00:00</t>
  </si>
  <si>
    <t>85fa7530-dcad-4eb1-82c5-64db87252e27, 85fa7530-dcad-4eb1-82c5-64db87252e27, 85fa7530-dcad-4eb1-82c5-64db87252e27, 85fa7530-dcad-4eb1-82c5-64db87252e27</t>
  </si>
  <si>
    <t>0be8683d-bf5a-439e-997a-5d9dfa3c2291</t>
  </si>
  <si>
    <t>2022-09-17T04:38:59.026000+00:00</t>
  </si>
  <si>
    <t>2022-09-17T04:39:09.144000+00:00</t>
  </si>
  <si>
    <t>2022-09-17T04:51:05.352000+00:00</t>
  </si>
  <si>
    <t>2022-09-18T10:46:02.389000+00:00</t>
  </si>
  <si>
    <t>2022-09-18T10:46:24.524000+00:00</t>
  </si>
  <si>
    <t>2022-09-18T17:10:52.714000+00:00</t>
  </si>
  <si>
    <t>97edb9b1-fe70-4c57-9192-727dca8d3170, 97edb9b1-fe70-4c57-9192-727dca8d3170</t>
  </si>
  <si>
    <t>2022-09-18T11:01:52.025000+00:00</t>
  </si>
  <si>
    <t>2022-09-18T11:02:20.164000+00:00</t>
  </si>
  <si>
    <t>2022-09-19T06:31:05.451000+00:00</t>
  </si>
  <si>
    <t>[right_3205]</t>
  </si>
  <si>
    <t>b8272764-e0b2-48cd-ba67-c3ed9afe3305, b8272764-e0b2-48cd-ba67-c3ed9afe3305</t>
  </si>
  <si>
    <t>2022-09-19T06:40:13.471000+00:00</t>
  </si>
  <si>
    <t>2022-09-19T06:40:34.167000+00:00</t>
  </si>
  <si>
    <t>2022-09-19T11:19:15.692000+00:00</t>
  </si>
  <si>
    <t>2022-09-19T07:09:09.066000+00:00</t>
  </si>
  <si>
    <t>2022-09-19T07:09:25.184000+00:00</t>
  </si>
  <si>
    <t>2022-09-19T07:28:07.221000+00:00</t>
  </si>
  <si>
    <t>[left_lane3180]</t>
  </si>
  <si>
    <t>eb5d595b-4454-4e4d-a2a1-312304b0aaa8</t>
  </si>
  <si>
    <t>2022-09-19T07:30:17.978000+00:00</t>
  </si>
  <si>
    <t>2022-09-19T07:30:35.189000+00:00</t>
  </si>
  <si>
    <t>2022-09-19T07:38:40.528000+00:00</t>
  </si>
  <si>
    <t>4f69e201-7d3d-4480-98f4-21d478996242</t>
  </si>
  <si>
    <t>2022-09-20T05:50:19.174000+00:00</t>
  </si>
  <si>
    <t>2022-09-20T05:50:27.186000+00:00</t>
  </si>
  <si>
    <t>2022-09-20T05:51:06.633000+00:00</t>
  </si>
  <si>
    <t>860138b0-9cc6-4fee-ac13-e0a6aa13332f</t>
  </si>
  <si>
    <t>2022-09-20T10:33:05.386000+00:00</t>
  </si>
  <si>
    <t>2022-09-20T10:33:15.469000+00:00</t>
  </si>
  <si>
    <t>2022-09-20T10:49:35.745000+00:00</t>
  </si>
  <si>
    <t>d62c543d-d351-480b-9689-892b5a93251b</t>
  </si>
  <si>
    <t>2022-09-20T16:47:39.230000+00:00</t>
  </si>
  <si>
    <t>2022-09-20T16:47:55.466000+00:00</t>
  </si>
  <si>
    <t>2022-09-20T20:39:02.736000+00:00</t>
  </si>
  <si>
    <t>4e69254e-ac89-4f42-8f73-94e2793634d9</t>
  </si>
  <si>
    <t>2022-09-20T16:54:48.829000+00:00</t>
  </si>
  <si>
    <t>2022-09-20T16:55:06.963000+00:00</t>
  </si>
  <si>
    <t>2022-09-20T18:34:35.178000+00:00</t>
  </si>
  <si>
    <t>left_lane3274</t>
  </si>
  <si>
    <t>2022-09-20T19:30:30.597000+00:00</t>
  </si>
  <si>
    <t>2022-09-20T19:30:58.745000+00:00</t>
  </si>
  <si>
    <t>2022-09-20T20:36:54.942000+00:00</t>
  </si>
  <si>
    <t>left_block29_lane4</t>
  </si>
  <si>
    <t>027eb9a1-02ab-4dd9-816f-526bf664827d</t>
  </si>
  <si>
    <t>2022-09-21T13:42:08.694000+00:00</t>
  </si>
  <si>
    <t>2022-09-21T13:42:26.825000+00:00</t>
  </si>
  <si>
    <t>2022-09-21T13:46:41.574000+00:00</t>
  </si>
  <si>
    <t>b40f26c7-4b67-4ab3-828c-82c31ca2ad09</t>
  </si>
  <si>
    <t>2022-09-21T13:51:51.488000+00:00</t>
  </si>
  <si>
    <t>2022-09-21T13:51:58.818000+00:00</t>
  </si>
  <si>
    <t>2022-09-21T13:54:11.802000+00:00</t>
  </si>
  <si>
    <t>99cd1b43-30ef-49bd-8cd2-53c34ba4177b</t>
  </si>
  <si>
    <t>2022-09-21T13:55:42.177000+00:00</t>
  </si>
  <si>
    <t>2022-09-21T13:55:48.816000+00:00</t>
  </si>
  <si>
    <t>2022-09-21T13:56:48.761000+00:00</t>
  </si>
  <si>
    <t>dd1ad8b8-b1c4-4063-be86-458de64885bc</t>
  </si>
  <si>
    <t>2022-09-21T13:59:43.449000+00:00</t>
  </si>
  <si>
    <t>2022-09-21T13:59:53.648000+00:00</t>
  </si>
  <si>
    <t>2022-09-21T14:03:41.682000+00:00</t>
  </si>
  <si>
    <t>a2fab79a-02a5-48ad-a1fd-0df8a31ce874</t>
  </si>
  <si>
    <t>2022-09-21T13:59:59.619000+00:00</t>
  </si>
  <si>
    <t>2022-09-21T14:00:08.820000+00:00</t>
  </si>
  <si>
    <t>2022-09-21T14:00:42.237000+00:00</t>
  </si>
  <si>
    <t>c6d7ba94-6bc9-4c62-ae4e-37038c368676</t>
  </si>
  <si>
    <t>2022-09-21T14:03:36.290000+00:00</t>
  </si>
  <si>
    <t>2022-09-21T14:03:44.822000+00:00</t>
  </si>
  <si>
    <t>2022-09-21T14:04:24.726000+00:00</t>
  </si>
  <si>
    <t>right_block10_lane2</t>
  </si>
  <si>
    <t>f4d4c0fd-06c1-44e9-93aa-813913f9a3aa</t>
  </si>
  <si>
    <t>2022-09-21T14:10:44.451000+00:00</t>
  </si>
  <si>
    <t>2022-09-21T14:10:52.812000+00:00</t>
  </si>
  <si>
    <t>2022-09-21T14:12:46.993000+00:00</t>
  </si>
  <si>
    <t>a9f20d8f-38d3-4147-9683-e9b717b279ca</t>
  </si>
  <si>
    <t>2022-09-21T14:14:01.589000+00:00</t>
  </si>
  <si>
    <t>2022-09-21T14:14:11.723000+00:00</t>
  </si>
  <si>
    <t>2022-09-21T14:19:14.732000+00:00</t>
  </si>
  <si>
    <t>57606645-1c40-41eb-8e45-f913cdad23ce</t>
  </si>
  <si>
    <t>2022-09-21T14:27:54.067000+00:00</t>
  </si>
  <si>
    <t>2022-09-21T14:28:34.148000+00:00</t>
  </si>
  <si>
    <t>2022-09-21T15:03:11.235000+00:00</t>
  </si>
  <si>
    <t>2022-09-21T15:30:27.783000+00:00</t>
  </si>
  <si>
    <t>2022-09-21T15:30:43.906000+00:00</t>
  </si>
  <si>
    <t>2022-09-21T18:00:20.616000+00:00</t>
  </si>
  <si>
    <t>2022-09-21T15:57:30.331000+00:00</t>
  </si>
  <si>
    <t>2022-09-21T15:57:50.962000+00:00</t>
  </si>
  <si>
    <t>2022-09-21T16:20:41.577000+00:00</t>
  </si>
  <si>
    <t>2022-09-23T13:34:39.201000+00:00</t>
  </si>
  <si>
    <t>2022-09-23T13:35:05.342000+00:00</t>
  </si>
  <si>
    <t>2022-09-23T22:33:16.670000+00:00</t>
  </si>
  <si>
    <t>2022-09-26T10:03:24.164000+00:00</t>
  </si>
  <si>
    <t>2022-09-26T10:03:54.293000+00:00</t>
  </si>
  <si>
    <t>2022-09-26T10:05:04.311000+00:00</t>
  </si>
  <si>
    <t>[right_block40_lane2]</t>
  </si>
  <si>
    <t>right_block40_lane2</t>
  </si>
  <si>
    <t>2022-09-26T10:06:35.161000+00:00</t>
  </si>
  <si>
    <t>2022-09-26T10:06:42.291000+00:00</t>
  </si>
  <si>
    <t>2022-09-26T13:39:31.618000+00:00</t>
  </si>
  <si>
    <t>1611f5da-29cd-4e1f-810e-7ac5b9fca785</t>
  </si>
  <si>
    <t>2022-09-26T13:03:19.127000+00:00</t>
  </si>
  <si>
    <t>2022-09-26T13:03:29.225000+00:00</t>
  </si>
  <si>
    <t>2022-09-26T13:19:44.925000+00:00</t>
  </si>
  <si>
    <t>821039ac-30bc-448a-8c78-936dfb186ae2</t>
  </si>
  <si>
    <t>2022-09-26T13:56:26.493000+00:00</t>
  </si>
  <si>
    <t>2022-09-26T13:56:39.572000+00:00</t>
  </si>
  <si>
    <t>2022-09-26T16:10:59.912000+00:00</t>
  </si>
  <si>
    <t>ab03b8b9-de5f-464c-8c96-59600b7998e2</t>
  </si>
  <si>
    <t>2022-09-27T15:35:36.741000+00:00</t>
  </si>
  <si>
    <t>2022-09-27T15:36:00.830000+00:00</t>
  </si>
  <si>
    <t>2022-09-27T15:36:08.199000+00:00</t>
  </si>
  <si>
    <t>2cfb3651-8966-4d38-8267-e2a6009993e4</t>
  </si>
  <si>
    <t>2022-09-27T15:55:56.532000+00:00</t>
  </si>
  <si>
    <t>2022-09-27T15:56:22.831000+00:00</t>
  </si>
  <si>
    <t>2022-09-28T00:51:25.905000+00:00</t>
  </si>
  <si>
    <t>6fe60279-7595-4c81-9435-e5aab4effe44</t>
  </si>
  <si>
    <t>2022-09-27T16:36:14.153000+00:00</t>
  </si>
  <si>
    <t>2022-09-27T16:36:34.293000+00:00</t>
  </si>
  <si>
    <t>2022-09-28T01:23:38.338000+00:00</t>
  </si>
  <si>
    <t>466d514f-858d-4f83-9e3e-dbf759287118</t>
  </si>
  <si>
    <t>2022-09-28T14:47:28.768000+00:00</t>
  </si>
  <si>
    <t>2022-09-28T14:47:54.876000+00:00</t>
  </si>
  <si>
    <t>2022-09-28T14:48:44.597000+00:00</t>
  </si>
  <si>
    <t>27d24b18-7ce8-4d6d-b2e7-616181ded90e</t>
  </si>
  <si>
    <t>2022-09-28T15:00:08.049000+00:00</t>
  </si>
  <si>
    <t>2022-09-28T15:00:34.166000+00:00</t>
  </si>
  <si>
    <t>2022-09-29T00:45:23.095000+00:00</t>
  </si>
  <si>
    <t>5751be05-0e27-4696-aea1-42ed37dddbc3</t>
  </si>
  <si>
    <t>2022-09-28T15:06:13.528000+00:00</t>
  </si>
  <si>
    <t>2022-09-28T15:06:34.876000+00:00</t>
  </si>
  <si>
    <t>2022-09-28T19:52:40.382000+00:00</t>
  </si>
  <si>
    <t>left_block28_lane8</t>
  </si>
  <si>
    <t>2022-09-28T17:03:46.695000+00:00</t>
  </si>
  <si>
    <t>2022-09-28T17:03:53.485000+00:00</t>
  </si>
  <si>
    <t>2022-09-28T18:16:09.555000+00:00</t>
  </si>
  <si>
    <t>2022-09-28T19:21:45.679000+00:00</t>
  </si>
  <si>
    <t>2022-09-28T19:21:59.793000+00:00</t>
  </si>
  <si>
    <t>2022-09-28T20:50:03.253000+00:00</t>
  </si>
  <si>
    <t>2022-09-28T20:56:39.469000+00:00</t>
  </si>
  <si>
    <t>2022-09-28T20:56:51.794000+00:00</t>
  </si>
  <si>
    <t>2022-09-28T23:23:33.873000+00:00</t>
  </si>
  <si>
    <t>[right_3019]</t>
  </si>
  <si>
    <t>2022-09-28T21:38:08.567000+00:00</t>
  </si>
  <si>
    <t>2022-09-28T21:38:30.699000+00:00</t>
  </si>
  <si>
    <t>2022-09-29T00:03:21.716000+00:00</t>
  </si>
  <si>
    <t>f011f461-4ebd-4c50-bede-96ecd04750de</t>
  </si>
  <si>
    <t>2022-09-29T14:21:02.564000+00:00</t>
  </si>
  <si>
    <t>2022-09-29T14:21:22.704000+00:00</t>
  </si>
  <si>
    <t>2022-09-29T14:21:31.959000+00:00</t>
  </si>
  <si>
    <t>c6de070b-fcb4-47ac-b95b-25aac91c4a09</t>
  </si>
  <si>
    <t>2022-09-29T14:40:43.912000+00:00</t>
  </si>
  <si>
    <t>2022-09-29T14:41:10.094000+00:00</t>
  </si>
  <si>
    <t>2022-09-29T15:15:31.497000+00:00</t>
  </si>
  <si>
    <t>35f0b052-4ad9-4e89-8f04-6c3e3ae9364f</t>
  </si>
  <si>
    <t>2022-09-29T14:59:59.236000+00:00</t>
  </si>
  <si>
    <t>2022-09-29T15:00:19.382000+00:00</t>
  </si>
  <si>
    <t>2022-09-30T02:51:25.135000+00:00</t>
  </si>
  <si>
    <t>[right_3179</t>
  </si>
  <si>
    <t>2022-09-29T15:18:50.397000+00:00</t>
  </si>
  <si>
    <t>2022-09-29T15:19:14.091000+00:00</t>
  </si>
  <si>
    <t>2022-09-29T19:05:05.914000+00:00</t>
  </si>
  <si>
    <t>2022-09-29T20:07:58.614000+00:00</t>
  </si>
  <si>
    <t>2022-09-29T20:08:14.553000+00:00</t>
  </si>
  <si>
    <t>2022-09-29T21:40:52.705000+00:00</t>
  </si>
  <si>
    <t>2022-10-01T16:04:13.124000+00:00</t>
  </si>
  <si>
    <t>2022-10-01T16:04:33.274000+00:00</t>
  </si>
  <si>
    <t>2022-10-02T00:34:04.373000+00:00</t>
  </si>
  <si>
    <t>fecf55b0-cf7d-4ec6-b5b8-f767b6734ede</t>
  </si>
  <si>
    <t>2022-10-01T16:09:28.667000+00:00</t>
  </si>
  <si>
    <t>2022-10-01T16:09:52.803000+00:00</t>
  </si>
  <si>
    <t>2022-10-01T16:11:26.920000+00:00</t>
  </si>
  <si>
    <t>9cd73f1d-66dc-4ad9-a5e1-0d684b5f172a</t>
  </si>
  <si>
    <t>2022-10-01T16:14:50.894000+00:00</t>
  </si>
  <si>
    <t>2022-10-01T16:15:08.802000+00:00</t>
  </si>
  <si>
    <t>2022-10-01T16:18:40.309000+00:00</t>
  </si>
  <si>
    <t>2022-10-01T17:41:44.899000+00:00</t>
  </si>
  <si>
    <t>2022-10-01T17:42:11.036000+00:00</t>
  </si>
  <si>
    <t>2022-10-01T19:47:10.651000+00:00</t>
  </si>
  <si>
    <t>2022-10-02T08:20:05.886000+00:00</t>
  </si>
  <si>
    <t>2022-10-02T08:20:30.021000+00:00</t>
  </si>
  <si>
    <t>2022-10-02T18:55:31.915000+00:00</t>
  </si>
  <si>
    <t>left_block42_lane2</t>
  </si>
  <si>
    <t>840393d4-2994-47b5-8296-d7fd55038881</t>
  </si>
  <si>
    <t>2022-10-02T09:52:43.422000+00:00</t>
  </si>
  <si>
    <t>2022-10-02T09:53:02.798000+00:00</t>
  </si>
  <si>
    <t>2022-10-03T02:34:54.590000+00:00</t>
  </si>
  <si>
    <t>99382840-3c9c-4400-81fa-f232dd176b2c</t>
  </si>
  <si>
    <t>2022-10-03T05:28:34.036000+00:00</t>
  </si>
  <si>
    <t>2022-10-03T05:28:58.798000+00:00</t>
  </si>
  <si>
    <t>2022-10-03T05:37:03.507000+00:00</t>
  </si>
  <si>
    <t>SiteName</t>
  </si>
  <si>
    <t>SiteId</t>
  </si>
  <si>
    <t>Type</t>
  </si>
  <si>
    <t>Proefcentrum Hoogstraten</t>
  </si>
  <si>
    <t>0504def1-a082-4160-a304-119eb09d587a</t>
  </si>
  <si>
    <t>OAG1XENLUM2204027</t>
  </si>
  <si>
    <t>LumionFix A6.7</t>
  </si>
  <si>
    <t>Hoge-woerd 1c</t>
  </si>
  <si>
    <t>7b628a9e-2d73-4616-ae43-2802ca0e25cd</t>
  </si>
  <si>
    <t>0103E20DC8</t>
  </si>
  <si>
    <t>Star Delta Greenhouses</t>
  </si>
  <si>
    <t>e176d48e-8a54-4fcd-9441-43d59bf35a13</t>
  </si>
  <si>
    <t>0103CA315F</t>
  </si>
  <si>
    <t>0103298CC2</t>
  </si>
  <si>
    <t>0103796FAD</t>
  </si>
  <si>
    <t>01033E6786</t>
  </si>
  <si>
    <t>01031ECBA7</t>
  </si>
  <si>
    <t>Delta View Farms</t>
  </si>
  <si>
    <t>4a29e85c-b7b2-4c49-ab4f-57e8c86ef843</t>
  </si>
  <si>
    <t>0103083A11</t>
  </si>
  <si>
    <t>LumionFix A4.4</t>
  </si>
  <si>
    <t>Wittenberg Gemüse</t>
  </si>
  <si>
    <t>a0c6b512-47f0-4114-90dc-b33b51e79962</t>
  </si>
  <si>
    <t>BDFL Glasshouse Carrington</t>
  </si>
  <si>
    <t>bc099fd9-3845-4939-8e66-c48094130be0</t>
  </si>
  <si>
    <t>LumionFix 029</t>
  </si>
  <si>
    <t>Klein Eyssel 22-28</t>
  </si>
  <si>
    <t>c614fc39-7d14-4027-8223-c6468e31edd0</t>
  </si>
  <si>
    <t>0103826FC8</t>
  </si>
  <si>
    <t>ID</t>
  </si>
  <si>
    <t>Error </t>
  </si>
  <si>
    <t>Collision with obstacle in row</t>
  </si>
  <si>
    <t>Collision with obstacle in walkway</t>
  </si>
  <si>
    <t xml:space="preserve">Collision with infrastructure </t>
  </si>
  <si>
    <t>Rail infrastructure issue</t>
  </si>
  <si>
    <t>Inductive sensor received during laneswitch</t>
  </si>
  <si>
    <t>Front wheel slip - can't get on rail</t>
  </si>
  <si>
    <t>Front wheel slip - bad prediction</t>
  </si>
  <si>
    <t>Back wheel - cant get on rail</t>
  </si>
  <si>
    <t>Front wheel - can't get on rail</t>
  </si>
  <si>
    <t>EOL open issue</t>
  </si>
  <si>
    <t>EOL wall timeout - bad prediction</t>
  </si>
  <si>
    <t>Steering motor/drive issue</t>
  </si>
  <si>
    <t>Steering motor/drive - No feedback error</t>
  </si>
  <si>
    <t>No vision heartbeat</t>
  </si>
  <si>
    <t>Vision error</t>
  </si>
  <si>
    <t>Slip recovery fails - bad LS</t>
  </si>
  <si>
    <t>bad LS - xtheta thrown away</t>
  </si>
  <si>
    <t>Strong braking action causes overvoltage</t>
  </si>
  <si>
    <t>Details for Count of error code - error code: 0x01040102</t>
  </si>
  <si>
    <t>Robot</t>
  </si>
  <si>
    <t>treatmentId</t>
  </si>
  <si>
    <t>status</t>
  </si>
  <si>
    <t>recovery</t>
  </si>
  <si>
    <t>datetime</t>
  </si>
  <si>
    <t>datetime Excel</t>
  </si>
  <si>
    <t>total lanes</t>
  </si>
  <si>
    <t>percentage</t>
  </si>
  <si>
    <t>failed_path</t>
  </si>
  <si>
    <t>mission</t>
  </si>
  <si>
    <t>map</t>
  </si>
  <si>
    <t>url</t>
  </si>
  <si>
    <t>error code</t>
  </si>
  <si>
    <t>error description</t>
  </si>
  <si>
    <t>beeld analyse</t>
  </si>
  <si>
    <t>data-analyse</t>
  </si>
  <si>
    <t>Diagnose</t>
  </si>
  <si>
    <t>remarks VRS</t>
  </si>
  <si>
    <t>Parameter change</t>
  </si>
  <si>
    <t>recovery is not supported with a sideshift</t>
  </si>
  <si>
    <t>2022-09-12T20:51:28.772000+00:00</t>
  </si>
  <si>
    <t>47</t>
  </si>
  <si>
    <t>0x01040102</t>
  </si>
  <si>
    <t>inductive sensor error</t>
  </si>
  <si>
    <t>robot rijdt op gangpad, maar lijkt niet ver genoeg te rijden en een stukje terug te bollen</t>
  </si>
  <si>
    <t>20220916_robotsdrivetoofastontoconcretepath.docx</t>
  </si>
  <si>
    <t>EOL heel clean, maar er zit kleine fout op de meting die ervoor zorgt dat robot niet ver genoeg rijdt. oplossingen: EOL offset toevoegen (environment yaml; check Christianen en Deltaview: parallel bij bredere robots?). (LT: Beter: while-inductive-is-true) voorstle: +0.20cm toevoegen. Risico bij andere rijen+hebben we dit bij andere robot ook al gedaan? Risico: inductieve snesor voreger verwachten bij rijen waarbij correct is (minimaal); anomaly-detectie moet met grotere afwijking overweg kunnen (nu &lt;0.5m).. 
Andere maatregelen (lane-lengte aanpassen, wielradius) hebben geen zin, aangezien het moment dat metingen in rekening worden genomen dit als 'algehele' waarheid wordt genomen.    
Christianen check: heeft geen eol-offset, dus dat is niet het probleem.
Delta-view check: TODO
Andere oorzaken: steekt goot hier minder ver uit over gangpad ivm andere 2 serres (Christianen, delta-view)? + wat is effect van plantengroei (in deze log: zeer beperkte plantengroei)?</t>
  </si>
  <si>
    <t>TODO: zet EOL open offset (in environment.yaml) op +0.15cm voor compensatie</t>
  </si>
  <si>
    <t>yes</t>
  </si>
  <si>
    <t>2022-09-14T21:14:11.969000+00:00</t>
  </si>
  <si>
    <t>right_3441</t>
  </si>
  <si>
    <t>43</t>
  </si>
  <si>
    <t>&lt;=</t>
  </si>
  <si>
    <t>current node is not the lane (rect50288 vs right_3207)</t>
  </si>
  <si>
    <t>2022-09-15T12:52:48.036000+00:00</t>
  </si>
  <si>
    <t>herkalibratie kasper</t>
  </si>
  <si>
    <t>2022-09-26T10:04:09.305000+00:00</t>
  </si>
  <si>
    <t>48</t>
  </si>
  <si>
    <t>Robot staat (vermoedelijk) voor een rij, rijdt traag de rails op en gaat vervolgens in error.</t>
  </si>
  <si>
    <t>wrs verkeerd klaar gezet</t>
  </si>
  <si>
    <t>Flank van inductieve komt binnen veel vroeger dan start missie</t>
  </si>
  <si>
    <t/>
  </si>
  <si>
    <t>2022-09-26T10:05:04.263000+00:00</t>
  </si>
  <si>
    <t>Robot staat vermoedelijk op de rails op moment dat missie start, komt traag op gang en gaat in error</t>
  </si>
  <si>
    <t>88600be4-fecc-45c9-9121-ffb818c7a3ce</t>
  </si>
  <si>
    <t>2022-09-28T19:52:40.330000+00:00</t>
  </si>
  <si>
    <t>220928.docx</t>
  </si>
  <si>
    <t>slechte eol open door spook pixels: oplossing: inductive sensor regio vergroten? Extra use-case voor EOL open te verbeteren   +   filter realsense en preset!!</t>
  </si>
  <si>
    <t>inductive sees rails</t>
  </si>
  <si>
    <t>2022-09-28T23:23:33.816000+00:00</t>
  </si>
  <si>
    <t>Robot rijdt richting gangpad, vertraagt te vroeg en staat ongv 3m voor einde stil op rails. Lane met Controlebox!</t>
  </si>
  <si>
    <t>2022-09-29T00:03:21.657000+00:00</t>
  </si>
  <si>
    <t>2022-09-29T19:05:05.856000+00:00</t>
  </si>
  <si>
    <t>Robot rijdt uit lane gangpad terug op, lijkt tegen betonrand te botsen met achterwielen en te blijven haken. Op moment van error bolt de robot klein beetje terug</t>
  </si>
  <si>
    <t>eol_open is clean, maar toch rijdt robot te kort. eol_open_offset vergroten ?</t>
  </si>
  <si>
    <t>97a328fe-5933-4196-8836-ff33424ad3d0</t>
  </si>
  <si>
    <t>2022-10-04T21:27:54.246000+00:00</t>
  </si>
  <si>
    <t>left_block46_lane4</t>
  </si>
  <si>
    <t>NO DATA ??</t>
  </si>
  <si>
    <t>ae6aa843-61c4-47e7-8815-c74dd854fd32</t>
  </si>
  <si>
    <t>a6b50e4b-cfc6-40eb-a2d6-c0688f64100c</t>
  </si>
  <si>
    <t>2022-10-13T21:28:18.232000+00:00</t>
  </si>
  <si>
    <t>Robot rijdt niet ver genoeg van rails?</t>
  </si>
  <si>
    <t>Goten lijken korter dan andere goten. goten stoppen eerder dan rails. offset toevoegen?</t>
  </si>
  <si>
    <t>12962c59-7b47-4c5b-8850-f7ec086e11b3</t>
  </si>
  <si>
    <t>4779d98c-286d-4d30-a31f-906dbcfa67c7</t>
  </si>
  <si>
    <t>current node is not the lane (walkway_2 vs right_3131)</t>
  </si>
  <si>
    <t>2022-10-14T02:14:07.345000+00:00</t>
  </si>
  <si>
    <t>right_3131</t>
  </si>
  <si>
    <t>Recovery als mogelijk geclassificeert na vorige error, maar in praktijk niet mogelijk</t>
  </si>
  <si>
    <t>e225320b-3920-4120-b63d-6a82016bc661</t>
  </si>
  <si>
    <t>98634ed6-4dd8-45a5-965f-fc023736059b</t>
  </si>
  <si>
    <t>2022-10-14T20:21:43.451000+00:00</t>
  </si>
  <si>
    <t>left_block49_lane8</t>
  </si>
  <si>
    <t>Robot rijdt niet ver genoeg van rails? Er hangt een plantje voor de voorste cameras! (is dit het probleem?)</t>
  </si>
  <si>
    <t>330a3273-6b0c-4f49-8ea1-79ed10f24da5</t>
  </si>
  <si>
    <t>ff9effd2-dd9b-43a7-b5bd-9b4ea89d818b</t>
  </si>
  <si>
    <t>not at least one job is completed</t>
  </si>
  <si>
    <t>2022-10-17T05:04:57.242000+00:00</t>
  </si>
  <si>
    <t>right_3143</t>
  </si>
  <si>
    <t>Operator staat bij de robot, robot start missie, rijdt 4m op de rails en gaat in error. Niet duidelijk of robot volledig op gangpad stond</t>
  </si>
  <si>
    <t>timestamp van inductieve signaal komt een stuk voor de error binnen. Heel waarschijnlijk dat de robot is klaargezet met de inductieve al op de rail</t>
  </si>
  <si>
    <t>9f28d37d-ba36-428a-a346-863fc3cc3a0f</t>
  </si>
  <si>
    <t>892c995f-5aa6-4400-8678-5e035c0721a5</t>
  </si>
  <si>
    <t>2022-10-21T21:54:12.844000+00:00</t>
  </si>
  <si>
    <t>left_block46_lane3</t>
  </si>
  <si>
    <t>Robot rijdt lane uit, maar schiet plots met hoge snelheid vooruit en steekt bijna hele gangpad over. EOL open foute metingen (punten van overzijde)?</t>
  </si>
  <si>
    <t>Metingen verspringen plots 1m. Mogelijk door fel kunstlicht. Spookpixels</t>
  </si>
  <si>
    <t>f8f5c1c2-8486-4985-abdf-dab6a4e852d3</t>
  </si>
  <si>
    <t>a242d2a1-bdb1-4fd7-a221-08c7f44433cb</t>
  </si>
  <si>
    <t>2022-10-22T19:36:31.651000+00:00</t>
  </si>
  <si>
    <t>(Slechts 1 camera achteraan) robot rijdt lane uit, zowel voor als achterwielen lijken op gangpad terecht te komen, maar misschien net te kort/te laat?</t>
  </si>
  <si>
    <t>Komt inderdaad net te laat binnen. Bij het lichtjes uitbollen na het in error gaan komt uiteindelijke de inductieve binnen</t>
  </si>
  <si>
    <t>d1ebe2f9-7149-43ac-939b-4115ba06a77b</t>
  </si>
  <si>
    <t>a4fb6611-b818-45fd-9589-0ac8084d0562</t>
  </si>
  <si>
    <t>2022-10-22T19:28:42.439000+00:00</t>
  </si>
  <si>
    <t>right_block41_lane2</t>
  </si>
  <si>
    <t>Robot rijdt lane uit, maar op moment dat voorwielen het gangpad op moeten rijden 'botst' de robot ergens tegen. Vermoedelijk is sideshift uitgeklapt aangezien geen kabel-geleiding zichtbaar is bij voorste camera's.</t>
  </si>
  <si>
    <t>bd0147a7-3de0-4622-95b2-c990de39038a</t>
  </si>
  <si>
    <t>d44500fb-c01a-4706-a378-12903325fed5</t>
  </si>
  <si>
    <t>2022-10-24T22:04:13.234000+00:00</t>
  </si>
  <si>
    <t>Robot rijdt richting gangpad, komt beton op, maar lijkt met achterwielen te blijven haken achter betonrand; geraakt er toch over maar net te laat/te kort? Normale condities</t>
  </si>
  <si>
    <t>OAG1XENLUM2204032.docx</t>
  </si>
  <si>
    <t>robot rijdt niet ver genoeg. Verhoog eol_open_offset. Dit geval zou niet opgevangen worden door inductive recovery, inductieve flank komt net binnen tijdens uitbollen in error! Flank detectie doen in error toestand?</t>
  </si>
  <si>
    <t>0ec1d96f-4686-4d7e-ae24-612e2f3e2f34</t>
  </si>
  <si>
    <t>Robot rijdt richting gangpad, komt beton op, maar lijkt met achterwielen te blijven haken achter betonrand. Normale condities</t>
  </si>
  <si>
    <t>robot rijdt niet ver genoeg. Verhoog eol_open_offset</t>
  </si>
  <si>
    <t>bbaf1ea5-cc86-43a9-87a2-27a691efc0c8</t>
  </si>
  <si>
    <t>Operator stelt robot in, begint te rijden, gaat na 2m in error. Vermoedelijk nog op de rails met inductieve.</t>
  </si>
  <si>
    <t>operator fout</t>
  </si>
  <si>
    <t>bfe5bbfa-92fe-4fe6-97e3-f3c28df675d3</t>
  </si>
  <si>
    <t>568fa25b-beb9-48bd-b790-36909bd67c63</t>
  </si>
  <si>
    <t>0d4312a1-4433-4b35-b2c5-ce1e350e4c40</t>
  </si>
  <si>
    <t>2022-10-26T22:22:23.395000+00:00</t>
  </si>
  <si>
    <t>Robot rijdt richting gangpad, schiet over beton, gaat in error. TL lamp schijnt in camera?</t>
  </si>
  <si>
    <t>OAG1XENLUM2204029.docx</t>
  </si>
  <si>
    <t>Klopt: mogelijke oplossingen: highaccuracy preset/filter,   inductive region groter zetten, dynamic anomaly detection, new EOL algorithm ?</t>
  </si>
  <si>
    <t>Inductive sensor regio groter zetten (+anomaly checken). TODO: adaptive anomaly detection</t>
  </si>
  <si>
    <t>10c140b4-0b1f-445d-9ae7-6d944af4bd74</t>
  </si>
  <si>
    <t>e843ee27-fd10-4f53-a725-845984049816</t>
  </si>
  <si>
    <t>2022-10-29T04:36:30.942000+00:00</t>
  </si>
  <si>
    <t>operator stelt robot in, robot vertrekt, rijdt 10m, gaat in error.</t>
  </si>
  <si>
    <t>operator fout, inductieve al op rail.  Dit  gebeurt zo vaak dat ik me afvraag of ze dat eigenlijk wel weten ??</t>
  </si>
  <si>
    <t>9e5ffcb1-a380-48fc-bc0a-24e263f45683</t>
  </si>
  <si>
    <t>e11df120-6f96-4ad7-9b5a-87081f89397c</t>
  </si>
  <si>
    <t>2022-10-31T22:36:10.658000+00:00</t>
  </si>
  <si>
    <t>Robot rijdt lane uit, vermoedelijk sideshift uitgeklapt, blijft ergens achter haken</t>
  </si>
  <si>
    <t>6df26e5c-a6e9-4fd0-af0a-819c805c03a0</t>
  </si>
  <si>
    <t>b2246845-4a6f-4e1a-a82c-89a92bdfe8b1</t>
  </si>
  <si>
    <t>2022-10-31T22:22:47.563000+00:00</t>
  </si>
  <si>
    <t>Robot rijdt uit lane, schiet gangpad over, gaat in error. TL lampen in gangpad staan aan.</t>
  </si>
  <si>
    <t>highaccuracy presest,   inductive region groter zetten, dynamic anomaly detection, new EOL algorithm ?</t>
  </si>
  <si>
    <t>a2fa0258-c040-4b54-be17-aaa4e5909457</t>
  </si>
  <si>
    <t>2022-11-04T23:46:41.806000+00:00</t>
  </si>
  <si>
    <t>right_block31_lane2</t>
  </si>
  <si>
    <t>NO DATA</t>
  </si>
  <si>
    <t>0ecbc239-6539-46a5-ab52-6b43e38895e4</t>
  </si>
  <si>
    <t>0e8a8d9c-3323-40d2-9e64-6329dbb07d59</t>
  </si>
  <si>
    <t>2022-11-04T22:45:36.669000+00:00</t>
  </si>
  <si>
    <t>right_block27_lane3</t>
  </si>
  <si>
    <t>Robot staat in verkeerde richting voor de rails.</t>
  </si>
  <si>
    <t>a5286539-9c77-4108-8963-9ef7e86bd3e7</t>
  </si>
  <si>
    <t>5c90bff9-6bc5-4bf1-a657-b5b377dfe6ec</t>
  </si>
  <si>
    <t>2022-11-05T20:25:44.957000+00:00</t>
  </si>
  <si>
    <t>right_block6_lane2</t>
  </si>
  <si>
    <t>83fe28cb-f872-484f-8076-bb783fbd7807</t>
  </si>
  <si>
    <t>48831a01-57c2-4c47-a607-bc58869c5e9a</t>
  </si>
  <si>
    <t>2022-11-06T21:48:26.461000+00:00</t>
  </si>
  <si>
    <t>31be13af-9825-40c0-8909-fe8a82d3dca7</t>
  </si>
  <si>
    <t>ec16fe99-3d96-4d54-939d-0fde4108219d</t>
  </si>
  <si>
    <t>2022-11-08T18:35:03.652000+00:00</t>
  </si>
  <si>
    <t>right_block16_lane2</t>
  </si>
  <si>
    <t>e74056f8-e117-4938-99e6-70445ce18696</t>
  </si>
  <si>
    <t>2022-11-12T19:47:19.391000+00:00</t>
  </si>
  <si>
    <t>right_block45_lane2</t>
  </si>
  <si>
    <t>c9c469c4-5ef7-48e1-948c-9f41899067b3</t>
  </si>
  <si>
    <t>2022-11-14T22:22:51.442000+00:00</t>
  </si>
  <si>
    <t>538e5850-0ad2-4393-9c32-b8ea9aec4fb1</t>
  </si>
  <si>
    <t>2022-11-14T20:48:52.383000+00:00</t>
  </si>
  <si>
    <t>056ef86c-a40d-4d4c-ab55-c4348f43add4</t>
  </si>
  <si>
    <t>bfb050bb-67b8-4033-898f-a98454b5704e</t>
  </si>
  <si>
    <t>2022-11-30T22:25:20.732000+00:00</t>
  </si>
  <si>
    <t>right_3203</t>
  </si>
  <si>
    <t>OAG1XENLUM202204024.docx</t>
  </si>
  <si>
    <t>Robot heeft eerst moeite om op de rail te geraken ==&gt; collision detected, maar nog net voor de detection komt robot in beweging en wordt inductieve gedetecteerd. ==&gt; bij volgend traject komt de robot terug in de regio, maar de inductieve is al gedetecteerd geweest, dus dit kan geen 2de keer ==&gt; inductieve error</t>
  </si>
  <si>
    <t>0cab4c78-2750-44f6-966f-30459dddc4a2</t>
  </si>
  <si>
    <t>96efdaa1-e5d3-41ea-8396-e04cd75502c6</t>
  </si>
  <si>
    <t>2022-11-30T01:04:55.490000+00:00</t>
  </si>
  <si>
    <t>left_lane3442</t>
  </si>
  <si>
    <t>robot stopt te vroeg, remt ineens sterk af</t>
  </si>
  <si>
    <t>OAG1XENLUM2204023</t>
  </si>
  <si>
    <t xml:space="preserve">Een foute eol open meting in het begin veroorzaakt dit. de vermoedelijke juiste metingen worden nadien weggesmeten. </t>
  </si>
  <si>
    <t>01eac3c2-9a39-471d-9caa-a9dea936fcf7</t>
  </si>
  <si>
    <t>6c16a77f-54d5-4722-8228-0ac54e4d22b1</t>
  </si>
  <si>
    <t>2022-12-02T04:15:36.577000+00:00</t>
  </si>
  <si>
    <t>Elektrokast issue, robot stopt te vroeg</t>
  </si>
  <si>
    <t>e062c005-764a-4fe4-9ac2-76ec85264669</t>
  </si>
  <si>
    <t>2022-12-05T22:53:30.944000+00:00</t>
  </si>
  <si>
    <t>left_block21_lane3</t>
  </si>
  <si>
    <t>left-no_pole_lanes</t>
  </si>
  <si>
    <t>0e13c37c-9732-42bf-9316-13b201fa2d81</t>
  </si>
  <si>
    <t>00b69e69-73ff-455c-a2a4-a10c4d04a53f</t>
  </si>
  <si>
    <t>2022-12-06T22:11:51.810000+00:00</t>
  </si>
  <si>
    <t>right_block20_lane2</t>
  </si>
  <si>
    <t>0308c1ed-d6db-47a9-b33c-173ac731a88a</t>
  </si>
  <si>
    <t>2022-12-06T05:10:50.425000+00:00</t>
  </si>
  <si>
    <t>83c05cf2-6a11-441f-8a52-e7719949cc31</t>
  </si>
  <si>
    <t>2022-12-07T18:06:16.875000+00:00</t>
  </si>
  <si>
    <t>left_lane3182</t>
  </si>
  <si>
    <t>fb801c8c-8853-49c8-8c74-3df5a05b3491</t>
  </si>
  <si>
    <t>2022-12-08T20:17:43.932000+00:00</t>
  </si>
  <si>
    <t>right_block22_lane2</t>
  </si>
  <si>
    <t>right_no_poles</t>
  </si>
  <si>
    <t>a8fcee44-a58a-474c-be68-4c8d7de163a8</t>
  </si>
  <si>
    <t>dd0302da-c5cc-45d3-8b4b-e6235c407a09</t>
  </si>
  <si>
    <t>2022-12-08T05:15:38.120000+00:00</t>
  </si>
  <si>
    <t>elektrokast issue</t>
  </si>
  <si>
    <t>2b7653e6-ae1b-499b-ae8a-540f3b7976e4</t>
  </si>
  <si>
    <t>3e2f6782-3e9e-4f8f-b6d2-2be01c82f02e</t>
  </si>
  <si>
    <t>2022-12-09T20:41:59.921000+00:00</t>
  </si>
  <si>
    <t>05ad145a-a0df-4e3f-9945-9dd22bdc687e</t>
  </si>
  <si>
    <t>5826f6af-41c4-4228-a162-7ca4a75ea40f</t>
  </si>
  <si>
    <t>2022-12-09T19:33:13.638000+00:00</t>
  </si>
  <si>
    <t>right_block26_lane6</t>
  </si>
  <si>
    <t>a5847e40-41e1-4525-b069-30eb99215ed0</t>
  </si>
  <si>
    <t>2022-12-09T19:10:15.750000+00:00</t>
  </si>
  <si>
    <t>right_block25_lane6</t>
  </si>
  <si>
    <t>edf323be-96f4-416c-98f1-3cafcd43c11d</t>
  </si>
  <si>
    <t>2022-12-10T01:51:17.581000+00:00</t>
  </si>
  <si>
    <t>cc6eee1c-762b-4a58-9cae-f945133e6d30</t>
  </si>
  <si>
    <t>2022-12-13T20:06:45.720000+00:00</t>
  </si>
  <si>
    <t>left_block10_lane8</t>
  </si>
  <si>
    <t>left-test_with_poles</t>
  </si>
  <si>
    <t>2022-12-13T17:37:10.742000+00:00</t>
  </si>
  <si>
    <t>left_block5_lane5</t>
  </si>
  <si>
    <t>1569085b-7110-466f-a36c-596e5439e0d6</t>
  </si>
  <si>
    <t>2022-12-15T19:06:55.079000+00:00</t>
  </si>
  <si>
    <t>right_block24_lane8</t>
  </si>
  <si>
    <t>52bc8e2c-bcb7-4d15-9c56-30e2e9ee77be</t>
  </si>
  <si>
    <t>06165491-a9d7-406e-b686-a399c09eab27</t>
  </si>
  <si>
    <t>2022-12-17T20:39:33.076000+00:00</t>
  </si>
  <si>
    <t>right_block21_lane6</t>
  </si>
  <si>
    <t>16e1a029-5e73-4ace-8ec6-10f878d13dd9</t>
  </si>
  <si>
    <t>92613e7b-538b-4c68-b87c-88ca0e0d4d2c</t>
  </si>
  <si>
    <t>2022-12-18T17:14:08.810000+00:00</t>
  </si>
  <si>
    <t>left_block14_lane6</t>
  </si>
  <si>
    <t>2d639ee6-377c-467f-8d62-1d7b281f0ac0</t>
  </si>
  <si>
    <t>2022-12-18T17:03:27.478000+00:00</t>
  </si>
  <si>
    <t>left_block14_lane3</t>
  </si>
  <si>
    <t>18c32855-d3e8-4d9e-b531-1b376197c905</t>
  </si>
  <si>
    <t>85d32bf1-a3f4-4b24-9cac-030d2452c2fe</t>
  </si>
  <si>
    <t>2022-12-19T17:34:16.106000+00:00</t>
  </si>
  <si>
    <t>eba621f1-77a6-4b58-94b4-0142d0a1206a</t>
  </si>
  <si>
    <t>2022-12-19T17:09:33.693000+00:00</t>
  </si>
  <si>
    <t>right_3201</t>
  </si>
  <si>
    <t>3e946963-7f85-4de3-8339-e32075cce89b</t>
  </si>
  <si>
    <t>2022-12-20T23:06:09.369000+00:00</t>
  </si>
  <si>
    <t>881ba69c-bdfe-40ea-bd00-2cbd0e5998ed</t>
  </si>
  <si>
    <t>2022-12-20T01:16:17.722000+00:00</t>
  </si>
  <si>
    <t>right_3455</t>
  </si>
  <si>
    <t>70c31486-7914-4eaa-8469-78afa20573fc</t>
  </si>
  <si>
    <t>2022-12-20T00:03:00.584000+00:00</t>
  </si>
  <si>
    <t>2022-12-21T04:14:23.488000+00:00</t>
  </si>
  <si>
    <t>8051a655-0874-4a74-8c05-db0e2f35ec8d</t>
  </si>
  <si>
    <t>26a8a1c1-7bbf-49ab-ae11-713a608a337d</t>
  </si>
  <si>
    <t>2022-12-21T00:14:12.918000+00:00</t>
  </si>
  <si>
    <t>left_lane3454</t>
  </si>
  <si>
    <t>9fe9ce3f-8ae2-4707-8df7-61994fd99921</t>
  </si>
  <si>
    <t>f9e5a8a7-b595-4103-82e3-913f62de9c83</t>
  </si>
  <si>
    <t>2022-12-22T20:05:07.934000+00:00</t>
  </si>
  <si>
    <t>left_lane3676</t>
  </si>
  <si>
    <t>44</t>
  </si>
  <si>
    <t>4f0359f8-18ae-43d3-8cc2-412119dac22d</t>
  </si>
  <si>
    <t>2022-12-22T19:13:26.753000+00:00</t>
  </si>
  <si>
    <t>left_lane3702</t>
  </si>
  <si>
    <t>9b38ec64-a34d-4f73-ac7c-3759cdf7e9a4</t>
  </si>
  <si>
    <t>2022-12-22T17:46:54.796000+00:00</t>
  </si>
  <si>
    <t>cc9ac953-7104-48b1-beae-3c1d161e7621</t>
  </si>
  <si>
    <t>71d728ce-e0b9-4443-a7af-1d925908cca4</t>
  </si>
  <si>
    <t>2022-12-23T16:52:24.788000+00:00</t>
  </si>
  <si>
    <t>cf08976b-d4b0-471e-ae95-a660ce17dc3d</t>
  </si>
  <si>
    <t>2022-12-23T16:43:15.295000+00:00</t>
  </si>
  <si>
    <t>left_lane3634</t>
  </si>
  <si>
    <t>ed95cc9c-9c60-48d4-832c-1f74a1bb5a9c</t>
  </si>
  <si>
    <t>2022-12-23T15:50:43.462000+00:00</t>
  </si>
  <si>
    <t>left_lane3662</t>
  </si>
  <si>
    <t>5d1fdd1e-7ce5-4bf6-9144-9ac986ca4e4f</t>
  </si>
  <si>
    <t>2022-12-26T18:26:29.907000+00:00</t>
  </si>
  <si>
    <t>3ce851db-6c16-4c5c-8f5b-5259cc66a994</t>
  </si>
  <si>
    <t>0eb64c35-22a4-4d5c-9352-c84ec7c9837a</t>
  </si>
  <si>
    <t>2022-12-28T15:03:55.092000+00:00</t>
  </si>
  <si>
    <t>left_lane3484</t>
  </si>
  <si>
    <t>69d522ab-9d4d-4ad8-b12e-1249afdfe973</t>
  </si>
  <si>
    <t>357c19d9-3906-4509-a092-452dccce43f1</t>
  </si>
  <si>
    <t>2022-12-29T20:32:14.618000+00:00</t>
  </si>
  <si>
    <t>993de0fe-06c5-4c97-a2ff-f2f7c2d78cd6</t>
  </si>
  <si>
    <t>d0a72a9a-ee03-4cbd-aff8-2d3c983c554c</t>
  </si>
  <si>
    <t>2022-12-29T19:34:23.137000+00:00</t>
  </si>
  <si>
    <t>right_3633</t>
  </si>
  <si>
    <t>f466cf4f-ab0e-4661-8b80-f1b9b55deb83</t>
  </si>
  <si>
    <t>2022-12-29T17:22:57.884000+00:00</t>
  </si>
  <si>
    <t>right_3355</t>
  </si>
  <si>
    <t>10789736-f02d-4d52-a9f9-6996172bcd6c</t>
  </si>
  <si>
    <t>bac6d53b-804d-4d18-b8d9-e5bee7d78546</t>
  </si>
  <si>
    <t>2022-12-30T07:14:10.978000+00:00</t>
  </si>
  <si>
    <t>10ec56b2-20f0-4d25-9940-ffe36e897535</t>
  </si>
  <si>
    <t>2023-01-02T20:14:06.542000+00:00</t>
  </si>
  <si>
    <t>19dfd67b-fecd-4e31-ae2e-d9dc7125958f</t>
  </si>
  <si>
    <t>1fc61722-5ad0-4d25-ae88-69fe5b5f9fae</t>
  </si>
  <si>
    <t>2023-01-05T22:28:42.701000+00:00</t>
  </si>
  <si>
    <t>40796cef-56c5-4e61-af49-ea8c52797cf4</t>
  </si>
  <si>
    <t>LumionFix 033</t>
  </si>
  <si>
    <t>dc4f9f5b-f030-4097-aeea-3ce85a4ab885</t>
  </si>
  <si>
    <t>recovery job failed</t>
  </si>
  <si>
    <t>2023-01-17T20:29:34.099000+00:00</t>
  </si>
  <si>
    <t>right_block_7_lane_6</t>
  </si>
  <si>
    <t>lumion</t>
  </si>
  <si>
    <t>62</t>
  </si>
  <si>
    <t>a5d26f16-3728-45e9-bd55-edbef216b149</t>
  </si>
  <si>
    <t>5aa9cad4-8c35-4454-ae14-75068b4080f4</t>
  </si>
  <si>
    <t>2023-01-17T18:17:02.897000+00:00</t>
  </si>
  <si>
    <t>right_block_4_lane_6</t>
  </si>
  <si>
    <t>7c928b85-585d-45c8-8c3a-b7b1b9a5fff7</t>
  </si>
  <si>
    <t>b11a7f78-3598-44a3-8eb0-f8bf52a5e29b</t>
  </si>
  <si>
    <t>2023-01-17T16:32:59.984000+00:00</t>
  </si>
  <si>
    <t>right_block_4_lane_5</t>
  </si>
  <si>
    <t>a5c34ebd-8f06-4c3e-b37c-235f5ed79d60</t>
  </si>
  <si>
    <t>2023-01-19T16:01:46.831000+00:00</t>
  </si>
  <si>
    <t>block_2_lane_6</t>
  </si>
  <si>
    <t>40a259b8-c4d7-4826-aef7-226c8578c41a</t>
  </si>
  <si>
    <t>960d5d67-4036-43df-ad49-5a2315b53402</t>
  </si>
  <si>
    <t>2023-01-20T19:17:47.106000+00:00</t>
  </si>
  <si>
    <t>block_2_lane_2</t>
  </si>
  <si>
    <t>9a764e26-b9d5-411f-bfc8-1c401de15424</t>
  </si>
  <si>
    <t>2023-01-20T18:56:59.597000+00:00</t>
  </si>
  <si>
    <t>block_1_lane_2</t>
  </si>
  <si>
    <t>fb5b85e9-fe60-4ef1-9678-c2cab37b38f4</t>
  </si>
  <si>
    <t>2023-01-20T18:53:00.185000+00:00</t>
  </si>
  <si>
    <t>block_1_lane_1</t>
  </si>
  <si>
    <t>c390a24e-cbee-406e-a498-c0c72a2e1744</t>
  </si>
  <si>
    <t>0f42fd65-aca8-4c06-b8f9-0aca74f0e0c6</t>
  </si>
  <si>
    <t>2023-01-20T17:03:04.413000+00:00</t>
  </si>
  <si>
    <t>block_7_lane_6</t>
  </si>
  <si>
    <t>707ec81e-8eff-4298-ab81-4255903b70de</t>
  </si>
  <si>
    <t>19371ae4-ec18-412b-a4a4-351f4455152c</t>
  </si>
  <si>
    <t>2023-01-23T16:33:20.919000+00:00</t>
  </si>
  <si>
    <t>64</t>
  </si>
  <si>
    <t>cd2effac-6494-440a-bd30-cf42cac809bb</t>
  </si>
  <si>
    <t>2023-01-24T18:41:29.515000+00:00</t>
  </si>
  <si>
    <t>a424cd5f-8a43-4032-b3ee-7784ce0f54ca</t>
  </si>
  <si>
    <t>138e652c-9c08-418b-8b18-801955f09c65</t>
  </si>
  <si>
    <t>slip: not at least one job is completed; inductive: inductive does not see rails</t>
  </si>
  <si>
    <t>2023-01-27T19:44:52.573000+00:00</t>
  </si>
  <si>
    <t>38dd2f5e-66ea-4560-a70b-c41ad8dfecf0</t>
  </si>
  <si>
    <t>2023-01-27T16:46:25.494000+00:00</t>
  </si>
  <si>
    <t>cc3d8ba7-b58c-4d65-abed-045317814aa5</t>
  </si>
  <si>
    <t>2023-01-30T19:43:57.735000+00:00</t>
  </si>
  <si>
    <t>cb1372c0-1bf5-4f5d-b2e0-74a000aefc5c</t>
  </si>
  <si>
    <t>2023-01-30T19:26:41.423000+00:00</t>
  </si>
  <si>
    <t>2023-01-30T17:24:52.715000+00:00</t>
  </si>
  <si>
    <t>block_1_lane_6</t>
  </si>
  <si>
    <t>48fc4da1-8e8b-4a51-9889-f4d82fad3be1</t>
  </si>
  <si>
    <t>slip: error code 0x1050005 is not supported; inductive: inductive does not see rails</t>
  </si>
  <si>
    <t>2023-01-31T19:05:04.385000+00:00</t>
  </si>
  <si>
    <t>2023-01-31T16:17:33.092000+00:00</t>
  </si>
  <si>
    <t>ff9dde8f-d7b2-47c5-a1b8-afda6add7131</t>
  </si>
  <si>
    <t>d1ec8008-2584-47c7-af3c-d2378215ab5f</t>
  </si>
  <si>
    <t>2023-02-02T01:18:53.838000+00:00</t>
  </si>
  <si>
    <t>right_block_2_lane_2</t>
  </si>
  <si>
    <t>north</t>
  </si>
  <si>
    <t>71</t>
  </si>
  <si>
    <t>eac41540-a210-43f7-93aa-01222afc7a9f</t>
  </si>
  <si>
    <t>LumionFix 041</t>
  </si>
  <si>
    <t>3dce0c13-68a0-4fff-aed6-a856abb0de57</t>
  </si>
  <si>
    <t>not enough measurements came in from vision: 0/0</t>
  </si>
  <si>
    <t>2023-02-03T04:03:32.722000+00:00</t>
  </si>
  <si>
    <t>lane_3606</t>
  </si>
  <si>
    <t>even</t>
  </si>
  <si>
    <t>22</t>
  </si>
  <si>
    <t>d3c61428-82a8-4147-a655-803ea3e62916</t>
  </si>
  <si>
    <t>e5ea94a0-ccef-460e-aa2c-33c241ee9af1</t>
  </si>
  <si>
    <t>2023-02-04T01:12:37.683000+00:00</t>
  </si>
  <si>
    <t>ec1ea846-a470-4275-90cd-8627640c321b</t>
  </si>
  <si>
    <t>637a3640-5160-4cc5-9019-c68b33d0bb53</t>
  </si>
  <si>
    <t>2023-02-04T01:30:15.780000+00:00</t>
  </si>
  <si>
    <t>da6a19e9-5896-4460-b2dd-70d51738a301</t>
  </si>
  <si>
    <t>57cfe0ce-2a71-4007-81b6-9ba9891a15bd</t>
  </si>
  <si>
    <t>2023-02-04T19:55:33.145000+00:00</t>
  </si>
  <si>
    <t>lane_4015</t>
  </si>
  <si>
    <t>odd</t>
  </si>
  <si>
    <t>b5c16676-b2b7-4ba1-8eb6-b3b3844b00b7</t>
  </si>
  <si>
    <t>2023-02-04T19:02:05.068000+00:00</t>
  </si>
  <si>
    <t>2023-02-04T17:37:04.491000+00:00</t>
  </si>
  <si>
    <t>block_4_lane_5</t>
  </si>
  <si>
    <t>2023-02-04T16:16:47.280000+00:00</t>
  </si>
  <si>
    <t>f18608a8-7cc4-4a5b-b7bd-8a5bc41b1b61</t>
  </si>
  <si>
    <t>514bc62a-0ae8-461a-aa66-37a78989d843</t>
  </si>
  <si>
    <t>vehicle did not complete recovery job in time</t>
  </si>
  <si>
    <t>2023-02-05T01:09:01.499000+00:00</t>
  </si>
  <si>
    <t>right_block_1_lane_5</t>
  </si>
  <si>
    <t>north-test</t>
  </si>
  <si>
    <t>fd173aed-a61f-4586-b740-643df87318ff</t>
  </si>
  <si>
    <t>LumionFix 034</t>
  </si>
  <si>
    <t>c12c3313-d0ff-4bb8-9dac-cfe93071e2a6</t>
  </si>
  <si>
    <t>2023-02-06T19:07:35.460000+00:00</t>
  </si>
  <si>
    <t>left_block_1_lane_3</t>
  </si>
  <si>
    <t>51</t>
  </si>
  <si>
    <t>Ook voorwielslip, maar ik denk dat hij initieel al te vroeg met zijn inductieve sensor op de rail zit.</t>
  </si>
  <si>
    <t>30ff12d4-6386-4b34-a747-aa96e346ec2d</t>
  </si>
  <si>
    <t>2023-02-06T18:06:26.975000+00:00</t>
  </si>
  <si>
    <t>block_5_lane_2</t>
  </si>
  <si>
    <t>63</t>
  </si>
  <si>
    <t>2023-02-06T16:39:55.136000+00:00</t>
  </si>
  <si>
    <t>block_1_lane_3</t>
  </si>
  <si>
    <t>2023-02-06T16:35:56.211000+00:00</t>
  </si>
  <si>
    <t>daa83a0a-3faf-4e32-9dc8-29491150c3e6</t>
  </si>
  <si>
    <t>9fb31d10-1a8a-4818-bd45-38cd588c0cd4</t>
  </si>
  <si>
    <t>2023-02-08T16:33:58.910000+00:00</t>
  </si>
  <si>
    <t>robot komt te kort, elektriciteitskasten ?</t>
  </si>
  <si>
    <t>dbab016d-54e1-4f77-93d8-fcfe1eaf53ae</t>
  </si>
  <si>
    <t>3152f762-272d-48b4-8fb6-3ed0f4fd6c49</t>
  </si>
  <si>
    <t>2023-02-09T00:29:41.070000+00:00</t>
  </si>
  <si>
    <t>f91b85b9-abdb-472e-bacb-5a5f41e5cacf</t>
  </si>
  <si>
    <t>2023-02-09T00:21:54.528000+00:00</t>
  </si>
  <si>
    <t>unknown</t>
  </si>
  <si>
    <t>robot komt te kort</t>
  </si>
  <si>
    <t>d97a8cd8-e243-4707-9edd-e52b792e3a72</t>
  </si>
  <si>
    <t>fc2a1e32-9228-452c-985e-bc621f2e78df</t>
  </si>
  <si>
    <t>2023-02-09T01:38:09.172000+00:00</t>
  </si>
  <si>
    <t>south</t>
  </si>
  <si>
    <t>vreemd, maar bart is er bij</t>
  </si>
  <si>
    <t>bb787910-71f3-4bc2-97f6-43617df97371</t>
  </si>
  <si>
    <t>2023-02-09T20:09:44.345000+00:00</t>
  </si>
  <si>
    <t>left_block_11_lane_6</t>
  </si>
  <si>
    <t>58</t>
  </si>
  <si>
    <t>Niet geupload</t>
  </si>
  <si>
    <t>2023-02-09T17:56:49.365000+00:00</t>
  </si>
  <si>
    <t>left_block_16_lane_2</t>
  </si>
  <si>
    <t>a05753ee-e29b-4d02-87a2-19107c33c294</t>
  </si>
  <si>
    <t>2d86ad7e-544c-4cfb-9fe9-aef05e8e140a</t>
  </si>
  <si>
    <t>2023-02-10T19:09:17.242000+00:00</t>
  </si>
  <si>
    <t>241eb093-15b7-4d3c-887e-817af316318f</t>
  </si>
  <si>
    <t>21eff3b6-5645-47ad-920b-9183fdf7d493</t>
  </si>
  <si>
    <t>2023-02-10T18:44:32.812000+00:00</t>
  </si>
  <si>
    <t>block_6_lane_6</t>
  </si>
  <si>
    <t>b4d4e925-6cad-44c3-a899-e008475f0fcf</t>
  </si>
  <si>
    <t>2023-02-10T18:40:19.416000+00:00</t>
  </si>
  <si>
    <t>block_6_lane_5</t>
  </si>
  <si>
    <t>16b42460-7f9c-42ed-bc96-72d6588061da</t>
  </si>
  <si>
    <t>2023-02-10T18:02:28.426000+00:00</t>
  </si>
  <si>
    <t>block_5_lane_1</t>
  </si>
  <si>
    <t>085d7d31-a608-4d96-9ed1-6ad51d6fdf88</t>
  </si>
  <si>
    <t>2023-02-10T17:47:53.333000+00:00</t>
  </si>
  <si>
    <t>block_4_lane_3</t>
  </si>
  <si>
    <t>28c35d55-b858-46e1-a310-673a93883be0</t>
  </si>
  <si>
    <t>2023-02-10T17:30:00.169000+00:00</t>
  </si>
  <si>
    <t>block_3_lane_4</t>
  </si>
  <si>
    <t>0d6b39b1-8771-43b0-aed6-f930753ae034</t>
  </si>
  <si>
    <t>2023-02-10T17:12:00.937000+00:00</t>
  </si>
  <si>
    <t>block_2_lane_5</t>
  </si>
  <si>
    <t>01383e8f-e9fc-4f60-a274-215ef2390e04</t>
  </si>
  <si>
    <t>2023-02-10T16:44:30.472000+00:00</t>
  </si>
  <si>
    <t>block_1_lane_4</t>
  </si>
  <si>
    <t>c7c6b4e5-bfa7-458a-a33a-058e2bc1689d</t>
  </si>
  <si>
    <t>7b3a248a-0008-4d73-832d-55db4a43c248</t>
  </si>
  <si>
    <t>2023-02-11T02:11:32.153000+00:00</t>
  </si>
  <si>
    <t>left_block_1_lane_6</t>
  </si>
  <si>
    <t>59</t>
  </si>
  <si>
    <t>9aefb364-cd9e-4b5b-a4f6-c4973875056d</t>
  </si>
  <si>
    <t>2023-02-11T01:28:47.314000+00:00</t>
  </si>
  <si>
    <t>left_block_3_lane_2</t>
  </si>
  <si>
    <t>477f3b33-3553-4b8b-870a-281d700892c7</t>
  </si>
  <si>
    <t>2023-02-12T17:00:03.009000+00:00</t>
  </si>
  <si>
    <t>40c409f0-c265-4794-9ac6-c2fd0c2df03d</t>
  </si>
  <si>
    <t>2023-02-12T19:49:27.617000+00:00</t>
  </si>
  <si>
    <t>2023-02-12T19:20:37.217000+00:00</t>
  </si>
  <si>
    <t>block_6_lane_4</t>
  </si>
  <si>
    <t>ce98e237-0fd8-44c7-86be-047da647dcb0</t>
  </si>
  <si>
    <t>754fa787-c63c-46df-a9ce-64ba16a1fa7a</t>
  </si>
  <si>
    <t>2023-02-13T18:55:01.430000+00:00</t>
  </si>
  <si>
    <t>E-ID</t>
  </si>
  <si>
    <t>robot</t>
  </si>
  <si>
    <t>treatment-id</t>
  </si>
  <si>
    <t>recoverable?</t>
  </si>
  <si>
    <t>date</t>
  </si>
  <si>
    <t>end time</t>
  </si>
  <si>
    <t>failed path</t>
  </si>
  <si>
    <t>slip op rails, start recovery</t>
  </si>
  <si>
    <t>/</t>
  </si>
  <si>
    <t>net ervoor recovery gedaan door slip op rails, maar laneswitch die volgt lijkt niet goed uit te draaien; stand van robot ook zichtbaar op log 024 zelfde dag</t>
  </si>
  <si>
    <t>reset-regions bug??</t>
  </si>
  <si>
    <t>botsing met robot 023 die in error staat in gangpad</t>
  </si>
  <si>
    <t>Robot vertrekt niet. Camera's niet aanwezig? of meer aan de hand?</t>
  </si>
  <si>
    <t>Robot vliegt van rails af, triggert Error maar software denkt dat recovery mogelijk is!</t>
  </si>
  <si>
    <t>20220916_robotsdrivetoofastontoconcretepath</t>
  </si>
  <si>
    <t>log 1: EOL open metingen zeer grellig. visie-metingen: (rechterkant wordt volledig genegeerd); overkant wordt op gegeven moment gedetecteerd!   KF heeft hiervan 1 meting meegenomen, hoogstwaarschijnlijk van overkant. ==&gt;&gt; Zelfde probleem als 2 fails van lijn 6? IDD =&gt; eerste lineaire deel wordt weggegooid terwijl perfect ok! Dus zelfde maatregel (anomaly det EOL open op 3m) zou dit ook kunnen oplossen, maar wel risicootje dat robot toch nog overkant ziet bij slecht geluk.</t>
  </si>
  <si>
    <t>Robot lijkt +/- 1.5u in wachtmodus te staan, voordat recovery wordt gestart. Omdat hij volledig fout staat faalt de laneswitch redelijk snel.</t>
  </si>
  <si>
    <t>robot vliegt op gangpad; EOL niet juist gedetecteerd?</t>
  </si>
  <si>
    <t xml:space="preserve">op voorhand: EOL closed: grote correctie van 1.5m. Dus we verwachten gelijkaardige sprong aan EOL open. Is zelfs groter. EOL open metingen zijn clean maar worden onterecht weggesmeten (verschil: 2.17m, grens: 2.0m). (LT: bij cleane metingen toch beslissen om ze mee te pakken ondanks te groot verschil?)  idee: éénzijdige anomaly detectie (korter mag altijd)? </t>
  </si>
  <si>
    <t>robot botst tegen kop van de rails, staat stil; recovery getriggered</t>
  </si>
  <si>
    <t>robot lijkt in wachttoestand te staan, start laneswitch maar deze loopt fout, robot staat scheef ingangpad in error</t>
  </si>
  <si>
    <t>Fail 2: identiek als vorige</t>
  </si>
  <si>
    <t>zet EOL open anomaly-detectie op 3.0m (ipv 2.0m)</t>
  </si>
  <si>
    <t>robot komt 'bruusk' uit lane, doet laneswithc, doet retry, ah einde lijkt hij goed te staan maar doet niet verder</t>
  </si>
  <si>
    <t>robot slipt lange tijd tegen de kop van de rails, zet zich uiteindelijk toch af, maar gaat in error in midden van de lane (geen EOL wall zichtbaar)</t>
  </si>
  <si>
    <t>achterwielen staan al op de rails, voorwielen slippen tegen rails. Zou kunnen door reduced velocity approach?</t>
  </si>
  <si>
    <t>robot doet laneswitch, lijkt aan retry te starten maar stopt tijdens de voorwaartse beweging</t>
  </si>
  <si>
    <t>robot staat lang stil voor een rij, maar vertrekt niet</t>
  </si>
  <si>
    <t>robot stopt +/-5m voordat hij op gangpad komt. robot rijdt in laatste rij van sectie (iets smaller door goten) en ter hoogte van gangpad staat er grote controlebox (goed zichtbaar op moment van error)</t>
  </si>
  <si>
    <t>20220913_robot_stops_early_because_electricity_box.docx</t>
  </si>
  <si>
    <t>Camera-kalibratie niet aangepast na verandering van wielen. Klein mysterie dat robot nog heeft kunnen rijden afgelopen maand</t>
  </si>
  <si>
    <t>herkalibratie door kasper</t>
  </si>
  <si>
    <t>?</t>
  </si>
  <si>
    <t>Robot staat klaar, vertrekt niet.</t>
  </si>
  <si>
    <t>Robot gaat vlak voor uitrijden lane in error, lane met controlebox</t>
  </si>
  <si>
    <t>robot komt 'bruusk' uit lane, doet laneswithc, ah einde lijkt hij tegen de rails van volgende lane aan te botsen</t>
  </si>
  <si>
    <t>robot rijdt in de lane, komt aan het einde (wall) en gaat dan in error</t>
  </si>
  <si>
    <t>net voor einde zit er onder de rails een muurtje, ligt 1.5m voor effectieve beton. Destijds beslist om daar niet naar te kijken (zmin=0). MAAR: door nieuwe wielen =&gt; verschillende wielgroottes =&gt; kijkt de robot nu naar beneden. Robot ziet muurtje voordat de echte muur zichtbaar is. zmin op 0.1 =&gt; komt muurtje niet meer in beeld. MAAR we zien minder van de echte muur! Pitch verschil: 1.5deg =&gt; toch toevoegen als parameter in visie (twee tov !?</t>
  </si>
  <si>
    <t>SW aanpassen zodat pitch in rekening wordt gebracht. Voorlopig afwachten of vaker voorvalt</t>
  </si>
  <si>
    <t>EOL open meting heel clean, maar toch 1.1m sprong inductieve. EOL open offset: +0.35 =&gt; niet duidelijk waarom.. VIsie xtheta: rail swaren zichtbaar, mara werden weggegooid door te strikte, redundante checks. =&gt; mogen dus aangepast worden! 
Iets doen aan het op beton knallen? 2 opties: EOL open offset wegdoen? of Reduced velocity approach verlengen?
=&gt; voorlopig niet, helpt momenteel de treatments niet echt om zeep</t>
  </si>
  <si>
    <r>
      <rPr>
        <sz val="11"/>
        <color rgb="FF000000"/>
        <rFont val="Calibri"/>
      </rPr>
      <t xml:space="preserve">Redundante visie-checks elimineren op alle 4 de robots: 
Change </t>
    </r>
    <r>
      <rPr>
        <b/>
        <sz val="11"/>
        <color rgb="FF000000"/>
        <rFont val="Calibri"/>
      </rPr>
      <t>max_rails_angle_diff t</t>
    </r>
    <r>
      <rPr>
        <sz val="11"/>
        <color rgb="FF000000"/>
        <rFont val="Calibri"/>
      </rPr>
      <t xml:space="preserve">o 5deg 
Change </t>
    </r>
    <r>
      <rPr>
        <b/>
        <sz val="11"/>
        <color rgb="FF000000"/>
        <rFont val="Calibri"/>
      </rPr>
      <t>max_rail_width</t>
    </r>
    <r>
      <rPr>
        <sz val="11"/>
        <color rgb="FF000000"/>
        <rFont val="Calibri"/>
      </rPr>
      <t xml:space="preserve"> to 100 (basically infinity) </t>
    </r>
  </si>
  <si>
    <t>Robot gaat in error vlak  voor het uitrijden van de lane, normale condities</t>
  </si>
  <si>
    <t>Robot valt van de rails (+/- ah einde van de lane)</t>
  </si>
  <si>
    <t>robot start laneswitch, operator duwt bumper in, heftruck stond in de weg</t>
  </si>
  <si>
    <t>Robot gaat in error vlak voor einde van de lane (ter hoogte van wall), normale condities</t>
  </si>
  <si>
    <t>Tijdens laneswitch duwt operator op noodknop, robot ging rij inrijden met spuitmachine</t>
  </si>
  <si>
    <t>Robot rijdt in lane richting wall, op ong 10m van wall staat hij stil en gaat in error. Normale condities</t>
  </si>
  <si>
    <t>Robot slipt/duwt tegen de rails (slijpschijfbug)</t>
  </si>
  <si>
    <t>Na laneswitch doet robot 1 retry, lijkt goed gepositioneerd. Wanneer hij wil verder rijden botst hij tegen rails en staat stil tot error.</t>
  </si>
  <si>
    <t>Error code (sorteren!!)</t>
  </si>
  <si>
    <t>Error description</t>
  </si>
  <si>
    <t>Error code XL</t>
  </si>
  <si>
    <t>Initialization could not be completed in time</t>
  </si>
  <si>
    <t>0x01010008</t>
  </si>
  <si>
    <t>low level fsm is no longer executing the given command</t>
  </si>
  <si>
    <t>0x01010101</t>
  </si>
  <si>
    <t>received error from global planner while in {} state</t>
  </si>
  <si>
    <t>0x01010102</t>
  </si>
  <si>
    <t>global path planner did not finish planning in time</t>
  </si>
  <si>
    <t>0x01010103</t>
  </si>
  <si>
    <t>vision did not initialize in time</t>
  </si>
  <si>
    <t>0x01010115</t>
  </si>
  <si>
    <t>Global path planning failed</t>
  </si>
  <si>
    <t>0x01020003</t>
  </si>
  <si>
    <t>Obstacle avoidance (AStar) timeout</t>
  </si>
  <si>
    <t>0x01030001</t>
  </si>
  <si>
    <t>Failed to find feasible path</t>
  </si>
  <si>
    <t>0x01030002</t>
  </si>
  <si>
    <t>Trajectory generation timeout</t>
  </si>
  <si>
    <t>0x01030003</t>
  </si>
  <si>
    <t>vehicle diverged too far from trajectory</t>
  </si>
  <si>
    <t>0x01040001</t>
  </si>
  <si>
    <t>collision detected in operational state for the 4th time in a row</t>
  </si>
  <si>
    <t>0x01040004</t>
  </si>
  <si>
    <t>end of lane wall sensor error</t>
  </si>
  <si>
    <t>0x01040103</t>
  </si>
  <si>
    <t>end of lane open sensor error</t>
  </si>
  <si>
    <t>0x01040104</t>
  </si>
  <si>
    <t>xtheta sensor error</t>
  </si>
  <si>
    <t>0x01040105</t>
  </si>
  <si>
    <t>ytheta sensor error</t>
  </si>
  <si>
    <t>0x01040106</t>
  </si>
  <si>
    <t>Veh low level FSM: safety was triggered</t>
  </si>
  <si>
    <t>0x01050005</t>
  </si>
  <si>
    <t>motor drive: OVER VOLTAGE</t>
  </si>
  <si>
    <t>0x01060001</t>
  </si>
  <si>
    <t>motor drive: UNDER VOLTAGE</t>
  </si>
  <si>
    <t>0x01060002</t>
  </si>
  <si>
    <t>motor drive: DRV8353 FAULT</t>
  </si>
  <si>
    <t>0x01060009</t>
  </si>
  <si>
    <t xml:space="preserve">Vehicle HAL: motor drive: ID CONTROL ISSUE	</t>
  </si>
  <si>
    <t>0x0106000b</t>
  </si>
  <si>
    <t>motor drive connection: NO FEEDBACK ERROR</t>
  </si>
  <si>
    <t>0x01060065</t>
  </si>
  <si>
    <t>vision error</t>
  </si>
  <si>
    <t>0x01060101</t>
  </si>
  <si>
    <t>no vision heartbeat</t>
  </si>
  <si>
    <t>0x01060165</t>
  </si>
  <si>
    <t>battery level critical low</t>
  </si>
  <si>
    <t>0x01070001</t>
  </si>
  <si>
    <t>Excessive slip detected</t>
  </si>
  <si>
    <t>0x01080001</t>
  </si>
  <si>
    <t>unexpected uv lamp state switch</t>
  </si>
  <si>
    <t>0x02020202</t>
  </si>
  <si>
    <t>failed to switch uv lamp state</t>
  </si>
  <si>
    <t>0x02020203</t>
  </si>
  <si>
    <t xml:space="preserve">Sideshift HAL: DRV8353 FAULT	</t>
  </si>
  <si>
    <t>0x02040009</t>
  </si>
  <si>
    <t>(All)</t>
  </si>
  <si>
    <t>(Multiple Items)</t>
  </si>
  <si>
    <t>Date Excel</t>
  </si>
  <si>
    <t>Count of error description</t>
  </si>
  <si>
    <t>Grand Total</t>
  </si>
  <si>
    <t>Column1</t>
  </si>
  <si>
    <t>2022-09-12T16:20:28.125000+00:00</t>
  </si>
  <si>
    <t>2022-09-12T16:21:24.340000+00:00</t>
  </si>
  <si>
    <t>2022-09-12T16:22:36.132000+00:00</t>
  </si>
  <si>
    <t>2022-09-12T16:38:33.189000+00:00</t>
  </si>
  <si>
    <t>2022-09-12T16:39:28.445000+00:00</t>
  </si>
  <si>
    <t>2022-09-12T16:55:21.827000+00:00</t>
  </si>
  <si>
    <t>2022-09-12T16:57:15.613000+00:00</t>
  </si>
  <si>
    <t>2022-09-12T16:59:51.929000+00:00</t>
  </si>
  <si>
    <t>error code 0x1040103 is not supported</t>
  </si>
  <si>
    <t>2022-09-13T10:27:46.804000+00:00</t>
  </si>
  <si>
    <t>2022-09-13T11:10:56.025000+00:00</t>
  </si>
  <si>
    <t>2022-09-13T11:13:31.526000+00:00</t>
  </si>
  <si>
    <t>error code 0x1060101 is not supported</t>
  </si>
  <si>
    <t>2022-09-13T11:14:15.200000+00:00</t>
  </si>
  <si>
    <t>2022-09-13T11:17:35.103000+00:00</t>
  </si>
  <si>
    <t>2022-09-13T12:43:43.446000+00:00</t>
  </si>
  <si>
    <t>error code 0x1060009 is not supported</t>
  </si>
  <si>
    <t>2022-09-14T04:32:39.708000+00:00</t>
  </si>
  <si>
    <t>2022-09-14T12:11:45.919000+00:00</t>
  </si>
  <si>
    <t>right_3489</t>
  </si>
  <si>
    <t>2022-09-14T12:30:26.670000+00:00</t>
  </si>
  <si>
    <t>right_3485</t>
  </si>
  <si>
    <t>error code 0x1040105 is not supported</t>
  </si>
  <si>
    <t>2022-09-14T14:21:40.743000+00:00</t>
  </si>
  <si>
    <t>2022-09-14T20:02:12.035000+00:00</t>
  </si>
  <si>
    <t>2022-09-14T21:59:17.619000+00:00</t>
  </si>
  <si>
    <t>2022-09-14T22:27:22.332000+00:00</t>
  </si>
  <si>
    <t>error code 0x1060002 is not supported</t>
  </si>
  <si>
    <t>2022-09-15T10:37:15.833000+00:00</t>
  </si>
  <si>
    <t>error code 0x1010102 is not supported</t>
  </si>
  <si>
    <t>2022-09-15T11:00:00.912000+00:00</t>
  </si>
  <si>
    <t>error code 0x1010101 is not supported</t>
  </si>
  <si>
    <t>2022-09-15T11:31:47.819000+00:00</t>
  </si>
  <si>
    <t>2022-09-15T12:51:54.592000+00:00</t>
  </si>
  <si>
    <t>right_3205</t>
  </si>
  <si>
    <t>2022-09-15T15:10:30.642000+00:00</t>
  </si>
  <si>
    <t>2022-09-15T16:34:16.876000+00:00</t>
  </si>
  <si>
    <t>left_lane3178</t>
  </si>
  <si>
    <t>20220922_xtheta_errors.docx</t>
  </si>
  <si>
    <t>2022-09-16T02:03:15.146000+00:00</t>
  </si>
  <si>
    <t>2022-09-16T13:24:41.962000+00:00</t>
  </si>
  <si>
    <t>2022-09-16T13:46:17.935000+00:00</t>
  </si>
  <si>
    <t>2022-09-16T13:50:27.933000+00:00</t>
  </si>
  <si>
    <t>2022-09-16T14:02:15.894000+00:00</t>
  </si>
  <si>
    <t>2022-09-16T14:56:48.719000+00:00</t>
  </si>
  <si>
    <t>2022-09-16T20:22:19.435000+00:00</t>
  </si>
  <si>
    <t>Robot rijdt richting gangpad, 4m voor het einde gaat hij in error. Lane met controlebox!</t>
  </si>
  <si>
    <t>2022-09-18T17:10:52.662000+00:00</t>
  </si>
  <si>
    <t>2022-09-18T22:03:30.014000+00:00</t>
  </si>
  <si>
    <t>2022-09-19T06:31:05.383000+00:00</t>
  </si>
  <si>
    <t>2022-09-19T07:17:50.173000+00:00</t>
  </si>
  <si>
    <t>left_lane3180</t>
  </si>
  <si>
    <t>2022-09-19T11:19:15.626000+00:00</t>
  </si>
  <si>
    <t>2022-09-21T16:20:41.528000+00:00</t>
  </si>
  <si>
    <t>max deviation x verkeerd ingesteld</t>
  </si>
  <si>
    <t>error code 0x1070001 is not supported</t>
  </si>
  <si>
    <t>2022-09-21T18:00:20.550000+00:00</t>
  </si>
  <si>
    <t>2022-09-23T22:33:16.585000+00:00</t>
  </si>
  <si>
    <t>Servicereport visit Wittenberg 20220928.pdf</t>
  </si>
  <si>
    <t>2022-09-26T13:39:31.571000+00:00</t>
  </si>
  <si>
    <t>2022-09-28T18:16:09.459000+00:00</t>
  </si>
  <si>
    <t>remark ivm anomalie &gt; max diversion klopt</t>
  </si>
  <si>
    <t>zmin staat nog altijd op 0, ziet grond. Anomalie staat waarschijnlijk groter dan max diversion -&gt; diverged to far</t>
  </si>
  <si>
    <t>´control.json:  max_x_deviation stond bij deze error nog verkeerd, maar lijkt later wel te zijn aangepast (samen met ServiceReport?)  (hierdoor: 'diverged too far' ipv 'eol wall error'  +    zmin (zie hiernaast, ook aangepast in ServiceReport)</t>
  </si>
  <si>
    <t>2022-09-28T20:50:03.208000+00:00</t>
  </si>
  <si>
    <t>2022-09-28T21:14:21.071000+00:00</t>
  </si>
  <si>
    <t>right_3015</t>
  </si>
  <si>
    <t>eol vision staat aan maar doet geen metingen. Is de huidige schatting fout? foute predictie door front wheel slip</t>
  </si>
  <si>
    <t>Met collision detectie detecteren!  Nieuwe ops-file nodig!   STRATEGIE: zeker integreren voor testen van Genson, daarna bekijken voor Wittenberg: update of mounten</t>
  </si>
  <si>
    <t>2022-09-29T21:40:52.647000+00:00</t>
  </si>
  <si>
    <t>abf10a7d-1f26-42c1-9fd4-bc07d2f5e89b</t>
  </si>
  <si>
    <t>2022-10-01T17:22:58.364000+00:00</t>
  </si>
  <si>
    <t>9829e508-ff5b-4167-b653-261d048ebdfb</t>
  </si>
  <si>
    <t>2022-10-01T19:21:44.873000+00:00</t>
  </si>
  <si>
    <t>left_block40_lane8</t>
  </si>
  <si>
    <t>2022-10-01T19:47:10.589000+00:00</t>
  </si>
  <si>
    <t>Verkeerde visie parameters max_rail_angle_diff, max_rail_width, min_rail_width</t>
  </si>
  <si>
    <t>CHECK REPORT WITTENBERG!!!</t>
  </si>
  <si>
    <t>2022-10-02T00:34:04.309000+00:00</t>
  </si>
  <si>
    <t>2022-10-02T18:37:20.953000+00:00</t>
  </si>
  <si>
    <t>left_block27_lane8</t>
  </si>
  <si>
    <t>2022-10-02T18:55:31.874000+00:00</t>
  </si>
  <si>
    <t>Robot doet laneswitch, 1 retry, rijdt daarna naar sideshiftpoint. Op moment dat sideshift begint te bewegen gaat robot in error.</t>
  </si>
  <si>
    <t>Sideshift gaat in fout</t>
  </si>
  <si>
    <t>4b9f39ea-e32b-42c8-807c-d46dc6185d60</t>
  </si>
  <si>
    <t>2022-10-03T19:47:44.281000+00:00</t>
  </si>
  <si>
    <t>right_block42_lane7</t>
  </si>
  <si>
    <t>4410dd44-fd6e-457e-9efc-484f3eacefa0</t>
  </si>
  <si>
    <t>2022-10-04T00:22:09.967000+00:00</t>
  </si>
  <si>
    <t>5da9325b-c842-463d-8c86-058f8ccd9df3</t>
  </si>
  <si>
    <t>5b4ce608-93cf-4f9d-a5c5-f92e67c4a6af</t>
  </si>
  <si>
    <t>2022-10-04T20:25:16.311000+00:00</t>
  </si>
  <si>
    <t>right_block31_lane3</t>
  </si>
  <si>
    <t>Verkeerde visie parameters: max_rail_angle_diff, max_rail_width, min_rail_width</t>
  </si>
  <si>
    <t>CHECK REPORT WITTENBERG!!!  CHECK</t>
  </si>
  <si>
    <t>7d7702fe-0ff5-4774-bf6e-3ced16417eaf</t>
  </si>
  <si>
    <t>d35ee0b1-948c-42d4-8c64-1ba170c3918d</t>
  </si>
  <si>
    <t>2022-10-04T21:58:58.839000+00:00</t>
  </si>
  <si>
    <t>left_lane3362</t>
  </si>
  <si>
    <t>Robot botst tegen 024 op gangpad</t>
  </si>
  <si>
    <t>b1d9470a-3e7b-4390-aa3f-fa1c128bd6bc</t>
  </si>
  <si>
    <t>bc34f21e-2c6f-4b94-821a-bf61b9952834</t>
  </si>
  <si>
    <t>error code 0x106000b is not supported</t>
  </si>
  <si>
    <t>2022-10-05T05:35:13.933000+00:00</t>
  </si>
  <si>
    <t>left_lane3326</t>
  </si>
  <si>
    <t>Robot rijdt richting gangpad, komt op gangpad maar gaat plots in error</t>
  </si>
  <si>
    <t>544130df-55e5-4d32-a744-209426967cdd</t>
  </si>
  <si>
    <t>2022-10-05T08:08:32.113000+00:00</t>
  </si>
  <si>
    <t>606e5355-770c-41d0-be02-fa0443c5a7ee</t>
  </si>
  <si>
    <t>2022-10-05T15:26:53.777000+00:00</t>
  </si>
  <si>
    <t>534786b5-2b4b-4877-b23c-a423d80e67ff</t>
  </si>
  <si>
    <t>468e88cf-3db8-4425-a027-634c6fc07a7d</t>
  </si>
  <si>
    <t>2022-10-05T18:50:13.563000+00:00</t>
  </si>
  <si>
    <t>Aangepast op 24/10</t>
  </si>
  <si>
    <t>50d1a2bc-7fe9-4912-8e4a-f9b07756fd00</t>
  </si>
  <si>
    <t>2022-10-05T20:38:26.059000+00:00</t>
  </si>
  <si>
    <t>left_block50_lane8</t>
  </si>
  <si>
    <t>3770afe2-fdd6-4530-85b7-d66b47fbf0a6</t>
  </si>
  <si>
    <t>2022-10-06T07:03:41.123000+00:00</t>
  </si>
  <si>
    <t>e139fb67-d5f9-4b8a-be91-25e4d4a99707</t>
  </si>
  <si>
    <t>2022-10-06T14:35:03.632000+00:00</t>
  </si>
  <si>
    <t>b0e22aae-b9e7-473d-a953-8cb34f99898f</t>
  </si>
  <si>
    <t>2022-10-06T18:55:00.586000+00:00</t>
  </si>
  <si>
    <t>7b3a7a36-41c5-482b-a236-28cbbe07b3d2</t>
  </si>
  <si>
    <t>2022-10-06T22:31:41.699000+00:00</t>
  </si>
  <si>
    <t>bc67652d-e53a-4f28-aafb-0c5b5c521f7d</t>
  </si>
  <si>
    <t>3a205900-9d60-492f-a4e2-4d7a92e8da93</t>
  </si>
  <si>
    <t>2022-10-07T18:51:38.597000+00:00</t>
  </si>
  <si>
    <t>right_block42_lane2</t>
  </si>
  <si>
    <t>Robot staat stil in gangpad, er is een operator erbij.</t>
  </si>
  <si>
    <t>e110b3b5-aaaa-43d5-b060-d48a35730524</t>
  </si>
  <si>
    <t>016ff554-1151-4352-87ce-943471aa3a16</t>
  </si>
  <si>
    <t>2022-10-07T19:40:53.329000+00:00</t>
  </si>
  <si>
    <t>Deze en volgende zijn hetzelfde?</t>
  </si>
  <si>
    <t>CHECK</t>
  </si>
  <si>
    <t>b811041a-9e83-4016-9ad9-a6bac78704ca</t>
  </si>
  <si>
    <t>FOUTE DATA</t>
  </si>
  <si>
    <t>Volgens mij klopt de error code hier niet , lijkt undervoltage</t>
  </si>
  <si>
    <t>c95fa8b2-1509-4754-9247-4a4406d0aa47</t>
  </si>
  <si>
    <t>2022-10-07T19:41:42.627000+00:00</t>
  </si>
  <si>
    <t>5820af8c-93fd-46e0-b31a-4cceb6b22103</t>
  </si>
  <si>
    <t>9ebc899f-47f0-469e-9202-06c79bde4eca</t>
  </si>
  <si>
    <t>2022-10-07T22:41:38.291000+00:00</t>
  </si>
  <si>
    <t>Robot doet laneswtich, 1 retry, lijkt goed te staan om verder te rijden op rails maar 'botst' tegen de rails en gaat in error</t>
  </si>
  <si>
    <t>Visie lijkt juist te werken, y = 0.03, theta=1.77deg, sommige metingen worden weggegooid door verkeerde visie parameters: max_rail_angle_diff, max_rail_width, min_rail_width</t>
  </si>
  <si>
    <t>2caec709-bb35-4b4a-b67d-dd1069a10fb1</t>
  </si>
  <si>
    <t>left_block35_lane8</t>
  </si>
  <si>
    <t>Robot rijdt richting einde van lane, botst tegen bijenkorf (!?) paar meter voor het einde gaat hij in error. Normale condities, naast palen.</t>
  </si>
  <si>
    <t>Did not receive 'eol_sensor' in time (timeout = 4.509 s) Het valt op hoe hard de robot van links naar rechts botst. Op seconde 23 botst de robot duidelijk ergens tegen. Dit zorgt er waarschijnlijk voor dat de positie schatting totaal de mist in gaat. Bijenkorf heeft het vermoedelijk niet overleefd. Muur is nog niet in beeld op het moment van de error.</t>
  </si>
  <si>
    <t>9871f540-0e10-4db0-90a6-1b23a7e4a5f2</t>
  </si>
  <si>
    <t>2b61740f-dd1f-4445-80c8-172e8083cf83</t>
  </si>
  <si>
    <t>2022-10-09T18:47:19.901000+00:00</t>
  </si>
  <si>
    <t>Robot klapt sideshift uit, keert terug richting lane, wanneer hij de rails wil oprijden gaat hij in error. Goten bewegen zichtbaar mee =&gt; sidehisft niet juist uitgeklapt?</t>
  </si>
  <si>
    <t>lijkt dat de sideshift ergens tegen zit</t>
  </si>
  <si>
    <t>aee96255-b497-4807-b942-50418b25cf85</t>
  </si>
  <si>
    <t>ab8780bc-ce77-4848-8a8b-7daf43850200</t>
  </si>
  <si>
    <t>2022-10-09T19:33:33.970000+00:00</t>
  </si>
  <si>
    <t>left_block42_lane4</t>
  </si>
  <si>
    <t>Robot botst tijdens laneswitch tegen 032 (die in error staat aan het startpunt van de lane)</t>
  </si>
  <si>
    <t>b792394c-21bb-409f-b558-9dfedebdbd96</t>
  </si>
  <si>
    <t>4b67dd29-c64d-447f-a85f-2c38d16ec755</t>
  </si>
  <si>
    <t>2022-10-10T18:38:30.043000+00:00</t>
  </si>
  <si>
    <t>right_block52_lane6</t>
  </si>
  <si>
    <t>Laneswitch over sectiewissel. Robot botst tegen infrastructuur. Vermoedelijk verkeerd opgetekend in kaart.</t>
  </si>
  <si>
    <t>e5e08d18-ddf8-408f-bdb2-11cb47bdf64d</t>
  </si>
  <si>
    <t>2022-10-11T14:17:49.160000+00:00</t>
  </si>
  <si>
    <t>f3a89935-4cdc-49f2-82ab-c85741f0e9ca</t>
  </si>
  <si>
    <t>320656ac-64c5-47e2-9724-9145c5b5a339</t>
  </si>
  <si>
    <t>2022-10-11T19:12:28.922000+00:00</t>
  </si>
  <si>
    <t>right_block43_lane4</t>
  </si>
  <si>
    <t>Robot rijdt richting einde lane, lijkt te reageren op visie-metingen door bruusk af te remmen en daarna traagjes door te rijden, maar gaat dan toch in error. Op het einde staan regentonnen.</t>
  </si>
  <si>
    <t>SensorMonitorStrategy: Did not receive 'eol_sensor' in time (timeout = 4.510 s) initiele error is dit. Er zijn een paar metingen en daarna niets meer. Ton wordt niet als muur gezien door ronde vorm.</t>
  </si>
  <si>
    <t>38965ea3-b5b6-441f-a81b-05dcc5a18d91</t>
  </si>
  <si>
    <t>2022-10-12T03:13:52.390000+00:00</t>
  </si>
  <si>
    <t>0f467601-5724-4b39-abf1-ccb1ce8f09cf</t>
  </si>
  <si>
    <t>2022-10-12T06:08:28.387000+00:00</t>
  </si>
  <si>
    <t>b04ed7de-3ed0-4a1d-ac22-346ceb4de9cb</t>
  </si>
  <si>
    <t>400518f3-604b-44d5-a3e9-cda36885e857</t>
  </si>
  <si>
    <t>2022-10-12T15:50:59.045000+00:00</t>
  </si>
  <si>
    <t>Joren ah testen, duwt bumper in</t>
  </si>
  <si>
    <t>c733f4ad-eabf-48b4-91c9-d660a5cbe20d</t>
  </si>
  <si>
    <t>0abd403c-4426-4a00-bcf2-bbf9b6a2c708</t>
  </si>
  <si>
    <t>2022-10-12T15:56:05.367000+00:00</t>
  </si>
  <si>
    <t>Robot staat in stockageplaats, gaat ineens in error</t>
  </si>
  <si>
    <t>e7d90e25-891b-4913-a378-aac4c311c7a6</t>
  </si>
  <si>
    <t>2022-10-12T16:04:41.554000+00:00</t>
  </si>
  <si>
    <t>9e2b16bc-e5fd-4b34-9a80-99dfdb4442d7</t>
  </si>
  <si>
    <t>db670c71-d21e-4af5-b8ca-05339e159783</t>
  </si>
  <si>
    <t>error code 0x1040104 is not supported</t>
  </si>
  <si>
    <t>2022-10-13T04:35:01.790000+00:00</t>
  </si>
  <si>
    <t>left_lane3482</t>
  </si>
  <si>
    <t>Robot rijdt richting gangpad, 4m voor het einde gaat hij in error. Normale condities</t>
  </si>
  <si>
    <t>visie doet geen metingen want nog te ver van het einde (trigger voor eol open metingen veel te vroeg) . Opvallend slechte eol wall metingen.</t>
  </si>
  <si>
    <t>fc0b4ef1-0c84-4f97-874d-12de5b84be6d</t>
  </si>
  <si>
    <t>ab0c51ce-5ba4-4020-b686-aed823e718f2</t>
  </si>
  <si>
    <t>2022-10-13T08:08:00.746000+00:00</t>
  </si>
  <si>
    <t>left_lane3310</t>
  </si>
  <si>
    <t>Er hangt een ketting in de weg</t>
  </si>
  <si>
    <t>581f0482-bfcc-4897-804b-ea113ccd51c6</t>
  </si>
  <si>
    <t>2022-10-13T10:27:58.104000+00:00</t>
  </si>
  <si>
    <t>6fbf32cc-d8e0-422a-9597-365319f578a2</t>
  </si>
  <si>
    <t>2022-10-13T11:26:44.173000+00:00</t>
  </si>
  <si>
    <t>9569620c-f72a-4d5a-b0a7-523021d292e3</t>
  </si>
  <si>
    <t>2022-10-13T11:31:30.499000+00:00</t>
  </si>
  <si>
    <t>a94bda7a-04d3-4bcf-8adc-6cdc069f6de6</t>
  </si>
  <si>
    <t>9ae7d229-4038-46ef-8b75-183d40c97d7f</t>
  </si>
  <si>
    <t>2022-10-13T11:33:24.612000+00:00</t>
  </si>
  <si>
    <t>No data received from cams:</t>
  </si>
  <si>
    <t>a0147324-949c-4180-ba80-2cd99d59303b</t>
  </si>
  <si>
    <t>2022-10-13T12:33:24.612000+00:00</t>
  </si>
  <si>
    <t>4036b344-3eff-4247-b426-61745f50dc85</t>
  </si>
  <si>
    <t>2022-10-13T15:59:31.937000+00:00</t>
  </si>
  <si>
    <t>f9014157-3292-448c-8387-9e511d98fc17</t>
  </si>
  <si>
    <t>5ebaff21-7608-4322-a60e-19a0cf187dd4</t>
  </si>
  <si>
    <t>2022-10-13T22:26:02.630000+00:00</t>
  </si>
  <si>
    <t>left_lane3300</t>
  </si>
  <si>
    <t>er komt 1 meting binnnen maar vermoedelijk net te laat, want de meting zou wel geldig geweest zijn. Waarom komt de robot plots zo slecht uit ?</t>
  </si>
  <si>
    <t>beec48ef-7d99-47d9-b056-af92e0ef4513</t>
  </si>
  <si>
    <t>2022-10-14T02:13:21.621000+00:00</t>
  </si>
  <si>
    <t>right_3133</t>
  </si>
  <si>
    <t>Robot schampt tegen PowerBEE op gangpad, slaagt er wel in verder te rijden maar komt volledig verkeerd uit, onderneemt paar retries, aligneert zich verkeerd, probeert toch door te rijden</t>
  </si>
  <si>
    <t>c5077365-933f-4253-9a0c-c596d1ff8b84</t>
  </si>
  <si>
    <t>2022-10-14T08:02:28.231000+00:00</t>
  </si>
  <si>
    <t>835afebe-4a4a-42a8-b11a-3c83e96cf7c5</t>
  </si>
  <si>
    <t>2022-10-14T08:05:35.535000+00:00</t>
  </si>
  <si>
    <t>6f311cff-24f0-4556-8d5e-b4b86e1e4f31</t>
  </si>
  <si>
    <t>2022-10-15T03:37:47.540000+00:00</t>
  </si>
  <si>
    <t>83358303-345d-41ef-8112-811a02eec778</t>
  </si>
  <si>
    <t>2022-10-15T04:37:47.540000+00:00</t>
  </si>
  <si>
    <t>Uur manueel ingevuld (+1 tov vorige treatment)</t>
  </si>
  <si>
    <t>da111275-cd35-4b68-92e2-6d771a516bbd</t>
  </si>
  <si>
    <t>5085e937-c963-4366-acc9-06996a3aa515</t>
  </si>
  <si>
    <t>error code 0x1010103 is not supported</t>
  </si>
  <si>
    <t>2022-10-15T04:46:16.405000+00:00</t>
  </si>
  <si>
    <t>right_3121</t>
  </si>
  <si>
    <t>Robot doet laneswtich, 1 retry, lijkt goed te staan om verder te rijden op rails maar staat 20sec stil en gaat in error</t>
  </si>
  <si>
    <t>GlobalPathPlanner: Did not recieve CALCULATED for path 0 in time =&gt; waarschijnlijk Lokale planner die geen traject vindt! (Meer feedback van LPP nodig!!!)
=&gt; parameter gpp_lpp_timeout staat hier lager (20s) ivm 024 (30s)</t>
  </si>
  <si>
    <t>gpp_lpp_timeout=30 (stond op 20)</t>
  </si>
  <si>
    <t>bd35226d-24fe-4dea-b45f-3566611ecf14</t>
  </si>
  <si>
    <t>2022-10-16T07:58:42.699000+00:00</t>
  </si>
  <si>
    <t>ea72000b-5ebc-4de5-af34-da156f78fbef</t>
  </si>
  <si>
    <t>2022-10-16T08:09:20.692000+00:00</t>
  </si>
  <si>
    <t>58e909ee-c262-482a-8ce2-082e78094526</t>
  </si>
  <si>
    <t>2022-10-16T09:02:07.293000+00:00</t>
  </si>
  <si>
    <t>1ec79e63-9686-4adc-b045-f400ee2d4267</t>
  </si>
  <si>
    <t>7eb097a4-1dce-4744-8c62-d3687e8c0968</t>
  </si>
  <si>
    <t>2022-10-16T19:52:07.792000+00:00</t>
  </si>
  <si>
    <t>left_lane3440</t>
  </si>
  <si>
    <t>Er lijkt weer 1 meting net te laat zijn binnengekomen. het valt ook op dat EOL wall ameestal vrij bedenkelijk is</t>
  </si>
  <si>
    <t>b78cb23d-1555-4473-ad6f-7edc8ae101c8</t>
  </si>
  <si>
    <t>9469e056-a953-4cda-9cb3-b16d85beab54</t>
  </si>
  <si>
    <t>2022-10-17T03:23:37.192000+00:00</t>
  </si>
  <si>
    <t>Robot rijdt 2m in en uit lane (reflecterende muur), doet laneswitch en botst ah einde tegen powerBEE</t>
  </si>
  <si>
    <t>7092be2d-b1da-47a8-ab63-889a7926f68f</t>
  </si>
  <si>
    <t>2022-10-17T05:03:14.328000+00:00</t>
  </si>
  <si>
    <t>geen metingen. Te vroeg aan en terug uit gezet ? ja</t>
  </si>
  <si>
    <t>7f1d31ee-08c1-4910-b834-1d038d4427e7</t>
  </si>
  <si>
    <t>2022-10-17T18:30:38.304000+00:00</t>
  </si>
  <si>
    <t>a33422de-387c-4c8a-a073-1ff9c6d351a8</t>
  </si>
  <si>
    <t>675b5275-1a90-4a30-8ba7-96c1e7fa0bfd</t>
  </si>
  <si>
    <t>2022-10-17T18:45:46.547000+00:00</t>
  </si>
  <si>
    <t>right_block40_lane5</t>
  </si>
  <si>
    <t>Bedenkelijke metingen. Verkeerde visie parameters, misschien ook calibratie herbekijken?
Secondary xtheta regio invoeren!</t>
  </si>
  <si>
    <t>e5df05bc-5b91-4f35-baa1-d66a04e28287</t>
  </si>
  <si>
    <t>2022-10-18T02:17:11.824000+00:00</t>
  </si>
  <si>
    <t>05c3f48e-f8b4-45a2-a647-00802c4044e2</t>
  </si>
  <si>
    <t>2022-10-18T06:23:33.702000+00:00</t>
  </si>
  <si>
    <t>b3b05081-ebd8-457c-81f1-8f52bd38a006</t>
  </si>
  <si>
    <t>7339a748-d0a7-40a9-b7ca-d2f1695dc5bd</t>
  </si>
  <si>
    <t>2022-10-19T20:00:31.234000+00:00</t>
  </si>
  <si>
    <t>right_block30_lane3</t>
  </si>
  <si>
    <t>Robot rijdt richting einde van de lane, lijkt niet te reageren op visie metingen en gaat in error. Op het einde staan regentonnen.</t>
  </si>
  <si>
    <t>Er is 1 meting die ook wordt meegenomen, daarna niets meer. Problemen met glanzende ton ? Ton is rond en dus geen metingen. Op het einde wel enkele metingen.</t>
  </si>
  <si>
    <t>Pixel count op 15 voor EOL wall</t>
  </si>
  <si>
    <t>e0d13d3c-ec62-40f1-94b8-a108c28ef435</t>
  </si>
  <si>
    <t>23fc0f28-2eb7-43ee-ab3f-65cd4b7be91e</t>
  </si>
  <si>
    <t>2022-10-19T20:04:18.708000+00:00</t>
  </si>
  <si>
    <t>right_3281</t>
  </si>
  <si>
    <t>lumionRight-all</t>
  </si>
  <si>
    <t>Robot rijdt richting gangpad, ongeveer 4m voor het einde gaat hij in error. Normale condities, met emmer aan de goot links van de robot.</t>
  </si>
  <si>
    <t>Geen perfecte EOL wall convergentie. Ongeveer 20cm fout. Zou geen probleem mogen zijn aan open kant. geen metingen gemaakt;</t>
  </si>
  <si>
    <t>start_eol_open=0.5 (ipv 2.0).       NIET robot 024</t>
  </si>
  <si>
    <t>a8f6fc74-4c8a-4a85-8263-c3c4db4b9b15</t>
  </si>
  <si>
    <t>2022-10-20T00:17:45.827000+00:00</t>
  </si>
  <si>
    <t>9b07722e-f6e8-4966-8dde-5bf39e62e1b9</t>
  </si>
  <si>
    <t>2022-10-20T04:47:55.310000+00:00</t>
  </si>
  <si>
    <t>LumionFix 040</t>
  </si>
  <si>
    <t>0134f289-1bef-4453-a781-1190ee89629e</t>
  </si>
  <si>
    <t>2022-10-20T11:50:44.510000+00:00</t>
  </si>
  <si>
    <t>s4_b3_l2</t>
  </si>
  <si>
    <t>14</t>
  </si>
  <si>
    <t>recovery is not enabled</t>
  </si>
  <si>
    <t>2022-10-20T12:00:38.314000+00:00</t>
  </si>
  <si>
    <t>s3_b10_l5</t>
  </si>
  <si>
    <t>80ea2ee3-4f64-47e0-a529-8431a3054236</t>
  </si>
  <si>
    <t>2022-10-20T12:13:02.769000+00:00</t>
  </si>
  <si>
    <t>292ab302-a28c-450c-a81e-b9150511c384</t>
  </si>
  <si>
    <t>fd927407-10fa-41f2-8935-6a0a2f812689</t>
  </si>
  <si>
    <t>2022-10-20T12:35:01.053000+00:00</t>
  </si>
  <si>
    <t>s4_b10_l5</t>
  </si>
  <si>
    <t>2022-10-20T13:48:53.736000+00:00</t>
  </si>
  <si>
    <t>27fef58f-190d-4570-b5ae-9b0a3e2f4a7e</t>
  </si>
  <si>
    <t>2022-10-20T13:58:54.439000+00:00</t>
  </si>
  <si>
    <t>e24bd7ff-4c2e-49d0-a62e-42cba1db2a58</t>
  </si>
  <si>
    <t>2022-10-20T14:08:05.280000+00:00</t>
  </si>
  <si>
    <t>cd1ea189-7590-4acd-a8cc-d278f5654a0a</t>
  </si>
  <si>
    <t>b6fa36f4-13d6-4839-8c61-e984c34c5a41</t>
  </si>
  <si>
    <t>2022-10-20T15:39:03.585000+00:00</t>
  </si>
  <si>
    <t>s4_b8_l2</t>
  </si>
  <si>
    <t>2022-10-20T15:51:58.032000+00:00</t>
  </si>
  <si>
    <t>s4_b2_l3</t>
  </si>
  <si>
    <t>2022-10-20T16:00:11.762000+00:00</t>
  </si>
  <si>
    <t>s4_b2_l2</t>
  </si>
  <si>
    <t>06a3d90d-0533-4761-884a-cd9b1f6ad923</t>
  </si>
  <si>
    <t>58bc63e2-2b34-449b-b137-7ed2af600a82</t>
  </si>
  <si>
    <t>2022-10-20T16:13:30.416000+00:00</t>
  </si>
  <si>
    <t>right_3011</t>
  </si>
  <si>
    <t>Robot rijdt richting einde lane, reageert op visiemetingen maar blijft lang doorrijden. Vermoedelijk bumper getriggered door infrastructuur. Normale condities</t>
  </si>
  <si>
    <t>Geen perfecte convergentie in EOL wall, maar ook niet dramatisch ... Zou normaal niet tegen de muur mogen zijn gereden.
Fout id kaart? deze specifieke lane iets korter tekenen</t>
  </si>
  <si>
    <t>63ed5f44-4dfe-4949-bd4c-11022a7ac373</t>
  </si>
  <si>
    <t>2022-10-20T19:34:02.505000+00:00</t>
  </si>
  <si>
    <t>03577b40-4659-4ca3-a6df-2905c5108ce6</t>
  </si>
  <si>
    <t>2022-10-20T23:55:27.589000+00:00</t>
  </si>
  <si>
    <t>a7027c69-f680-4888-a1f6-f848b182e898</t>
  </si>
  <si>
    <t>2022-10-21T01:26:51.313000+00:00</t>
  </si>
  <si>
    <t>8b3732cf-9a30-40de-8b3e-d61d6ca9271d</t>
  </si>
  <si>
    <t>2022-10-21T07:57:34.530000+00:00</t>
  </si>
  <si>
    <t>6aab5cb1-c251-4f24-ae66-3198e75e308d</t>
  </si>
  <si>
    <t>2022-10-21T08:02:20.524000+00:00</t>
  </si>
  <si>
    <t>0577d958-bc63-4ddf-aa3a-2e51bab17a0d</t>
  </si>
  <si>
    <t>2022-10-21T08:22:19.141000+00:00</t>
  </si>
  <si>
    <t>51e2316d-446c-42c4-a4b0-9f044ad59a27</t>
  </si>
  <si>
    <t>2eb09fcd-1632-4678-88f5-0af050852d95</t>
  </si>
  <si>
    <t>2022-10-21T20:58:12.420000+00:00</t>
  </si>
  <si>
    <t>Robot doet laneswitch, 1 retry, lijkt goed te staan, wil verder rijden maar 'botst' tegen kop van de rails. DB time: 21u48</t>
  </si>
  <si>
    <t>xtheta metingen lijken beetje raar tijdens retry, maar niet erg dramatisch. Wel insconsistentie ontdekt. Wittenberg kaart 43 heeft secondarty xtheta regions. Andere wittenberg kaart en dyson lijken dit niet te hebben.</t>
  </si>
  <si>
    <t>a5f30d44-33eb-462a-905f-c9d48d09b403</t>
  </si>
  <si>
    <t>2022-10-21T20:58:46.805000+00:00</t>
  </si>
  <si>
    <t>MINUUT -1 om logischer in lijst te staan. Operator programmeert (met hond) de robot, wanneer die wil vertrekken 'botst' hij onmiddelijk tegen de rails en gaat in error. DB tim: 22u58</t>
  </si>
  <si>
    <t>066fee2c-658c-475e-a0a6-d356ffdd55c0</t>
  </si>
  <si>
    <t>2022-10-21T20:59:46.736000+00:00</t>
  </si>
  <si>
    <t>Operator rijdt robot manueel stukje terug naar voren, programmeert robot, wanneer deze wil vertrekken 'botst' hij weer tegen de rails. DB time: 23u00</t>
  </si>
  <si>
    <t>2022-10-22T02:08:45.363000+00:00</t>
  </si>
  <si>
    <t>d5e4c7f7-edb0-4d0e-a5ad-ece6fa5c6428</t>
  </si>
  <si>
    <t>2022-10-22T16:26:59.100000+00:00</t>
  </si>
  <si>
    <t>a3341f36-ee94-428f-bc92-06499856a539</t>
  </si>
  <si>
    <t>42c900de-a7bb-4b12-905f-619d93733d96</t>
  </si>
  <si>
    <t>2022-10-22T19:33:07.617000+00:00</t>
  </si>
  <si>
    <t>Robot botst tijdens laneswitch tegen emmer, die waarschijnlijk klem geraakt met de rails en bumper triggert</t>
  </si>
  <si>
    <t>3ab5794a-9506-4f7f-ab21-f5bfa1b9c90a</t>
  </si>
  <si>
    <t>f405ab6d-d2c0-4dd2-b36c-4e023193ec3b</t>
  </si>
  <si>
    <t>2022-10-22T20:41:01.613000+00:00</t>
  </si>
  <si>
    <t>Robot botst in gangpad tegen 024, die in error staat</t>
  </si>
  <si>
    <t>00528254-b30c-4976-993c-b4b5580864de</t>
  </si>
  <si>
    <t>2022-10-23T07:42:22.056000+00:00</t>
  </si>
  <si>
    <t>2aca7e91-037d-4d7e-b642-240bec0f0394</t>
  </si>
  <si>
    <t>2022-10-23T11:49:00.623000+00:00</t>
  </si>
  <si>
    <t>a9f110cc-5445-4dbe-86a6-6354f27de516</t>
  </si>
  <si>
    <t>f6e546ca-4dbd-40b6-a9f4-44821fc804a3</t>
  </si>
  <si>
    <t>2022-10-23T20:39:20.438000+00:00</t>
  </si>
  <si>
    <t>right_3169</t>
  </si>
  <si>
    <t>Robot botst tegen ketting van swingsysteem, zowel ah eidne van laneswitch als wanneer hij in de rij wil rijden (tussendoor 1 retry). Wel vreemd: een seconde eerder had robot 0x0104001 (diverged too far...) getriggered...</t>
  </si>
  <si>
    <t>race conditie in errors =&gt; opgelost bij sw 5.3</t>
  </si>
  <si>
    <t>9e49965d-995d-4b1b-9944-5f34ce6b2152</t>
  </si>
  <si>
    <t>29eff969-d82d-48b3-b6d8-b9fceb2a125c</t>
  </si>
  <si>
    <t>2022-10-24T01:40:58.465000+00:00</t>
  </si>
  <si>
    <t>right_3175</t>
  </si>
  <si>
    <t>Robot botst tijdens laneswitch tegen 024 die in error staat</t>
  </si>
  <si>
    <t>330703f6-266d-4806-9966-d681806e1219</t>
  </si>
  <si>
    <t>cc6ab46e-75a9-419a-b4b9-2aa3946d94c3</t>
  </si>
  <si>
    <t>2022-10-24T21:35:09.029000+00:00</t>
  </si>
  <si>
    <t>right_block46_lane7</t>
  </si>
  <si>
    <t>Robot rijdt richting wall, remt rustig af, gaat in error. Normale condities</t>
  </si>
  <si>
    <t>De EOL wall is super clean. Het is niet duidelijk waar de robot net tegen rijdt omdat je het niet echt kan zien. Vermoedelijk tegen de metalen "stop" op de linker rail, maar het zou ook nog de dunne metalen buis kunnen zijn die aan de rail is bevestigd. Mogelijke oplossing is de afstand tussen muur en lane vergroten in inkscape</t>
  </si>
  <si>
    <t>1ec49981-05f5-4791-a2f8-c534a819d819</t>
  </si>
  <si>
    <t>2022-10-25T01:25:32.393000+00:00</t>
  </si>
  <si>
    <t>51070668-1e22-4675-9071-991e03e17417</t>
  </si>
  <si>
    <t>2022-10-25T02:27:22.510000+00:00</t>
  </si>
  <si>
    <t>a5bf87c2-df76-4323-9e5c-c52a951fbce1</t>
  </si>
  <si>
    <t>2022-10-25T14:55:55.331000+00:00</t>
  </si>
  <si>
    <t>s4_b2_l6</t>
  </si>
  <si>
    <t>2022-10-25T14:59:22.016000+00:00</t>
  </si>
  <si>
    <t>b0f0f8dc-74ca-4964-a930-8e42d03bf030</t>
  </si>
  <si>
    <t>2022-10-25T15:01:42.391000+00:00</t>
  </si>
  <si>
    <t>s4_b2_l5</t>
  </si>
  <si>
    <t>c366891f-15df-4ef0-acbf-b578166b2179</t>
  </si>
  <si>
    <t>71fa317c-24e1-48e1-a49d-832834ba28b0</t>
  </si>
  <si>
    <t>2022-10-25T15:13:27.266000+00:00</t>
  </si>
  <si>
    <t>s4_b3_l1</t>
  </si>
  <si>
    <t>5bf8d7c7-2610-447b-9d1d-4ac6f60fdbf5</t>
  </si>
  <si>
    <t>2022-10-25T16:01:44.732000+00:00</t>
  </si>
  <si>
    <t>44a73250-2efc-4ebe-b6ae-d753fb3d72e5</t>
  </si>
  <si>
    <t>3b888e16-3363-4b7b-85d6-acdf0403e2cf</t>
  </si>
  <si>
    <t>2022-10-25T16:52:02.769000+00:00</t>
  </si>
  <si>
    <t>s4_b5_l2</t>
  </si>
  <si>
    <t>1642a9c9-a3dc-43fa-bbc3-d41efb0e8477</t>
  </si>
  <si>
    <t>2022-10-25T17:05:49.382000+00:00</t>
  </si>
  <si>
    <t>TIMING verkeerd! (1uur verschil tov volgende genomen)</t>
  </si>
  <si>
    <t>30ef5f88-cb85-4e36-b6dc-52d9e5d9013c</t>
  </si>
  <si>
    <t>43bbfaf2-4a18-4eea-8886-b8cc3cc2a051</t>
  </si>
  <si>
    <t>2022-10-25T17:30:16.838000+00:00</t>
  </si>
  <si>
    <t>right_3491</t>
  </si>
  <si>
    <t>Robot staat in wacht-toestand, gaat in error.</t>
  </si>
  <si>
    <t>No data received from all cams. Is the camera node running?</t>
  </si>
  <si>
    <t>e99ad4d5-fdcf-4be6-9a5c-3518b5231464</t>
  </si>
  <si>
    <t>d7beb962-3464-4cfa-aff3-8f9af4cff5d5</t>
  </si>
  <si>
    <t>2022-10-25T18:05:49.382000+00:00</t>
  </si>
  <si>
    <t>Robot nadert wall, stopt +/-4m voor einde, gaat in error</t>
  </si>
  <si>
    <t>OAG1XENLUM2204023.docx</t>
  </si>
  <si>
    <t>Metingen komen net te laat binnen en zijn op de grens van de anomalie detectie. Mogelijke oplossingen: vergroot timeout en anomalie detectie een beetje, geen timeout en ga ervanuit dat je altijd wel metingen zal hebben (risky ?), gebruik een "distance-out" ipv time-out zodat je anomalie en timeout beter kunt afstemmen.</t>
  </si>
  <si>
    <t>timeout afhankelijk van snelheid. TODO: verander time-out naar distance-out. Tijdelijk: timeout verhogen zodat deze er niet meer toe doet. Evt anomaly detectie ook beetje hoger zetten</t>
  </si>
  <si>
    <t>1a90c596-ea19-409c-8c74-968afc080608</t>
  </si>
  <si>
    <t>2022-10-26T04:48:02.142000+00:00</t>
  </si>
  <si>
    <t>46f18c8b-3fdb-40a4-8869-83af0cdfd5df</t>
  </si>
  <si>
    <t>9c671ae5-b7b8-49cd-93ea-0ff3fc773ae2</t>
  </si>
  <si>
    <t>2022-10-26T04:57:49.183000+00:00</t>
  </si>
  <si>
    <t>Operator rijdt voorbij robot, gaat in error.</t>
  </si>
  <si>
    <t xml:space="preserve">No data received from cams: </t>
  </si>
  <si>
    <t>75e77b9b-d3c3-4502-8946-83d1e7bc49bb</t>
  </si>
  <si>
    <t>b6b843dc-35fe-4890-820f-7b6dd2aab88e</t>
  </si>
  <si>
    <t>2022-10-26T05:01:25.417000+00:00</t>
  </si>
  <si>
    <t>right_3477</t>
  </si>
  <si>
    <t>Robot staat stil, gaat in error</t>
  </si>
  <si>
    <t>e6120b46-ac58-468b-bab3-991aefd26ce9</t>
  </si>
  <si>
    <t>2022-10-26T05:17:35.075000+00:00</t>
  </si>
  <si>
    <t>4620d037-462c-4779-a2bb-d808c075f27c</t>
  </si>
  <si>
    <t>47bc4d62-c287-4db0-834e-5a59e76d2d28</t>
  </si>
  <si>
    <t>2022-10-26T16:30:11.771000+00:00</t>
  </si>
  <si>
    <t>left_lane3430</t>
  </si>
  <si>
    <t>20221028.docx</t>
  </si>
  <si>
    <t>Metingen komen net te laat binnen en wijken ook net meer dan 3m af. Er is niet meteen bewijs voor significante slip, onduidelijk waarom geschatte positie zo slecht is.
combinatie: EOL wall regio verder opschuiven (langer wachten voordat algoritme aanschakelt), visie van verder laten kijken, timeout vergroten (maar holt functionaliteit uit)</t>
  </si>
  <si>
    <t>a6e5df20-daae-48e9-b4e6-5f48ff5bbcc3</t>
  </si>
  <si>
    <t>2022-10-26T19:52:15.496000+00:00</t>
  </si>
  <si>
    <t>9fe81678-2f91-4562-84e4-0091d0a9d39b</t>
  </si>
  <si>
    <t>2022-10-27T05:27:10.072000+00:00</t>
  </si>
  <si>
    <t>e15c43a2-ed38-42d5-97c8-6e16a858b632</t>
  </si>
  <si>
    <t>9b9e7e61-05f7-4c43-b13a-7bc359aa676d</t>
  </si>
  <si>
    <t>2022-10-27T06:46:20.850000+00:00</t>
  </si>
  <si>
    <t>Robot rijdt richting wall, stopt +/-15-20m voor het einde. Normale condities. Tijdje geslipt tegen kop van rails?</t>
  </si>
  <si>
    <t>slip vermoeden klopt!</t>
  </si>
  <si>
    <t>354dc72b-63a1-4b32-ba18-d7c08d614e78</t>
  </si>
  <si>
    <t>680809e9-2312-4321-80b3-9adf45f71e67</t>
  </si>
  <si>
    <t>2022-10-28T22:00:56.530000+00:00</t>
  </si>
  <si>
    <t>left_block43_lane3</t>
  </si>
  <si>
    <t>Robot rijdt naar einde van lane, vertraagt, gaat in error. Regentonnen aan einde van lane.</t>
  </si>
  <si>
    <t>gekend regenton probleem. Pas min_pxl_cnt aan</t>
  </si>
  <si>
    <t>c513f95e-e1a7-4609-8268-4f6c70b6f206</t>
  </si>
  <si>
    <t>69500654-b65a-4e21-81f1-35f5968c79f0</t>
  </si>
  <si>
    <t>2022-10-29T01:07:45.631000+00:00</t>
  </si>
  <si>
    <t>left_block11_lane5</t>
  </si>
  <si>
    <t>Robot botst tegen paaltjef ah begin van de lane, vlak na laneswitch</t>
  </si>
  <si>
    <t>2d85f2c0-c53a-415c-989e-8df8b412d0df</t>
  </si>
  <si>
    <t>daaae932-7e41-40ed-947b-0a24729cccd1</t>
  </si>
  <si>
    <t>2022-10-29T02:08:45.658000+00:00</t>
  </si>
  <si>
    <t>Robot botst tegen ketting van het swingsysteem</t>
  </si>
  <si>
    <t>1c01cadf-6289-4358-9bca-ca0ddfc879b3</t>
  </si>
  <si>
    <t>2022-10-29T03:07:35.489000+00:00</t>
  </si>
  <si>
    <t>71e98731-cabb-43e7-9039-1d49bf374431</t>
  </si>
  <si>
    <t>2022-10-29T03:39:29.978000+00:00</t>
  </si>
  <si>
    <t>right_3167</t>
  </si>
  <si>
    <t>(Robot lijkt na vorige error toch automatisch te zijn herstart!?) 
Robot rijdt voor en achteruit op midden van gangpad, lijkt telkens te botsen tegen muur maar bumper wordt pas na x aantal keren getriggered. 1 van de (vorige?) lanes heeft wel een ketting hangen tussen de goten</t>
  </si>
  <si>
    <t>vreemd</t>
  </si>
  <si>
    <t>????</t>
  </si>
  <si>
    <t>8e5af9df-466c-4e37-a084-a7696eb24768</t>
  </si>
  <si>
    <t>fde67c23-33fc-4328-b9f2-bcf387faebcc</t>
  </si>
  <si>
    <t>2022-10-29T04:46:22.378000+00:00</t>
  </si>
  <si>
    <t>operator stelt robot in, robot vertrekt, rijdt 10m, gaat in error.
Eerste error dei getriggered wordt: 0x1040102!?</t>
  </si>
  <si>
    <t>hetzelfde</t>
  </si>
  <si>
    <t>ab4c6131-88fc-4577-be3c-409454b5406d</t>
  </si>
  <si>
    <t>2022-10-29T04:53:52.523000+00:00</t>
  </si>
  <si>
    <t>111e74b1-f3f4-436e-b4f5-2367e0b67b33</t>
  </si>
  <si>
    <t>2022-10-29T08:59:05.166000+00:00</t>
  </si>
  <si>
    <t>95e34354-8879-465e-99d4-89fd96e4eb83</t>
  </si>
  <si>
    <t>c9d97824-2c4a-4378-8085-d8e471919fad</t>
  </si>
  <si>
    <t>2022-10-29T21:44:46.362000+00:00</t>
  </si>
  <si>
    <t>Robot nadert einde van de lane, gaat in error +/- 6m voor het einde.</t>
  </si>
  <si>
    <t>OAG1XENLUM2204024</t>
  </si>
  <si>
    <t>Niet duidelijk waarom robot zo slecht uitkomt. Mogelijke oplossingen: vergroot timeout en anomalie detectie een beetje, geen timeout en ga ervanuit dat je altijd wel metingen zal hebben (risky ?), gebruik een "distance-out" ipv time-out zodat je anomalie en timeout beter kunt afstemmen.</t>
  </si>
  <si>
    <t>420bb44d-f2e2-49f6-aff0-4d61f627c276</t>
  </si>
  <si>
    <t>2022-10-30T11:13:01.728000+00:00</t>
  </si>
  <si>
    <t>ae0e17ee-71e4-45af-9425-3c023f4728bc</t>
  </si>
  <si>
    <t>f528b872-d2ef-491b-a1d1-718aea690a2a</t>
  </si>
  <si>
    <t>2022-10-30T22:54:42.510000+00:00</t>
  </si>
  <si>
    <t>left_lane3332</t>
  </si>
  <si>
    <t>Robot nadert einde van de lane, gaat in error +/- 4m voor het einde. 
Eerste error die getriggered wordt: 0x1040103!?</t>
  </si>
  <si>
    <t>7d646e65-3051-4133-9ce4-42bc307ebd8b</t>
  </si>
  <si>
    <t>2022-10-31T07:44:18.695000+00:00</t>
  </si>
  <si>
    <t>5aebb854-3aa0-4ad9-bdd9-2c73f0effa46</t>
  </si>
  <si>
    <t>2022-11-01T16:27:41.343000+00:00</t>
  </si>
  <si>
    <t>381dad2b-e07c-46d0-b1bf-cb246984975e</t>
  </si>
  <si>
    <t>2022-11-01T22:16:43.810000+00:00</t>
  </si>
  <si>
    <t>650a59b9-4b8f-4293-a422-d26642a1da6d</t>
  </si>
  <si>
    <t>c6fd2dc4-1f99-46c3-8b04-973676e2599c</t>
  </si>
  <si>
    <t>2022-11-01T23:11:50.246000+00:00</t>
  </si>
  <si>
    <t>left_lane3402</t>
  </si>
  <si>
    <t>slijpschijfbug: robot duwt tegen rails, geraakt er toch op, gaat halverwege in error.</t>
  </si>
  <si>
    <t>62a634e4-4f8a-431f-b648-cf2fad82502d</t>
  </si>
  <si>
    <t>2022-11-02T06:16:21.752000+00:00</t>
  </si>
  <si>
    <t>99ed2c93-4b8c-467f-a4f1-e4165a3bd66c</t>
  </si>
  <si>
    <t>2022-11-02T06:39:08.840000+00:00</t>
  </si>
  <si>
    <t>171f59ec-0feb-456e-a5fa-b6b0eb7939ca</t>
  </si>
  <si>
    <t>7074f801-fd93-4846-bde8-fbce7eba7523</t>
  </si>
  <si>
    <t>2022-11-02T21:31:55.752000+00:00</t>
  </si>
  <si>
    <t>Bot rijdt richting einde van lane, vertraagt, gaat in error.</t>
  </si>
  <si>
    <t>Op deze beelden is het iets duidelijker waar de robot waarschijnlijk tegen botst, namelijk de metalen "stop" op de linker rail.</t>
  </si>
  <si>
    <t>b204375b-c1e4-461f-80fb-fe1863dbba1a</t>
  </si>
  <si>
    <t>2022-11-02T22:25:25.572000+00:00</t>
  </si>
  <si>
    <t>NO DATA?</t>
  </si>
  <si>
    <t>f61c5ddd-bd71-4510-8731-2b1ed82dfe9e</t>
  </si>
  <si>
    <t>2022-11-03T08:43:12.137000+00:00</t>
  </si>
  <si>
    <t>bc58300d-0cef-479e-a919-f0948cbc7309</t>
  </si>
  <si>
    <t>2022-11-03T10:41:05.784000+00:00</t>
  </si>
  <si>
    <t>eb65e2ae-8035-4a6f-ac0e-62dd91f3b95a</t>
  </si>
  <si>
    <t>2022-11-03T10:51:42.506000+00:00</t>
  </si>
  <si>
    <t>71eceb01-02b8-47f8-915f-df74e79402d8</t>
  </si>
  <si>
    <t>2022-11-03T10:58:36.983000+00:00</t>
  </si>
  <si>
    <t>ffc86371-d0d9-4b8c-a8b2-e8793b82e145</t>
  </si>
  <si>
    <t>2022-11-03T11:08:05.485000+00:00</t>
  </si>
  <si>
    <t>s4_b10_l1</t>
  </si>
  <si>
    <t>1a3d0b79-a564-47c5-b5b6-a6436aeee910</t>
  </si>
  <si>
    <t>2022-11-03T17:41:51.806000+00:00</t>
  </si>
  <si>
    <t>4e0617ca-bf55-420e-a028-ea0976e01d17</t>
  </si>
  <si>
    <t>ce8b2e37-081c-4149-96e5-2a84e258dea8</t>
  </si>
  <si>
    <t>2022-11-03T21:40:01.147000+00:00</t>
  </si>
  <si>
    <t>Robot rijdt richting einde van lane, vertraagt, lijkt iets te raken en gaat in error.</t>
  </si>
  <si>
    <t>95c7f3f1-5958-4179-90f8-11b1d78fbe40</t>
  </si>
  <si>
    <t>2022-11-03T22:25:18.407000+00:00</t>
  </si>
  <si>
    <t>left_block46_lane5</t>
  </si>
  <si>
    <t>e1d323cf-85ac-4e69-96fb-a8da8476cbc3</t>
  </si>
  <si>
    <t>fc254947-510b-43fc-9ba2-3f368fc09f2c</t>
  </si>
  <si>
    <t>2022-11-05T04:36:08.699000+00:00</t>
  </si>
  <si>
    <t>left_block39_lane7</t>
  </si>
  <si>
    <t>Robot rijdt lane uit, klapt SS in/uit, doet 1 retry, wil verder rijden op de rails maar valt er af!? Goten zwieren mee</t>
  </si>
  <si>
    <t>46ede687-f130-4895-b70e-6d71a4465424</t>
  </si>
  <si>
    <t>2022-11-05T14:45:10.712000+00:00</t>
  </si>
  <si>
    <t>d5223f81-9467-4359-9f0a-c8691bd24b47</t>
  </si>
  <si>
    <t>2022-11-05T16:20:12.637000+00:00</t>
  </si>
  <si>
    <t>WRONG DATA</t>
  </si>
  <si>
    <t>77d97b75-47a2-4571-8879-bfd112ce5915</t>
  </si>
  <si>
    <t>4239e2f3-d57d-4bd2-8279-5fc5ef3174cd</t>
  </si>
  <si>
    <t>2022-11-05T22:28:51.686000+00:00</t>
  </si>
  <si>
    <t>left_block7_lane5</t>
  </si>
  <si>
    <t>Robot botst tegen emmer</t>
  </si>
  <si>
    <t>fc12c2ed-bcf0-4d12-87bb-09ad07cc658a</t>
  </si>
  <si>
    <t>5f476098-2196-4401-a678-6fc95a5012b9</t>
  </si>
  <si>
    <t>2022-11-06T00:55:04.860000+00:00</t>
  </si>
  <si>
    <t>7ed7c8eb-c866-4981-9dbf-d83701edf3f3</t>
  </si>
  <si>
    <t>2022-11-06T17:05:15.372000+00:00</t>
  </si>
  <si>
    <t>074bdc11-5453-4a93-af9a-ee493d759dae</t>
  </si>
  <si>
    <t>2022-11-06T18:28:15.533000+00:00</t>
  </si>
  <si>
    <t>f9dbc27c-e71d-4313-90ef-f0326fbdecb9</t>
  </si>
  <si>
    <t>2022-11-07T01:08:24.699000+00:00</t>
  </si>
  <si>
    <t>f07a0147-35fe-4047-8bc6-eead9adb9d8d</t>
  </si>
  <si>
    <t>142cfe6f-c2ff-480e-ac6d-c7f93739f816</t>
  </si>
  <si>
    <t>2022-11-07T01:24:55.145000+00:00</t>
  </si>
  <si>
    <t>right_block39_lane7</t>
  </si>
  <si>
    <t>Robot rijdt lane uit, klapt SS uit, doet 1 retry, wil verder rijden op de rails maar valt er af/botst met SS + Goten zwieren mee</t>
  </si>
  <si>
    <t>b10ea019-ca2a-4bf5-a62f-5221653387d6</t>
  </si>
  <si>
    <t>2022-11-07T16:45:59.837000+00:00</t>
  </si>
  <si>
    <t>8455af76-4026-413f-b4c1-cd3c3e543f59</t>
  </si>
  <si>
    <t>2022-11-08T02:19:35.334000+00:00</t>
  </si>
  <si>
    <t>a4775c12-e19e-47e7-b416-a7ab8c9dfd9f</t>
  </si>
  <si>
    <t>2022-11-08T09:06:58.101000+00:00</t>
  </si>
  <si>
    <t>83eb394a-6363-43de-b498-045107db4137</t>
  </si>
  <si>
    <t>2022-11-08T11:01:36.727000+00:00</t>
  </si>
  <si>
    <t>2c5c5e09-53a7-467b-8988-6404dd70d373</t>
  </si>
  <si>
    <t>2022-11-08T11:35:23.722000+00:00</t>
  </si>
  <si>
    <t>2c85e66b-e59a-461e-91ff-98fefc45be84</t>
  </si>
  <si>
    <t>2022-11-08T12:16:30.720000+00:00</t>
  </si>
  <si>
    <t>ba023877-727a-4db2-a6af-742664337034</t>
  </si>
  <si>
    <t>05ea1acb-26b1-4496-84a1-22868e7a256f</t>
  </si>
  <si>
    <t>2022-11-08T17:42:53.099000+00:00</t>
  </si>
  <si>
    <t>left_lane3206</t>
  </si>
  <si>
    <t xml:space="preserve">Robot rijdt lane uit, valt ineens stil op moment hij van de rails rijdt. In de logs:
ErrorHandlerComponent: component connected to error_in_1 changed error code from 0 to 9
</t>
  </si>
  <si>
    <t>bb65e631-6b8a-46da-83b4-8f8ff05f22c2</t>
  </si>
  <si>
    <t>2022-11-08T21:50:40.548000+00:00</t>
  </si>
  <si>
    <t>65ad50d3-bfff-454c-9221-fd55b07a8941</t>
  </si>
  <si>
    <t>2022-11-08T23:40:40.709000+00:00</t>
  </si>
  <si>
    <t>d0f03235-2404-4e42-b817-72e97eb3c098</t>
  </si>
  <si>
    <t>2022-11-09T01:19:16.292000+00:00</t>
  </si>
  <si>
    <t>e3bc42c9-81d4-4a55-99a7-97b2b4105cb9</t>
  </si>
  <si>
    <t>2022-11-09T13:11:57.179000+00:00</t>
  </si>
  <si>
    <t>3096c2f6-915e-4b04-82d5-520bf98342bf</t>
  </si>
  <si>
    <t>2022-11-09T13:20:33.319000+00:00</t>
  </si>
  <si>
    <t>dfe3041f-7180-45ce-b046-5e7424baf076</t>
  </si>
  <si>
    <t>2022-11-09T13:30:31.871000+00:00</t>
  </si>
  <si>
    <t>s4_b1_l3</t>
  </si>
  <si>
    <t>379689b8-5017-43b1-88ba-f576228c35c2</t>
  </si>
  <si>
    <t>2022-11-09T13:47:33.489000+00:00</t>
  </si>
  <si>
    <t>79752db5-da8b-4e9e-826f-ba71f0f49701</t>
  </si>
  <si>
    <t>2022-11-09T13:52:13.715000+00:00</t>
  </si>
  <si>
    <t>293ae8c9-4660-44f0-9e49-a96473a87963</t>
  </si>
  <si>
    <t>2022-11-09T14:29:27.732000+00:00</t>
  </si>
  <si>
    <t>6afebb5b-4ea4-414c-b57e-aed088bd8e88</t>
  </si>
  <si>
    <t>2022-11-09T14:34:45.402000+00:00</t>
  </si>
  <si>
    <t>214699a7-559b-4dd1-bb41-7cc61602994d</t>
  </si>
  <si>
    <t>2022-11-09T15:49:39.489000+00:00</t>
  </si>
  <si>
    <t>a05d0118-4d80-44cd-9caa-1849b8071ecc</t>
  </si>
  <si>
    <t>2022-11-09T15:51:43.324000+00:00</t>
  </si>
  <si>
    <t>d878c39c-bca5-4ebe-8de4-117b4cc677b4</t>
  </si>
  <si>
    <t>aa0877be-3d1f-4ff8-a975-04e0036d7e1e</t>
  </si>
  <si>
    <t>2022-11-09T17:34:27.493000+00:00</t>
  </si>
  <si>
    <t>Robot doet laneswitch, 1 retry, wilt verder doorrijden maar botst tegen rails (?) en gaat in error</t>
  </si>
  <si>
    <t>260abdf1-5df8-4807-991a-6e17261c7fa2</t>
  </si>
  <si>
    <t>1e541d63-8e07-48d5-bf3c-83e5cf6223a0</t>
  </si>
  <si>
    <t>2022-11-09T20:33:55.898000+00:00</t>
  </si>
  <si>
    <t>eol wall timeout error. Krijgt net te laat de muur in beeld</t>
  </si>
  <si>
    <t>63d55352-85a9-4a06-8ce1-333655619d3e</t>
  </si>
  <si>
    <t>2022-11-09T20:39:35.066000+00:00</t>
  </si>
  <si>
    <t>3306be23-2d28-4961-b4ee-259c97ff5948</t>
  </si>
  <si>
    <t>2022-11-09T20:45:15.089000+00:00</t>
  </si>
  <si>
    <t>left_lane3472</t>
  </si>
  <si>
    <t>e0e7f5dc-1369-47f1-9e70-48d046661970</t>
  </si>
  <si>
    <t>2022-11-09T20:55:17.240000+00:00</t>
  </si>
  <si>
    <t>left_lane3468</t>
  </si>
  <si>
    <t>bed6c2ba-af08-45d0-a28d-b43681ba0901</t>
  </si>
  <si>
    <t>2022-11-09T21:00:41.311000+00:00</t>
  </si>
  <si>
    <t>left_lane3466</t>
  </si>
  <si>
    <t>a68d7208-028e-47bc-b1fc-a1d55d8ff714</t>
  </si>
  <si>
    <t>2022-11-09T21:06:28.136000+00:00</t>
  </si>
  <si>
    <t>left_lane3462</t>
  </si>
  <si>
    <t>9c531c19-3e7e-4ecb-ae8e-283efe924266</t>
  </si>
  <si>
    <t>2022-11-09T21:12:06.464000+00:00</t>
  </si>
  <si>
    <t>left_lane3460</t>
  </si>
  <si>
    <t>6266bee8-e8dc-4f25-bda5-2fd2825662e0</t>
  </si>
  <si>
    <t>2022-11-09T21:21:59.464000+00:00</t>
  </si>
  <si>
    <t>left_lane3456</t>
  </si>
  <si>
    <t>b3f7c30e-098e-40af-b58a-6fba25ec6864</t>
  </si>
  <si>
    <t>2022-11-09T21:31:49.262000+00:00</t>
  </si>
  <si>
    <t>left_lane3452</t>
  </si>
  <si>
    <t>457f6930-50c0-485f-8064-0bb607cbb837</t>
  </si>
  <si>
    <t>2022-11-09T21:46:27.188000+00:00</t>
  </si>
  <si>
    <t>left_lane3444</t>
  </si>
  <si>
    <t>39f2bd60-6cb3-4177-ad09-e28348a91b21</t>
  </si>
  <si>
    <t>2022-11-09T21:56:34.284000+00:00</t>
  </si>
  <si>
    <t>5429dc75-ae19-4cf9-abdf-f7ff959d602f</t>
  </si>
  <si>
    <t>2022-11-09T22:06:23.204000+00:00</t>
  </si>
  <si>
    <t>left_lane3436</t>
  </si>
  <si>
    <t>a57acdf0-c7a9-4949-baed-529cc987c04c</t>
  </si>
  <si>
    <t>2022-11-09T22:20:53.943000+00:00</t>
  </si>
  <si>
    <t>left_lane3428</t>
  </si>
  <si>
    <t>0afaf6cc-1e23-4309-9c58-db6d4c5b099a</t>
  </si>
  <si>
    <t>2022-11-09T22:30:56.230000+00:00</t>
  </si>
  <si>
    <t>left_lane3424</t>
  </si>
  <si>
    <t>ac57fa53-1989-48e2-afbe-aaf024f2e548</t>
  </si>
  <si>
    <t>2022-11-09T23:02:50.246000+00:00</t>
  </si>
  <si>
    <t>left_lane3408</t>
  </si>
  <si>
    <t>9fa99f01-8f52-4a68-b239-85e6f8a5e245</t>
  </si>
  <si>
    <t>2022-11-09T23:25:56.039000+00:00</t>
  </si>
  <si>
    <t>left_lane3396</t>
  </si>
  <si>
    <t>rail-wheel-radius aanpassen zodat robot 0.75m verder rijdt (~1mm verschil in wielstraal)</t>
  </si>
  <si>
    <t>b516fa38-cea1-4049-b900-0f88ac9b667e</t>
  </si>
  <si>
    <t>2022-11-09T23:32:17.510000+00:00</t>
  </si>
  <si>
    <t>669dc535-bf38-4348-b11a-5930b5c1b138</t>
  </si>
  <si>
    <t>d46ee502-1c28-4b23-a897-97b3bb398b6e</t>
  </si>
  <si>
    <t>2022-11-10T01:10:48.289000+00:00</t>
  </si>
  <si>
    <t>right_3339</t>
  </si>
  <si>
    <t>Tijdens laneswitch botst robot tegen 023</t>
  </si>
  <si>
    <t>c817a3d8-a780-46dc-b417-a05c932b2f72</t>
  </si>
  <si>
    <t>2022-11-10T01:15:10.376000+00:00</t>
  </si>
  <si>
    <t>left_lane3340</t>
  </si>
  <si>
    <t>8b2aa79d-be05-4929-81ce-65ac9720c99e</t>
  </si>
  <si>
    <t>2022-11-10T13:07:07.166000+00:00</t>
  </si>
  <si>
    <t>794a6d99-b7ea-4ff3-9e10-ba2395f5c064</t>
  </si>
  <si>
    <t>paused</t>
  </si>
  <si>
    <t>2022-11-10T14:48:31.616000+00:00</t>
  </si>
  <si>
    <t>c4e21d42-2136-4b26-9bfe-621c6cb115f2</t>
  </si>
  <si>
    <t>2022-11-10T15:14:32.613000+00:00</t>
  </si>
  <si>
    <t>Update 5.3.0 sw</t>
  </si>
  <si>
    <t>182b3d58-a004-4372-83ca-5e6a455fa1d0</t>
  </si>
  <si>
    <t>2022-11-11T01:26:40.302000+00:00</t>
  </si>
  <si>
    <t>9d8d49c9-30ac-4d43-8bbf-b3cc2301887a</t>
  </si>
  <si>
    <t>dc3edf96-0c61-4f3c-9fa6-df6b5933df57</t>
  </si>
  <si>
    <t>2022-11-11T04:32:42.138000+00:00</t>
  </si>
  <si>
    <t>right_3083</t>
  </si>
  <si>
    <t>Robot doet laneswitch, geen retry, rijdt verder en lijkt van rails af te vallen.</t>
  </si>
  <si>
    <t>zelfde beelden als vorige error</t>
  </si>
  <si>
    <t>a29239f2-f777-4acc-b7e9-e76447a95da3</t>
  </si>
  <si>
    <t>2022-11-12T00:22:09.278000+00:00</t>
  </si>
  <si>
    <t>left_block38_lane2</t>
  </si>
  <si>
    <t>e4aeb255-781e-46b6-b49f-292b42744433</t>
  </si>
  <si>
    <t>2022-11-12T01:24:34.404000+00:00</t>
  </si>
  <si>
    <t>83b7da82-dccf-4d5a-acae-d4c4113be34b</t>
  </si>
  <si>
    <t>2022-11-12T16:08:10.400000+00:00</t>
  </si>
  <si>
    <t>90208104-1d1a-444c-b3f9-1ec929cd2550</t>
  </si>
  <si>
    <t>2022-11-12T16:51:25.155000+00:00</t>
  </si>
  <si>
    <t>107ecdf0-d614-4d56-aaef-ac18e3c1d08a</t>
  </si>
  <si>
    <t>2022-11-12T16:54:29.167000+00:00</t>
  </si>
  <si>
    <t>2022-11-12T16:55:13.111000+00:00</t>
  </si>
  <si>
    <t>right_3429</t>
  </si>
  <si>
    <t>f63adda3-0bde-42c5-afb0-7f456d7101ed</t>
  </si>
  <si>
    <t>2022-11-12T16:57:41.615000+00:00</t>
  </si>
  <si>
    <t>2022-11-12T16:58:16.754000+00:00</t>
  </si>
  <si>
    <t>2022-11-12T16:59:00.387000+00:00</t>
  </si>
  <si>
    <t>c1f4fcd6-646d-44e9-865c-4de969556a6e</t>
  </si>
  <si>
    <t>2022-11-12T22:54:47.283000+00:00</t>
  </si>
  <si>
    <t>2022-11-12T22:54:49.286000+00:00</t>
  </si>
  <si>
    <t>c91f3f4a-506a-4e26-9567-fd8fc22ff0e8</t>
  </si>
  <si>
    <t>2022-11-13T01:10:21.704000+00:00</t>
  </si>
  <si>
    <t>5e3610ac-1879-43b4-b197-864c3da52370</t>
  </si>
  <si>
    <t>2022-11-13T07:42:57.150000+00:00</t>
  </si>
  <si>
    <t>NO ERRO CODE + NO DATA</t>
  </si>
  <si>
    <t>14b18fd7-3cc5-412e-8907-9c59ee3ecceb</t>
  </si>
  <si>
    <t>2022-11-13T09:46:32.650000+00:00</t>
  </si>
  <si>
    <t>679af4f0-e8ef-415d-bc61-6682d08def87</t>
  </si>
  <si>
    <t>67e5a962-99b6-427f-8cdc-dec180e75a34</t>
  </si>
  <si>
    <t>2022-11-13T10:23:01.696000+00:00</t>
  </si>
  <si>
    <t>left_lane3176</t>
  </si>
  <si>
    <t>Robot staat klaar , er gebeurt niets</t>
  </si>
  <si>
    <t>642c3aa4-e849-4ebc-9668-b972f7169d15</t>
  </si>
  <si>
    <t>01237251-4d94-4c17-bd17-20c50baeba79</t>
  </si>
  <si>
    <t>2022-11-13T10:26:41.688000+00:00</t>
  </si>
  <si>
    <t>Voertuig lijkt traag terug te rijden, heft zich van de rails in het midden van de lane. Lane vlak tegen 'opstekende rand'</t>
  </si>
  <si>
    <t>0c7bf0ed-6646-43f3-9aec-e9e2cb487133</t>
  </si>
  <si>
    <t>ab97f10b-0f6f-41e3-bd02-c0cabb9e3253</t>
  </si>
  <si>
    <t>2022-11-13T10:28:20.493000+00:00</t>
  </si>
  <si>
    <t>Robot keert terug (recovery?) en heft zich van de rails</t>
  </si>
  <si>
    <t>08296e76-f97b-43f7-b278-5062eb2b4b58</t>
  </si>
  <si>
    <t>2022-11-13T10:57:55.746000+00:00</t>
  </si>
  <si>
    <t>cc45f801-fe22-496a-983c-1b560558125f</t>
  </si>
  <si>
    <t>1b735ae0-4bfa-4d47-88ee-1cbb7d7770a6</t>
  </si>
  <si>
    <t>2022-11-13T11:10:08.504000+00:00</t>
  </si>
  <si>
    <t>right_3077</t>
  </si>
  <si>
    <t>Robot staat klaar, er gebeurt niets</t>
  </si>
  <si>
    <t>afcd6d44-f756-43df-9899-b569157f5d1c</t>
  </si>
  <si>
    <t>80679f4e-6eec-475f-9212-34e4f3a6c07c</t>
  </si>
  <si>
    <t>2022-11-13T11:15:42.085000+00:00</t>
  </si>
  <si>
    <t>voertuig wordt manueel bestuurd. Onduidelijke situatie</t>
  </si>
  <si>
    <t>68ba7bbb-7d32-4642-aa81-41ec6a21618f</t>
  </si>
  <si>
    <t>2022-11-13T11:17:21.088000+00:00</t>
  </si>
  <si>
    <t>8e7c53ba-1821-422c-ae11-1ee6aad71afb</t>
  </si>
  <si>
    <t>2022-11-13T11:24:33.778000+00:00</t>
  </si>
  <si>
    <t>Robot schuifelt over de rails, lijkt in het midden in error gaan (zie vorig event?). Robot schuifelt terug (recovery?) en gaat in error (half aftillend van rails). Lane vlak naast 'opstekende rand'</t>
  </si>
  <si>
    <t>8c263c11-227f-4198-89c5-5164a2a57445</t>
  </si>
  <si>
    <t>2022-11-13T12:04:47.140000+00:00</t>
  </si>
  <si>
    <t>8fdd0257-8466-4cd7-aa52-91f6c9b5d72e</t>
  </si>
  <si>
    <t>5d0e01dd-18c3-46e4-94df-85b9301a27dd</t>
  </si>
  <si>
    <t>slip: error code 0x1060002 is not supported; inductive: inductive does not see rails</t>
  </si>
  <si>
    <t>2022-11-13T12:04:59.229000+00:00</t>
  </si>
  <si>
    <t>right_3091</t>
  </si>
  <si>
    <t>Bumper wordt getriggerd door operator tijdens laneswitch.</t>
  </si>
  <si>
    <t>bd17b74d-3a43-499b-a6fc-38ca23237e3c</t>
  </si>
  <si>
    <t>0c01fd00-cd2e-4bdd-b380-793978d68c0b</t>
  </si>
  <si>
    <t>slip: error code 0x1050005 is not supported; inductive: error code 0x1050005 is not supported</t>
  </si>
  <si>
    <t>2022-11-13T16:07:08.110000+00:00</t>
  </si>
  <si>
    <t>Robot botst tegen steuntje op rails</t>
  </si>
  <si>
    <t>6674d940-eabf-4bdb-88f1-a95a4e0759b4</t>
  </si>
  <si>
    <t>54acec1e-5750-4233-8c06-567ba7cfadb2</t>
  </si>
  <si>
    <t>2022-11-13T16:24:26.699000+00:00</t>
  </si>
  <si>
    <t>Robot keert terug (recovery?) en valt van de rails</t>
  </si>
  <si>
    <t>a85d372d-4502-409e-bf69-58cfafc7a70e</t>
  </si>
  <si>
    <t>3253a2c5-10d4-491e-bcea-de976ce8fddb</t>
  </si>
  <si>
    <t>2022-11-13T20:37:43.941000+00:00</t>
  </si>
  <si>
    <t>right_block16_lane5</t>
  </si>
  <si>
    <t>264f7556-e9c7-43dc-99de-ea416a08cb4d</t>
  </si>
  <si>
    <t>2022-11-13T21:45:39.908000+00:00</t>
  </si>
  <si>
    <t>right_block32_lane2</t>
  </si>
  <si>
    <t>074d9325-c9f5-42b4-ad39-ec19036c06ab</t>
  </si>
  <si>
    <t>f8ebac89-ad84-4c51-819a-c7bfaa1f82aa</t>
  </si>
  <si>
    <t>2022-11-13T21:49:04.311000+00:00</t>
  </si>
  <si>
    <t>left_lane3358</t>
  </si>
  <si>
    <t>EMPTY DATA</t>
  </si>
  <si>
    <t>6d4f4a43-6c54-48eb-97e6-021f9132a6fb</t>
  </si>
  <si>
    <t>slip: not at least one job is completed; inductive: error code 0x1060009 is not supported</t>
  </si>
  <si>
    <t>2022-11-13T21:54:00.407000+00:00</t>
  </si>
  <si>
    <t>680bdb03-a850-42e1-b386-066c66116f84</t>
  </si>
  <si>
    <t>2022-11-14T12:03:22.223000+00:00</t>
  </si>
  <si>
    <t>cc81b302-0caf-486d-8c33-c56fd452bf0b</t>
  </si>
  <si>
    <t>slip: error code 0x1060009 is not supported; inductive: inductive does not see rails</t>
  </si>
  <si>
    <t>2022-11-14T12:11:07.388000+00:00</t>
  </si>
  <si>
    <t>left_lane3420</t>
  </si>
  <si>
    <t>f8de2bf9-da2f-4a9d-ad82-f6cc686b54ec</t>
  </si>
  <si>
    <t>2022-11-14T12:19:08.378000+00:00</t>
  </si>
  <si>
    <t>30969e6c-b00d-4a59-9b25-c70f67e170d5</t>
  </si>
  <si>
    <t>60d53348-3544-45ef-b98d-16326c54b721</t>
  </si>
  <si>
    <t>2022-11-14T16:07:34.054000+00:00</t>
  </si>
  <si>
    <t>Robot staat klaar, gaat in error. Normale condities</t>
  </si>
  <si>
    <t>537de1f1-2e51-48a4-a755-fdb648743919</t>
  </si>
  <si>
    <t>2022-11-14T16:23:21.831000+00:00</t>
  </si>
  <si>
    <t>(Robot botst tegen steuntje ah einde van de lane?)</t>
  </si>
  <si>
    <t>left_block29_lane2</t>
  </si>
  <si>
    <t>16501514-8889-4ef0-812a-2bbbf2ad53dc</t>
  </si>
  <si>
    <t>2022-11-14T21:52:25.576000+00:00</t>
  </si>
  <si>
    <t>c114f4c6-9e12-4e97-8da7-cd42c08fd55c</t>
  </si>
  <si>
    <t>2022-11-15T02:08:40.469000+00:00</t>
  </si>
  <si>
    <t>bb8935da-10fe-4589-b21a-5691e922f5b3</t>
  </si>
  <si>
    <t>2022-11-15T07:17:48.104000+00:00</t>
  </si>
  <si>
    <t>6186d764-e4ec-4e41-b337-b4ede4d4b2bd</t>
  </si>
  <si>
    <t>2022-11-15T09:14:22.930000+00:00</t>
  </si>
  <si>
    <t>9e5f9be1-9ff6-4ee1-ae0d-542ad2970f7a</t>
  </si>
  <si>
    <t>2022-11-15T09:21:40.733000+00:00</t>
  </si>
  <si>
    <t>6ea35a32-8f01-4640-ad3e-5f912276ca5f</t>
  </si>
  <si>
    <t>2022-11-15T09:22:44.590000+00:00</t>
  </si>
  <si>
    <t>2022-11-15T09:26:27.359000+00:00</t>
  </si>
  <si>
    <t>c5b0975d-077e-4616-b60d-6dd1c5a32e99</t>
  </si>
  <si>
    <t>2022-11-15T09:54:28.296000+00:00</t>
  </si>
  <si>
    <t>20f46bbf-523a-4d7f-9479-c91cb526d672</t>
  </si>
  <si>
    <t>2022-11-15T10:02:01.928000+00:00</t>
  </si>
  <si>
    <t>0705a38e-f68a-4cda-82f3-656ddd09910a</t>
  </si>
  <si>
    <t>ba5c4f2b-6beb-438a-835a-197cab492f1c</t>
  </si>
  <si>
    <t>2022-11-15T10:09:32.978000+00:00</t>
  </si>
  <si>
    <t>c84e0043-9d80-4e2a-b2b8-da8add02083f</t>
  </si>
  <si>
    <t>2022-11-15T12:15:30.966000+00:00</t>
  </si>
  <si>
    <t>c93ac749-e908-402f-ac79-271db833e890</t>
  </si>
  <si>
    <t>2022-11-15T12:59:54.978000+00:00</t>
  </si>
  <si>
    <t>678ba5d7-4ca6-4c2f-b828-f59e049bfac8</t>
  </si>
  <si>
    <t>2022-11-15T13:16:20.381000+00:00</t>
  </si>
  <si>
    <t>9ac7be1b-af95-4da3-ab10-baee05185b5b</t>
  </si>
  <si>
    <t>2022-11-15T15:49:13.465000+00:00</t>
  </si>
  <si>
    <t>26fdf90d-7c11-4f10-8491-ca1328b551bc</t>
  </si>
  <si>
    <t>2022-11-15T15:54:33.906000+00:00</t>
  </si>
  <si>
    <t>c9da4f0a-722a-4e39-95f0-f839dc23a500</t>
  </si>
  <si>
    <t>2022-11-15T16:01:01.195000+00:00</t>
  </si>
  <si>
    <t>9c9357aa-1dc3-4543-bab2-6dde71e6d74d</t>
  </si>
  <si>
    <t>2022-11-15T16:02:31.385000+00:00</t>
  </si>
  <si>
    <t>c8329ec5-e86f-4896-824b-4d1ed6441810</t>
  </si>
  <si>
    <t>2022-11-15T16:05:56.226000+00:00</t>
  </si>
  <si>
    <t>427080fb-aa76-4a69-9bbe-810c6fab1aa5</t>
  </si>
  <si>
    <t>2022-11-15T16:06:41.374000+00:00</t>
  </si>
  <si>
    <t>65a79015-1a19-4dcc-9ba3-95d5b927caf4</t>
  </si>
  <si>
    <t>2022-11-15T16:25:27.875000+00:00</t>
  </si>
  <si>
    <t>48971270-46c3-42af-8f74-b29b63b08b33</t>
  </si>
  <si>
    <t>2022-11-15T16:36:46.133000+00:00</t>
  </si>
  <si>
    <t>32b5b089-730e-443c-b76f-120bb6576e4d</t>
  </si>
  <si>
    <t>2022-11-15T16:58:08.048000+00:00</t>
  </si>
  <si>
    <t>8cad8490-8e6a-4425-a78f-2c09f69844df</t>
  </si>
  <si>
    <t>2022-11-15T18:03:18.698000+00:00</t>
  </si>
  <si>
    <t>e956c4f8-e8a8-4f22-bff0-babfda42442c</t>
  </si>
  <si>
    <t>2022-11-15T20:51:30.191000+00:00</t>
  </si>
  <si>
    <t>3f5f0efb-f658-46ce-b1e5-d54e58e12bef</t>
  </si>
  <si>
    <t>2022-11-16T06:47:32.672000+00:00</t>
  </si>
  <si>
    <t>041b2186-cf0c-471e-8575-8c69107110fe</t>
  </si>
  <si>
    <t>2022-11-16T09:00:41.659000+00:00</t>
  </si>
  <si>
    <t>36373b3f-87be-47d5-b87b-e359a6e848c6</t>
  </si>
  <si>
    <t>2022-11-16T09:55:50.742000+00:00</t>
  </si>
  <si>
    <t>right_block4_lane1</t>
  </si>
  <si>
    <t>5a5c9462-dab7-42ba-8931-91c172ebcaa0</t>
  </si>
  <si>
    <t>2022-11-16T10:28:40.413000+00:00</t>
  </si>
  <si>
    <t>vision heartbeat: 10 (alle robots)</t>
  </si>
  <si>
    <t>94803e79-5e5e-424f-92e8-d62a82dd7d7d</t>
  </si>
  <si>
    <t>2022-11-16T11:27:48.659000+00:00</t>
  </si>
  <si>
    <t>vision heartbeat: 10</t>
  </si>
  <si>
    <t>ea352d32-6154-453d-b29d-5d518c5532a8</t>
  </si>
  <si>
    <t>2022-11-16T11:38:39.289000+00:00</t>
  </si>
  <si>
    <t>2dca83c5-32ea-43df-86f8-4d7856986e4d</t>
  </si>
  <si>
    <t>029846f2-4afe-4000-b0fb-da53261b4b23</t>
  </si>
  <si>
    <t>2022-11-16T14:09:23.989000+00:00</t>
  </si>
  <si>
    <t>left_block5_lane1</t>
  </si>
  <si>
    <t>ce3c9cac-af0e-40be-bfc0-af4e51547db9</t>
  </si>
  <si>
    <t>2022-11-16T14:10:38.869000+00:00</t>
  </si>
  <si>
    <t>sideshift-init</t>
  </si>
  <si>
    <t>4dfadc8d-0dba-48ed-a4cc-52a989249ae6</t>
  </si>
  <si>
    <t>370d3f36-5f12-419a-9ca5-74c728476a98</t>
  </si>
  <si>
    <t>2022-11-16T14:29:19.055000+00:00</t>
  </si>
  <si>
    <t>71012e33-ce61-4bff-b794-d591689aae36</t>
  </si>
  <si>
    <t>2022-11-16T14:30:55.154000+00:00</t>
  </si>
  <si>
    <t>de4fc6c1-405c-42aa-ba9f-1481c2171b93</t>
  </si>
  <si>
    <t>2a345123-c225-4348-8582-98a5037539a2</t>
  </si>
  <si>
    <t>2022-11-16T15:21:09.225000+00:00</t>
  </si>
  <si>
    <t>update 5.3.0 sw</t>
  </si>
  <si>
    <t>e9193aa5-3124-468b-bacd-fd4ab9dcee06</t>
  </si>
  <si>
    <t>2022-11-16T16:16:40.638000+00:00</t>
  </si>
  <si>
    <t>e00148ec-d541-441f-b322-5482ee142f25</t>
  </si>
  <si>
    <t>2022-11-16T16:45:41.418000+00:00</t>
  </si>
  <si>
    <t>8635a4e5-160f-4a43-a22f-51dc4e02cedc</t>
  </si>
  <si>
    <t>5285580b-569e-4fdf-9b72-e869deb39016</t>
  </si>
  <si>
    <t>slip: error code 0x1080001 is not supported; inductive: inductive does not see rails</t>
  </si>
  <si>
    <t>2022-11-16T17:16:58.712000+00:00</t>
  </si>
  <si>
    <t>f27c61ab-cbaf-4100-9338-fc4bef8bccc6</t>
  </si>
  <si>
    <t>f551f9e6-e946-463e-a0cb-24a95e0b09a9</t>
  </si>
  <si>
    <t>2022-11-16T17:25:39.791000+00:00</t>
  </si>
  <si>
    <t>left_block15_lane1</t>
  </si>
  <si>
    <t>9ea15cda-d287-4c56-932c-82c0610f4c5d</t>
  </si>
  <si>
    <t>slip: error code 0x1060002 is not supported; inductive: error code 0x1060002 is not supported</t>
  </si>
  <si>
    <t>2022-11-16T18:01:19.502000+00:00</t>
  </si>
  <si>
    <t>left_block16_lane1</t>
  </si>
  <si>
    <t>809dba6b-a4e1-484f-8e25-7e1a122597d6</t>
  </si>
  <si>
    <t>acd686a8-8742-45a3-81a6-7b6bf2edc6c6</t>
  </si>
  <si>
    <t>2022-11-16T18:30:06.583000+00:00</t>
  </si>
  <si>
    <t>left_block20_lane1</t>
  </si>
  <si>
    <t>5c95dca3-6d6b-4c11-9943-488e3abedb75</t>
  </si>
  <si>
    <t>2022-11-16T21:51:39.095000+00:00</t>
  </si>
  <si>
    <t>e1ddc9df-5f54-4ef1-a13c-1f476c0cf110</t>
  </si>
  <si>
    <t>2022-11-17T02:39:04.782000+00:00</t>
  </si>
  <si>
    <t>600b8d9c-c2e9-4791-8ae8-8c726bf16392</t>
  </si>
  <si>
    <t>7e03ad05-e099-4238-9e91-d10617a3ef70</t>
  </si>
  <si>
    <t>slip: error code 0x1070001 is not supported; inductive: inductive does not see rails</t>
  </si>
  <si>
    <t>2022-11-17T06:18:01.946000+00:00</t>
  </si>
  <si>
    <t>right_3439</t>
  </si>
  <si>
    <t>ded9506f-bfa4-408a-bd0b-6da8d4e3cd4d</t>
  </si>
  <si>
    <t>33e52f81-6182-4fbf-a4dd-28489050e9d7</t>
  </si>
  <si>
    <t>2022-11-17T09:28:00.184000+00:00</t>
  </si>
  <si>
    <t>7f8cf300-1419-4640-a902-73b71132ee71</t>
  </si>
  <si>
    <t>2022-11-17T09:45:17.226000+00:00</t>
  </si>
  <si>
    <t>right_3151</t>
  </si>
  <si>
    <t>b0632092-a998-4c19-811e-cef2dec260c4</t>
  </si>
  <si>
    <t>bb6a563b-519c-4439-8e11-2eca47171465</t>
  </si>
  <si>
    <t>2022-11-17T12:37:47.449000+00:00</t>
  </si>
  <si>
    <t>left_block2_lane1</t>
  </si>
  <si>
    <t>9ee36b93-2b7d-47ff-8c4f-4875c97d79cd</t>
  </si>
  <si>
    <t>2022-11-17T12:43:34.973000+00:00</t>
  </si>
  <si>
    <t>9f4196c4-758f-40d3-bc0c-c13e07786a69</t>
  </si>
  <si>
    <t>2022-11-17T14:05:31.819000+00:00</t>
  </si>
  <si>
    <t>1d1b4c54-645b-4284-affe-5aa4b1002198</t>
  </si>
  <si>
    <t>2022-11-17T14:55:02.200000+00:00</t>
  </si>
  <si>
    <t>058941a3-de70-449f-9378-fe08a9759aa5</t>
  </si>
  <si>
    <t>2022-11-17T15:24:14.313000+00:00</t>
  </si>
  <si>
    <t>right_block3_lane6</t>
  </si>
  <si>
    <t>16a5e89a-ec64-4e5c-9291-63fc5f648211</t>
  </si>
  <si>
    <t>dab87a8f-c512-4d24-bde5-8ea3556e5b6f</t>
  </si>
  <si>
    <t>2022-11-17T15:47:25.461000+00:00</t>
  </si>
  <si>
    <t>left_block6_lane7</t>
  </si>
  <si>
    <t>76704aa8-6cef-4e2d-bb0b-d1cdd2e2b184</t>
  </si>
  <si>
    <t>slip: error code 0x1060101 is not supported; inductive: inductive does not see rails</t>
  </si>
  <si>
    <t>2022-11-17T15:50:22.124000+00:00</t>
  </si>
  <si>
    <t>left_block7_lane1</t>
  </si>
  <si>
    <t>159ae2fd-183b-4c64-a250-aa903ef91606</t>
  </si>
  <si>
    <t>slip: error code 0x1040103 is not supported; inductive: inductive does not see rails</t>
  </si>
  <si>
    <t>2022-11-18T02:02:16.978000+00:00</t>
  </si>
  <si>
    <t>250d5985-6731-4f62-ab6c-12b2bbf3ee12</t>
  </si>
  <si>
    <t>2022-11-18T06:13:58.340000+00:00</t>
  </si>
  <si>
    <t>8d48e510-8e49-4719-a3a4-6201c27552c6</t>
  </si>
  <si>
    <t>2022-11-21T15:26:21.778000+00:00</t>
  </si>
  <si>
    <t>2022-11-21T15:27:27.428000+00:00</t>
  </si>
  <si>
    <t>e124df2a-df17-4f7e-a27a-b08f7dafc697</t>
  </si>
  <si>
    <t>2022-11-21T19:16:21.161000+00:00</t>
  </si>
  <si>
    <t>2f53a726-b8cc-4506-a1e2-69c5a6cae414</t>
  </si>
  <si>
    <t>2022-11-21T21:41:07.701000+00:00</t>
  </si>
  <si>
    <t>left_lane3374</t>
  </si>
  <si>
    <t>5a96b7e0-9e81-4005-a108-0b95d8f4c9af</t>
  </si>
  <si>
    <t>slip: error code 0x1060165 is not supported; inductive: inductive does not see rails</t>
  </si>
  <si>
    <t>2022-11-24T16:55:32.873000+00:00</t>
  </si>
  <si>
    <t>81ebc368-e847-4bf2-9517-c91c31acd9bc</t>
  </si>
  <si>
    <t>401c8e82-decd-4705-b9ba-d4cbcbfacb02</t>
  </si>
  <si>
    <t>2022-11-25T05:43:08.168000+00:00</t>
  </si>
  <si>
    <t>1ef0b49e-d80a-4f27-8963-319570e08373</t>
  </si>
  <si>
    <t>7596bffd-1b3f-4cbd-8ca2-b5adc6ba48ba</t>
  </si>
  <si>
    <t>1e5b2987-32ef-46a5-b123-91aa72d26a9f</t>
  </si>
  <si>
    <t>2022-11-25T05:46:48.837000+00:00</t>
  </si>
  <si>
    <t>b5a5ef43-8dea-43f7-90d4-1d47b453fb30</t>
  </si>
  <si>
    <t>2022-11-25T06:52:30.193000+00:00</t>
  </si>
  <si>
    <t>d5ba5845-e116-43d6-b025-4b0b3f495957</t>
  </si>
  <si>
    <t>2022-11-25T07:24:22.009000+00:00</t>
  </si>
  <si>
    <t>2022-11-25T07:25:40.501000+00:00</t>
  </si>
  <si>
    <t>left_lane3486</t>
  </si>
  <si>
    <t xml:space="preserve">2f9d153e-b6df-49a1-a876-f3159fdd19ff </t>
  </si>
  <si>
    <t>2022-11-25T17:21:00.000+00:00</t>
  </si>
  <si>
    <t>Robot rijdt uit lane, vliegt walkway over, tot over de rails aan overkant</t>
  </si>
  <si>
    <t>60941112-ffe7-44f9-815f-0103bcaf308a</t>
  </si>
  <si>
    <t>c00c8974-0c91-4777-b6f3-8523f198d0a2</t>
  </si>
  <si>
    <t>2022-11-25T18:50:37.287000+00:00</t>
  </si>
  <si>
    <t>Robot wil starten in eerste rij, gaat na 1m in error. Normale condities. Geen vreemde logs in visie.</t>
  </si>
  <si>
    <t>3d91938d-399d-4df1-88cd-70c7ae4fc715</t>
  </si>
  <si>
    <t>85a5e7eb-d2a0-416f-818a-29b3fcdf0eca</t>
  </si>
  <si>
    <t>2022-11-25T18:56:34.449000+00:00</t>
  </si>
  <si>
    <t>s4_b1_l1</t>
  </si>
  <si>
    <t>visie heeft geen metingen gemaakt Trigger msg contains wrong algorithm type 'wall' (Dit blijkt normaal te zijn, heeft te maken met cpp vs python stuk)</t>
  </si>
  <si>
    <t>58667922-bf57-47c5-9e25-c47185ab451a</t>
  </si>
  <si>
    <t>2094fc3a-3e97-402d-bff1-9545a11c38d9</t>
  </si>
  <si>
    <t>2022-11-25T18:58:32.631000+00:00</t>
  </si>
  <si>
    <t>s4_b1_l2</t>
  </si>
  <si>
    <t>6e875d60-1ccf-4829-9c3c-75035a08097a</t>
  </si>
  <si>
    <t>2022-11-25T18:59:59.681000+00:00</t>
  </si>
  <si>
    <t>0bb39984-7965-46ce-b3a2-d91c0db2b9e8</t>
  </si>
  <si>
    <t>ae298f13-36d8-4ad0-8a92-05d68ca003d9</t>
  </si>
  <si>
    <t>2022-11-25T19:10:49.890000+00:00</t>
  </si>
  <si>
    <t>rect6440-6</t>
  </si>
  <si>
    <t>Robot rijdt uit eerste lane met SS uitgeklapt, gaat naar SS waypoint, klapt in, keert terug naar startpunt van die rij, gaat in error. Normale condities. In de logs: "No data received from cams: back_right". Robot doet recovery!?</t>
  </si>
  <si>
    <t>OAG1XENLUM2209040</t>
  </si>
  <si>
    <t>c66f1011-e258-47ee-a826-fb7cac9e2662</t>
  </si>
  <si>
    <t>2022-11-25T23:58:56.074000+00:00</t>
  </si>
  <si>
    <t>s3_b5_l1</t>
  </si>
  <si>
    <t>Robot rijdt na recovery vorige error 4 uur lang verder. Robot rijdt richting einde van lane, vertraagt, stopt, gaat in error. Normale condities. Geen vreemde logs in visie</t>
  </si>
  <si>
    <t>4dfb1a2e-9f62-4052-9c01-0b077fefd045</t>
  </si>
  <si>
    <t>bcb38fda-9144-479d-ba22-25498632a7b3</t>
  </si>
  <si>
    <t>2022-11-26T04:31:30.031000+00:00</t>
  </si>
  <si>
    <t>right_3047</t>
  </si>
  <si>
    <t>power bee botsing</t>
  </si>
  <si>
    <t>botsing</t>
  </si>
  <si>
    <t>323968d6-e325-4120-ad1a-c38d422bcf78</t>
  </si>
  <si>
    <t>2022-11-27T15:32:41.526000+00:00</t>
  </si>
  <si>
    <t>2022-11-27T15:33:31.614000+00:00</t>
  </si>
  <si>
    <t>544d2f7b-2146-4093-8758-aa577288dece</t>
  </si>
  <si>
    <t>d6e75d79-b7de-4e3f-bfac-879046b4e095</t>
  </si>
  <si>
    <t>2022-11-27T15:50:07.950000+00:00</t>
  </si>
  <si>
    <t>URL en db id kloppen niet</t>
  </si>
  <si>
    <t>7d0aa1b8-fcd0-45de-a9ee-446c30cf023b</t>
  </si>
  <si>
    <t>41ef1713-ee06-47d8-8244-75bf09bb4e16</t>
  </si>
  <si>
    <t>c9d2dd4f-728e-443a-93fd-234ac3f282ff</t>
  </si>
  <si>
    <t>2022-11-27T22:39:13.100000+00:00</t>
  </si>
  <si>
    <t>Trajectory generation time out na collision detection</t>
  </si>
  <si>
    <t>c5fcb3db-65e3-46bd-9d8c-aaabde87fbca</t>
  </si>
  <si>
    <t>2022-11-28T00:06:18.599000+00:00</t>
  </si>
  <si>
    <t>correcte voorwiel slip detectie (te zien op beelden). Gebeurt na collision detection.</t>
  </si>
  <si>
    <t>61b0d84c-305a-4782-ae3a-46e7ba6c7379</t>
  </si>
  <si>
    <t>2022-11-28T01:21:37.007000+00:00</t>
  </si>
  <si>
    <t>eol_sensor' received more than 10 invalid measurement in a row. Mogelijk doordat de mod_base_width niet meer bestaat en is vervangen door een andere parameter die momenteel nog veel te breed stond ingesteld.</t>
  </si>
  <si>
    <t>c5dde4cb-4e32-4c31-b016-5670aef5063f</t>
  </si>
  <si>
    <t>2022-11-29T13:25:59.504000+00:00</t>
  </si>
  <si>
    <t>08be5767-e5fb-4676-9654-fa2029dcb642</t>
  </si>
  <si>
    <t>2022-11-29T13:29:35.550000+00:00</t>
  </si>
  <si>
    <t>4decd907-2c87-4eb6-9d15-0d4a647108e7</t>
  </si>
  <si>
    <t>ec142a3c-b816-4eae-818d-fa946910fd59</t>
  </si>
  <si>
    <t>2022-11-29T15:47:59.882000+00:00</t>
  </si>
  <si>
    <t>Bart in beeld, robot net klaar gezet</t>
  </si>
  <si>
    <t>f1dd819d-9f3b-42db-92b1-e20c9ed29f7d</t>
  </si>
  <si>
    <t>2022-11-29T15:49:38.411000+00:00</t>
  </si>
  <si>
    <t>inverter issue</t>
  </si>
  <si>
    <t>28a5445d-e9c6-4f2b-ab93-a46f8f8ab8f4</t>
  </si>
  <si>
    <t>2022-11-29T15:51:13.988000+00:00</t>
  </si>
  <si>
    <t>eab56348-eb90-4cbe-95ce-f6e245c44c3c</t>
  </si>
  <si>
    <t>2022-11-29T15:52:48.018000+00:00</t>
  </si>
  <si>
    <t>right_3013</t>
  </si>
  <si>
    <t>73054f52-da90-4886-82e4-31e9fae97e5d</t>
  </si>
  <si>
    <t>2022-11-29T15:54:25.489000+00:00</t>
  </si>
  <si>
    <t>220dcc77-62e6-4282-950e-05c5b62c48e5</t>
  </si>
  <si>
    <t>2022-11-29T15:56:13.609000+00:00</t>
  </si>
  <si>
    <t>right_3019</t>
  </si>
  <si>
    <t>5c5af32e-51d5-4e1b-a89b-497f9450f396</t>
  </si>
  <si>
    <t>2022-11-29T15:57:50.740000+00:00</t>
  </si>
  <si>
    <t>c3d11709-d7c8-4932-8fa2-033781567f34</t>
  </si>
  <si>
    <t>2022-11-29T15:59:28.124000+00:00</t>
  </si>
  <si>
    <t>right_3023</t>
  </si>
  <si>
    <t>993f4d6d-75e1-4818-b548-c2880d3d3ce4</t>
  </si>
  <si>
    <t>d1419486-defd-439c-a46f-b61d63e6ae3c</t>
  </si>
  <si>
    <t>2022-11-29T16:05:35.966000+00:00</t>
  </si>
  <si>
    <t>3aee9eaa-71d8-47cc-af87-c1f45b047472</t>
  </si>
  <si>
    <t>a2215a3a-782c-4c0a-ac5c-e83a8f641b7a</t>
  </si>
  <si>
    <t>2022-11-29T16:08:55.765000+00:00</t>
  </si>
  <si>
    <t>0x00000000</t>
  </si>
  <si>
    <t>0901d832-4668-4fe2-a0aa-a984c4ff47b8</t>
  </si>
  <si>
    <t>11b8a161-9914-43c9-bfa7-d450c3e5e851</t>
  </si>
  <si>
    <t>2022-11-29T22:56:08.302000+00:00</t>
  </si>
  <si>
    <t>right_3211</t>
  </si>
  <si>
    <t>geraakt er niet op met zijn achterwielen</t>
  </si>
  <si>
    <t>OAG1XENLUM202204024</t>
  </si>
  <si>
    <t>achterwielen geraken er niet op. Gekend probleem bij deze rail;</t>
  </si>
  <si>
    <t>e39b3b11-41c6-4b58-8739-562b91cf9bcb</t>
  </si>
  <si>
    <t>2022-11-29T23:47:04.202000+00:00</t>
  </si>
  <si>
    <t>voorwielslip, trjaectory generation timeout bij uitrekenen retry</t>
  </si>
  <si>
    <t>a8e54386-8e9e-47ff-a06b-69d3699b7c22</t>
  </si>
  <si>
    <t>2022-11-30T01:15:19.246000+00:00</t>
  </si>
  <si>
    <t>Voorwiel slip, je ziet dat hij ook wel weer een beetje moeite had met de achterwielen</t>
  </si>
  <si>
    <t>2022-11-30T02:32:34.039000+00:00</t>
  </si>
  <si>
    <t>53c23e0f-f72f-422b-b802-eeb2c8a592f3</t>
  </si>
  <si>
    <t>2022-11-30T03:24:44.165000+00:00</t>
  </si>
  <si>
    <t>Eerst moeite met achterwielen, daarna voorwielen.</t>
  </si>
  <si>
    <t>2022-11-30T07:44:25.852000+00:00</t>
  </si>
  <si>
    <t>edb988e9-9f5a-41a2-b639-aeb258fc7236</t>
  </si>
  <si>
    <t>2022-11-30T18:09:40.306000+00:00</t>
  </si>
  <si>
    <t>2022-11-30T18:12:16.930000+00:00</t>
  </si>
  <si>
    <t>ad9a7a02-eb2d-4055-b5ec-3bc1bf2ddbfa</t>
  </si>
  <si>
    <t>2022-11-30T19:20:48.00+00:00</t>
  </si>
  <si>
    <t>1678c0df-b65b-410c-beb7-4ff6e55077d1</t>
  </si>
  <si>
    <t>588085c8-8a49-496c-bdc7-fcff58e3c0ba</t>
  </si>
  <si>
    <t>2022-11-30T19:39:37.100000+00:00</t>
  </si>
  <si>
    <t>8c1827b5-9978-479c-bdbc-2ff05d7098a2</t>
  </si>
  <si>
    <t>vision error too large (-0.2979000091552734°, -21.91400008276105cm)</t>
  </si>
  <si>
    <t>2022-11-30T22:36:23.457000+00:00</t>
  </si>
  <si>
    <t>Het is een bekend probleem bij de rail waar dit is opgetreden, de rail zweeft wat te hoog boven het betonpad. Vreemd is wel dat recovery niet gelukt is , het lijk alsof de orchestrator veel te snel de visie heeft uitgezet</t>
  </si>
  <si>
    <t>ae19a442-8e3d-4b56-9d38-b2bebe8cd0bf</t>
  </si>
  <si>
    <t>5732cdf0-1b89-4492-8ada-35f6627e15c4</t>
  </si>
  <si>
    <t>2022-12-01T00:28:55.374000+00:00</t>
  </si>
  <si>
    <t>LocalPathPlanner: trajectory generation timed out. Gebeurt na correct gedetecteerde voorwiel slip</t>
  </si>
  <si>
    <t>2022-12-01T01:46:25.752000+00:00</t>
  </si>
  <si>
    <t>5418dc01-962a-4be3-8ffd-9c6b5895cae5</t>
  </si>
  <si>
    <t>2022-12-01T09:41:06.604000+00:00</t>
  </si>
  <si>
    <t>a1d0b7ee-a594-4c10-8ca7-110b0c9b58a5</t>
  </si>
  <si>
    <t>2022-12-01T09:43:12.650000+00:00</t>
  </si>
  <si>
    <t>836d7207-889d-43e8-a910-1ab1072fd55d</t>
  </si>
  <si>
    <t>2022-12-01T10:44:09.028000+00:00</t>
  </si>
  <si>
    <t>right_3135</t>
  </si>
  <si>
    <t>6b5aff76-bfcf-4cf5-bfc4-72b110b90f1c</t>
  </si>
  <si>
    <t>2022-12-01T11:54:17.488000+00:00</t>
  </si>
  <si>
    <t>right_3123</t>
  </si>
  <si>
    <t>550e15e5-3a34-4c32-aa1d-09c4a498465a</t>
  </si>
  <si>
    <t>4e104c46-f56f-4274-b58d-8ccac0f5784b</t>
  </si>
  <si>
    <t>2022-12-01T13:01:20.086000+00:00</t>
  </si>
  <si>
    <t>727ae527-5987-4b18-8792-fcd22da9b5b3</t>
  </si>
  <si>
    <t>slip: recovery is not enabled; inductive: recovery is not enabled</t>
  </si>
  <si>
    <t>2022-12-01T13:21:43.527000+00:00</t>
  </si>
  <si>
    <t>eb3b5757-7ec8-4036-88b9-c592a232799c</t>
  </si>
  <si>
    <t>d3db9ceb-95e3-44e5-85c6-2f4d78ccc5fa</t>
  </si>
  <si>
    <t>2022-12-01T13:56:55.341000+00:00</t>
  </si>
  <si>
    <t>6c1b4712-aa27-4c2f-ac5c-66ff9b2cd511</t>
  </si>
  <si>
    <t>e1eccfcd-faea-4028-adc8-a0ccd153d000</t>
  </si>
  <si>
    <t>2022-12-01T14:11:35.206000+00:00</t>
  </si>
  <si>
    <t>fdf2863b-bb47-4d52-bf5b-d41d6c414e5f</t>
  </si>
  <si>
    <t>ee084474-f6bf-433d-8406-1c53d4bd81ec</t>
  </si>
  <si>
    <t>2022-12-01T14:27:36.485000+00:00</t>
  </si>
  <si>
    <t>d867f237-8f9c-4c2c-b97b-0048d6b91340</t>
  </si>
  <si>
    <t>c028be34-3ddf-4490-933c-2f3a190dae5c</t>
  </si>
  <si>
    <t>2022-12-01T15:02:01.569000+00:00</t>
  </si>
  <si>
    <t>119f55a4-0693-4dc7-9767-2b40a6b95155</t>
  </si>
  <si>
    <t>2022-12-01T15:10:25.929000+00:00</t>
  </si>
  <si>
    <t>2716eab2-a98b-4328-82f8-574d67e0d509</t>
  </si>
  <si>
    <t>2022-12-01T15:25:08.834000+00:00</t>
  </si>
  <si>
    <t>04091267-0639-4d76-b135-c962c000be99</t>
  </si>
  <si>
    <t>b355a452-af9a-46e3-aaf2-0fcafc0f3f74</t>
  </si>
  <si>
    <t>2022-12-01T15:37:17.298000+00:00</t>
  </si>
  <si>
    <t>90beacae-44f8-4c1c-9c47-9a88d25cf7f6</t>
  </si>
  <si>
    <t>2022-12-01T16:11:14.853000+00:00</t>
  </si>
  <si>
    <t>left_lane3196</t>
  </si>
  <si>
    <t>77223f7b-6e69-433e-a9ab-25380f5cb117</t>
  </si>
  <si>
    <t>2022-12-01T16:19:11.281000+00:00</t>
  </si>
  <si>
    <t>378a2dd6-5ca4-4e74-a9e5-0a6b60bb258b</t>
  </si>
  <si>
    <t>0bf91439-5cce-43fe-9905-a5e93cf2d395</t>
  </si>
  <si>
    <t>failed to reset vehicle</t>
  </si>
  <si>
    <t>2022-12-01T16:45:01.712000+00:00</t>
  </si>
  <si>
    <t>left_lane3200</t>
  </si>
  <si>
    <t>Beetje vreemde error bij het induwen van de bumper</t>
  </si>
  <si>
    <t>570a2683-4c65-4747-82aa-9d4165b6f8ff</t>
  </si>
  <si>
    <t>9e28bf93-1815-4899-a0a3-7bce0cb1b761</t>
  </si>
  <si>
    <t>2022-12-01T17:09:09.896000+00:00</t>
  </si>
  <si>
    <t>98a2c91d-8aae-474a-88f0-778b5bc57ffb</t>
  </si>
  <si>
    <t>2022-12-01T17:12:06.078000+00:00</t>
  </si>
  <si>
    <t>cca8c4bf-151c-4605-b222-2bf331115ff9</t>
  </si>
  <si>
    <t>2022-12-01T17:16:05.130000+00:00</t>
  </si>
  <si>
    <t>b20c8386-406f-4144-9021-aa758b4948a6</t>
  </si>
  <si>
    <t>aa02b40d-6b41-4d8e-b989-289055baff46</t>
  </si>
  <si>
    <t>2022-12-01T18:26:00.762000+00:00</t>
  </si>
  <si>
    <t>2022-12-01T18:37:46.290000+00:00</t>
  </si>
  <si>
    <t>adf19aaa-9292-4055-a1f1-35c471cc1c42</t>
  </si>
  <si>
    <t>2022-12-01T18:50:45.185000+00:00</t>
  </si>
  <si>
    <t>a56c64e1-e216-42a1-9876-aebe8bf9f18f</t>
  </si>
  <si>
    <t>2022-12-01T18:58:03.352000+00:00</t>
  </si>
  <si>
    <t>313ddea6-fd1d-461d-86cd-e4836611ae72</t>
  </si>
  <si>
    <t>1550e705-62f3-46ee-8d4b-deae830efe52</t>
  </si>
  <si>
    <t>2022-12-01T19:01:12.884000+00:00</t>
  </si>
  <si>
    <t>left_block25_lane5</t>
  </si>
  <si>
    <t>d55f7bdd-a807-4237-a44d-5141d72ca6a1</t>
  </si>
  <si>
    <t>2022-12-01T19:10:35.685000+00:00</t>
  </si>
  <si>
    <t>d4c157c6-8fd9-479a-8503-2fd54095fbc7</t>
  </si>
  <si>
    <t>2022-12-01T22:14:07.764000+00:00</t>
  </si>
  <si>
    <t>7d3275fa-ebea-4435-8eb2-ca76b4f77d5d</t>
  </si>
  <si>
    <t>2022-12-01T22:25:41.770000+00:00</t>
  </si>
  <si>
    <t>0ed263a0-9ca1-4cdd-bab1-5fa3f4daae1e</t>
  </si>
  <si>
    <t>2022-12-02T02:07:32.361000+00:00</t>
  </si>
  <si>
    <t>2022-12-02T06:37:58.096000+00:00</t>
  </si>
  <si>
    <t>dc26f7a9-67d0-4ce0-80d6-5b8eb6862785</t>
  </si>
  <si>
    <t>2022-12-02T09:13:23.028000+00:00</t>
  </si>
  <si>
    <t>left_block25_lane6</t>
  </si>
  <si>
    <t>aa60efb5-985b-4b98-95a4-01adc1f3d435</t>
  </si>
  <si>
    <t>611da731-000c-4cda-8714-031b712177a0</t>
  </si>
  <si>
    <t>2022-12-02T09:37:24.149000+00:00</t>
  </si>
  <si>
    <t>99a8e933-043a-49f9-9cae-abf46e02042d</t>
  </si>
  <si>
    <t>2022-12-02T10:18:29.058000+00:00</t>
  </si>
  <si>
    <t>e7c8dfa1-ed78-4d79-aec5-adff6908d7f6</t>
  </si>
  <si>
    <t>0a3bd374-7e5b-410b-b7ec-89968db5369d</t>
  </si>
  <si>
    <t>2022-12-02T10:24:22.650000+00:00</t>
  </si>
  <si>
    <t>left_block24_lane5</t>
  </si>
  <si>
    <t>1c76649e-195d-405d-86e7-7e94222a2c6a</t>
  </si>
  <si>
    <t>84185738-5663-459b-8dba-c1bd10ab20fd</t>
  </si>
  <si>
    <t>2022-12-02T10:39:39.739000+00:00</t>
  </si>
  <si>
    <t>13ac72a8-43bb-40c9-8919-04865b7b83e2</t>
  </si>
  <si>
    <t>2022-12-02T10:40:14.748000+00:00</t>
  </si>
  <si>
    <t>left_block15_lane2</t>
  </si>
  <si>
    <t>5dc5324a-8de6-419f-a260-526a37d96f44</t>
  </si>
  <si>
    <t>2022-12-02T10:41:54.756000+00:00</t>
  </si>
  <si>
    <t>f1a55604-4d93-4389-8ad1-ae25a3ebe3b8</t>
  </si>
  <si>
    <t>2022-12-02T11:18:08.117000+00:00</t>
  </si>
  <si>
    <t>left_block23_lane3</t>
  </si>
  <si>
    <t>2022-12-02T11:50:24.740000+00:00</t>
  </si>
  <si>
    <t>0f1d6f71-ea13-4c43-9987-740dcc2884c7</t>
  </si>
  <si>
    <t>abd14f20-8ad2-42b5-9255-42d2d86e6f16</t>
  </si>
  <si>
    <t>slip: error code 0x1030003 is not supported; inductive: inductive does not see rails</t>
  </si>
  <si>
    <t>2022-12-02T12:07:05.277000+00:00</t>
  </si>
  <si>
    <t>left_block22_lane5</t>
  </si>
  <si>
    <t>6a8c8da7-7466-4bd7-91c3-d2ec14cb112a</t>
  </si>
  <si>
    <t>2022-12-02T12:40:12.240000+00:00</t>
  </si>
  <si>
    <t>left_block18_lane8</t>
  </si>
  <si>
    <t>18eb832d-2589-459a-863d-fe0159df07a0</t>
  </si>
  <si>
    <t>2022-12-02T12:49:24.282000+00:00</t>
  </si>
  <si>
    <t>2ef7b58a-f805-4588-a9fc-9a127268512b</t>
  </si>
  <si>
    <t>2022-12-02T13:37:11.086000+00:00</t>
  </si>
  <si>
    <t>a3b92bdf-a14b-4231-a192-04b59eaf67b1</t>
  </si>
  <si>
    <t>2022-12-02T13:50:17.058000+00:00</t>
  </si>
  <si>
    <t>d907ac13-be5e-4a99-88f3-e2169a6e95da</t>
  </si>
  <si>
    <t>b6ef2363-2d32-4058-96ff-e9ea15cc6c60</t>
  </si>
  <si>
    <t>2022-12-02T14:11:13.963000+00:00</t>
  </si>
  <si>
    <t>Error klopt niet ?</t>
  </si>
  <si>
    <t>LocalPathPlanner: trajectory generation timed out na sl</t>
  </si>
  <si>
    <t>3d88d77e-13f2-4c50-9358-214abb0b0fa4</t>
  </si>
  <si>
    <t>2022-12-02T14:45:10.734000+00:00</t>
  </si>
  <si>
    <t>77d02137-7aaa-495f-82de-abdb01dc6396</t>
  </si>
  <si>
    <t>2022-12-02T15:10:43.691000+00:00</t>
  </si>
  <si>
    <t>right_block23_lane4</t>
  </si>
  <si>
    <t>bc930893-e760-46ce-a352-b93c65e30955</t>
  </si>
  <si>
    <t>2022-12-02T15:22:10.894000+00:00</t>
  </si>
  <si>
    <t>7ca7916b-258e-4fa3-9e1a-226f6d817445</t>
  </si>
  <si>
    <t>15273c2a-a984-400c-94a3-194b6200e492</t>
  </si>
  <si>
    <t>2022-12-02T15:31:41.010000+00:00</t>
  </si>
  <si>
    <t>right_block23_lane1</t>
  </si>
  <si>
    <t>40c2c6fe-1f5d-4ef5-b453-7623b7da9c37</t>
  </si>
  <si>
    <t>2022-12-02T15:53:36.587000+00:00</t>
  </si>
  <si>
    <t>542c004e-e210-4a02-93e9-04892448bc29</t>
  </si>
  <si>
    <t>2022-12-02T16:03:14.691000+00:00</t>
  </si>
  <si>
    <t>ef042adc-2ff8-4390-bed8-466b44a4008f</t>
  </si>
  <si>
    <t>2022-12-02T16:28:20.996000+00:00</t>
  </si>
  <si>
    <t>right_block14_lane2</t>
  </si>
  <si>
    <t>9fc6a8b8-ea4a-4d41-8a76-70c9f7c5cdf9</t>
  </si>
  <si>
    <t>3c254dfd-91c7-4cb7-b7c6-e56a2494111b</t>
  </si>
  <si>
    <t>2022-12-02T16:30:41.141000+00:00</t>
  </si>
  <si>
    <t>right_block21_lane2</t>
  </si>
  <si>
    <t>4b087083-2bd1-4fb1-bea5-5a845be8813c</t>
  </si>
  <si>
    <t>slip: error code 0x1030002 is not supported; inductive: inductive does not see rails</t>
  </si>
  <si>
    <t>2022-12-02T16:34:16.669000+00:00</t>
  </si>
  <si>
    <t>890cd30c-a708-4d6a-a7e4-62c2c9b874f7</t>
  </si>
  <si>
    <t>76ec5b69-867d-4946-9fb9-3af379fd3b4c</t>
  </si>
  <si>
    <t>2022-12-02T16:43:45.502000+00:00</t>
  </si>
  <si>
    <t>slip: current node is not the lane (walkway-3-2 vs right_block20_lane7); inductive: inductive does not see rails</t>
  </si>
  <si>
    <t>right_block20_lane7</t>
  </si>
  <si>
    <t>6ac4e3d2-1aa2-4612-aec7-db57e8085e6a</t>
  </si>
  <si>
    <t>8c05c9d7-8963-4cac-9dd6-a62b6416d301</t>
  </si>
  <si>
    <t>9b6068b2-f092-4616-a69b-19dd4dca6ce0</t>
  </si>
  <si>
    <t>2022-12-02T16:52:13.784000+00:00</t>
  </si>
  <si>
    <t>slip: error code 0x1030001 is not supported; inductive: inductive does not see rails</t>
  </si>
  <si>
    <t>right_block20_lane6</t>
  </si>
  <si>
    <t>d1901102-315e-4e1d-842d-98e7f7536b88</t>
  </si>
  <si>
    <t>2022-12-02T16:53:31.373000+00:00</t>
  </si>
  <si>
    <t>2022-12-02T16:55:32.613000+00:00</t>
  </si>
  <si>
    <t>right_block15_lane1</t>
  </si>
  <si>
    <t>85ceb898-0c82-41e5-8305-37c0f43f286f</t>
  </si>
  <si>
    <t>2022-12-02T16:58:29.259000+00:00</t>
  </si>
  <si>
    <t>right_block15_lane2</t>
  </si>
  <si>
    <t>slip: current node is not the lane (walkway-3 vs right_block15_lane3); inductive: inductive does not see rails</t>
  </si>
  <si>
    <t>2022-12-02T16:58:57.081000+00:00</t>
  </si>
  <si>
    <t>right_block15_lane3</t>
  </si>
  <si>
    <t>bd6bf3ae-5e53-42f4-b057-75ee5659af24</t>
  </si>
  <si>
    <t>2022-12-02T17:01:14.258000+00:00</t>
  </si>
  <si>
    <t>c01c0a6b-4fad-4018-92d9-8f6f61dc1844</t>
  </si>
  <si>
    <t>2022-12-02T17:23:33.459000+00:00</t>
  </si>
  <si>
    <t>a33af10f-9be1-4853-a0b1-b2c6ee66c3ff</t>
  </si>
  <si>
    <t>840ce2d2-b1eb-4035-a499-af2b01d12e87</t>
  </si>
  <si>
    <t>2022-12-02T17:24:00.577000+00:00</t>
  </si>
  <si>
    <t>right_block20_lane3</t>
  </si>
  <si>
    <t>365e9918-9fe1-4552-817f-028a3dc1f509</t>
  </si>
  <si>
    <t>2022-12-05T16:02:31.757000+00:00</t>
  </si>
  <si>
    <t>2c113e38-8a31-4fa6-8278-f868a9cf361a</t>
  </si>
  <si>
    <t>2022-12-05T16:16:28.025000+00:00</t>
  </si>
  <si>
    <t>b9bce897-0cfd-4ad5-8e0e-bf741f683483</t>
  </si>
  <si>
    <t>2022-12-05T16:22:12.500000+00:00</t>
  </si>
  <si>
    <t>cf24267d-cc47-4d08-9d84-31c623e426af</t>
  </si>
  <si>
    <t>2022-12-05T17:14:38.628000+00:00</t>
  </si>
  <si>
    <t>c78b1d76-c75b-4ed3-97ac-e1886426a04d</t>
  </si>
  <si>
    <t>307b1e46-e1a4-4bd0-9a1e-08208e259738</t>
  </si>
  <si>
    <t>slip: error code 0x1060009 is not supported; inductive: error code 0x1060009 is not supported</t>
  </si>
  <si>
    <t>2022-12-05T18:15:18.267000+00:00</t>
  </si>
  <si>
    <t>26031ee7-3ab6-42df-a9f4-e069cf4d2807</t>
  </si>
  <si>
    <t>2022-12-05T19:52:36.716000+00:00</t>
  </si>
  <si>
    <t>7a0fc5ce-a9e0-4f66-85f8-34f94969191d</t>
  </si>
  <si>
    <t>2022-12-05T20:00:45.385000+00:00</t>
  </si>
  <si>
    <t>1f416bda-f514-4d2a-80d3-b90ab76e600c</t>
  </si>
  <si>
    <t>2022-12-05T22:08:34.942000+00:00</t>
  </si>
  <si>
    <t>2022-12-05T22:59:38.864000+00:00</t>
  </si>
  <si>
    <t>2022-12-06T01:16:45.425000+00:00</t>
  </si>
  <si>
    <t>left_block26_lane4</t>
  </si>
  <si>
    <t>d3e904c4-52af-466e-9383-08a4b1d85aa8</t>
  </si>
  <si>
    <t>2022-12-06T02:32:46.140000+00:00</t>
  </si>
  <si>
    <t>2022-12-06T05:22:25.309000+00:00</t>
  </si>
  <si>
    <t>2022-12-06T07:34:45.607000+00:00</t>
  </si>
  <si>
    <t>7182139c-b2bc-43c6-9292-621435075697</t>
  </si>
  <si>
    <t>0a308335-9af4-433b-9f0a-58eaaefeb4eb</t>
  </si>
  <si>
    <t>2022-12-06T18:06:19.787000+00:00</t>
  </si>
  <si>
    <t>voorwielen geraken niet op de rail</t>
  </si>
  <si>
    <t>5030f963-2525-4667-a45f-124474f19d3f</t>
  </si>
  <si>
    <t>2022-12-06T18:16:40.356000+00:00</t>
  </si>
  <si>
    <t>right_3089</t>
  </si>
  <si>
    <t>b5aa74bc-daf8-4c1f-83b0-41e4ae41729c</t>
  </si>
  <si>
    <t>2022-12-06T19:41:18.723000+00:00</t>
  </si>
  <si>
    <t>left_block21_lane4</t>
  </si>
  <si>
    <t>geen log, maar de error code is trajectory generation timeout van de LPP. Ik ben tamelijk zeker dat dit komt doordat er een collision detection is bij het op de beton rijden.</t>
  </si>
  <si>
    <t>e253e89e-bcc7-4115-96e8-12478db9aaf0</t>
  </si>
  <si>
    <t>6f769453-2c55-454f-bdca-51c62ac8b53d</t>
  </si>
  <si>
    <t>2022-12-06T20:21:30.277000+00:00</t>
  </si>
  <si>
    <t>right_block20_lane4</t>
  </si>
  <si>
    <t>7eae3a8d-c268-41d1-867f-f18e5ec036e7</t>
  </si>
  <si>
    <t>2022-12-06T20:32:42.417000+00:00</t>
  </si>
  <si>
    <t>botst tegen andere robot</t>
  </si>
  <si>
    <t>08c91041-dde9-4994-ba66-0a974ed123b8</t>
  </si>
  <si>
    <t>2022-12-06T22:18:01.292000+00:00</t>
  </si>
  <si>
    <t>2ddf27dd-ccc5-4305-a1d7-79eaa46398c3</t>
  </si>
  <si>
    <t>2022-12-06T22:19:59.960000+00:00</t>
  </si>
  <si>
    <t>right_block20_lane5</t>
  </si>
  <si>
    <t>could not find feasible path</t>
  </si>
  <si>
    <t>1b0ca0c1-522c-4ca2-ba55-0f749a9ec8c2</t>
  </si>
  <si>
    <t>2022-12-06T23:43:23.856000+00:00</t>
  </si>
  <si>
    <t>2022-12-07T02:30:32.029000+00:00</t>
  </si>
  <si>
    <t>e5f3dc06-3d7a-4cc9-8c6b-3bb111446f74</t>
  </si>
  <si>
    <t>slip: error code 0x1040105 is not supported; inductive: inductive does not see rails</t>
  </si>
  <si>
    <t>2022-12-07T04:17:21.328000+00:00</t>
  </si>
  <si>
    <t>right_3407</t>
  </si>
  <si>
    <t>meteen bij het ingedraaid komen</t>
  </si>
  <si>
    <t>Er zijn geldige metingen maar ze komen net te laat. De robot is ongeveer 3.5 seconden in de xtheta regio op moment van error. Indien er visie checks gebeuren tijdens "slip" recovery, mag deze error code eigenlijk ook toegevoegd worden aan de slip recovery error codes</t>
  </si>
  <si>
    <t>6b2aa3e4-627c-4754-bbb8-262165113b8e</t>
  </si>
  <si>
    <t>2022-12-07T09:24:17.135000+00:00</t>
  </si>
  <si>
    <t>8807fde6-2429-4be6-9870-8eb2822d1072</t>
  </si>
  <si>
    <t>2022-12-07T09:39:20.733000+00:00</t>
  </si>
  <si>
    <t>aaffa6b2-f775-4bf7-aff8-50e235040ec7</t>
  </si>
  <si>
    <t>2022-12-07T09:43:52.452000+00:00</t>
  </si>
  <si>
    <t>fc0c7b73-045b-4c86-92e0-9c9b76e2294c</t>
  </si>
  <si>
    <t>2022-12-07T10:05:49.265000+00:00</t>
  </si>
  <si>
    <t>e749f465-5dba-404f-991d-8ef2e23f114b</t>
  </si>
  <si>
    <t>map did not return recovery info</t>
  </si>
  <si>
    <t>2022-12-07T10:06:10.107000+00:00</t>
  </si>
  <si>
    <t>waypoint-end-right_3089-left</t>
  </si>
  <si>
    <t>2022-12-07T10:08:21.991000+00:00</t>
  </si>
  <si>
    <t>461a41d9-a447-4f79-8078-716e84d2dc2f</t>
  </si>
  <si>
    <t>2022-12-07T10:18:37.721000+00:00</t>
  </si>
  <si>
    <t>s4_b10_l6</t>
  </si>
  <si>
    <t>2022-12-07T10:23:24.006000+00:00</t>
  </si>
  <si>
    <t>4bfe1a3e-ebc9-469c-b6ac-3c81b2be24e1</t>
  </si>
  <si>
    <t>2022-12-07T11:04:00.304000+00:00</t>
  </si>
  <si>
    <t>d864e37a-bca6-429c-afee-162ea2d0b46a</t>
  </si>
  <si>
    <t>63c51c81-348c-4070-b2a7-6cf78e1b1966</t>
  </si>
  <si>
    <t>2022-12-07T11:06:44.142000+00:00</t>
  </si>
  <si>
    <t>e2e4d021-26d9-4510-aa8c-fd013a75db62</t>
  </si>
  <si>
    <t>2022-12-07T11:15:07.018000+00:00</t>
  </si>
  <si>
    <t>248ffa38-dd52-4941-9c65-dc1cf908b7e3</t>
  </si>
  <si>
    <t>9fd03899-3e94-4db1-bff3-b550072a72fb</t>
  </si>
  <si>
    <t>2022-12-07T11:41:27.665000+00:00</t>
  </si>
  <si>
    <t>s4_b9_l6</t>
  </si>
  <si>
    <t>2876da3c-3ac9-4f1c-b3e6-f3342835c799</t>
  </si>
  <si>
    <t>9b2bb539-1b91-4ca7-8615-cde919551f79</t>
  </si>
  <si>
    <t>2022-12-07T12:06:48.596000+00:00</t>
  </si>
  <si>
    <t>99c87a44-1b83-4538-a714-8479915c0a62</t>
  </si>
  <si>
    <t>f2f8eb23-7625-46d3-aeab-86d6b0f2343d</t>
  </si>
  <si>
    <t>2022-12-07T12:21:56.427000+00:00</t>
  </si>
  <si>
    <t>50cba127-cdc2-444f-89b7-7852fae17bfb</t>
  </si>
  <si>
    <t>e0f4e379-a116-42d7-9e3d-3532870066d6</t>
  </si>
  <si>
    <t>2022-12-07T12:47:14.780000+00:00</t>
  </si>
  <si>
    <t>s4_b2_l1</t>
  </si>
  <si>
    <t>310f4b34-9eed-400e-a89b-776e89983ec5</t>
  </si>
  <si>
    <t>2022-12-07T15:21:57.541000+00:00</t>
  </si>
  <si>
    <t>59a996d0-7697-4725-9ba5-cbfa0721f189</t>
  </si>
  <si>
    <t>2022-12-07T16:43:40.535000+00:00</t>
  </si>
  <si>
    <t>211a8d89-ac21-4c97-8a58-54d4b47b5837</t>
  </si>
  <si>
    <t>2022-12-07T17:50:55.724000+00:00</t>
  </si>
  <si>
    <t>552d37d3-e1f0-4793-bf00-2f2bd6ed5376</t>
  </si>
  <si>
    <t>2022-12-07T18:01:01.909000+00:00</t>
  </si>
  <si>
    <t>2d5fc3a2-5304-4cd1-b943-bbc8a495abda</t>
  </si>
  <si>
    <t>d3418c7f-9724-401a-a5d7-b064bfa252d5</t>
  </si>
  <si>
    <t>2022-12-07T18:11:44.641000+00:00</t>
  </si>
  <si>
    <t>7e8a60dd-6fc3-4410-a10d-ed23ecd84c42</t>
  </si>
  <si>
    <t>2022-12-07T18:54:45.094000+00:00</t>
  </si>
  <si>
    <t>Terechte detectie van collisions en uiteindelijk ook slip</t>
  </si>
  <si>
    <t>17bd235f-040b-4146-9d92-90c7a200a004</t>
  </si>
  <si>
    <t>8534c272-81b8-401b-aca7-25c412c06f1e</t>
  </si>
  <si>
    <t>2022-12-07T20:19:42.618000+00:00</t>
  </si>
  <si>
    <t>left_block19_lane3</t>
  </si>
  <si>
    <t>aanpassing aan smoothing_size van collision detector nog niet actief (powercycle niet uitgevoerd). Op 029 is dit wel het geval</t>
  </si>
  <si>
    <t>2022-12-07T20:39:40.472000+00:00</t>
  </si>
  <si>
    <t>2022-12-08T03:51:14.145000+00:00</t>
  </si>
  <si>
    <t>2022-12-08T07:39:53.952000+00:00</t>
  </si>
  <si>
    <t>008a1b7f-f03a-451f-ad2e-84eb1a41ab69</t>
  </si>
  <si>
    <t>2022-12-08T09:38:15.060000+00:00</t>
  </si>
  <si>
    <t>4e5eea9c-4270-46ae-8ca5-acde096ddd66</t>
  </si>
  <si>
    <t>2022-12-08T13:44:33.189000+00:00</t>
  </si>
  <si>
    <t>02d2b0d9-11a6-4388-98aa-33df08a0908d</t>
  </si>
  <si>
    <t>2022-12-08T14:00:25.394000+00:00</t>
  </si>
  <si>
    <t>727fd434-cdc8-4704-a641-b9e931a90adb</t>
  </si>
  <si>
    <t>2022-12-08T14:07:03.899000+00:00</t>
  </si>
  <si>
    <t>7de355ce-dc1b-4886-b3d1-e7cbbfbae85c</t>
  </si>
  <si>
    <t>2022-12-08T17:59:03.568000+00:00</t>
  </si>
  <si>
    <t>2022-12-08T22:08:43.607000+00:00</t>
  </si>
  <si>
    <t>a0b0f5f0-c9cc-48a4-bd2c-2284ac89ab0c</t>
  </si>
  <si>
    <t>2022-12-09T07:51:07.836000+00:00</t>
  </si>
  <si>
    <t>6c499a25-ea80-43e7-beca-39ab3a915e06</t>
  </si>
  <si>
    <t>2022-12-09T15:03:42.299000+00:00</t>
  </si>
  <si>
    <t>cbddeace-adc6-48a8-9366-f9ef34933b7e</t>
  </si>
  <si>
    <t>2022-12-09T15:03:59.463000+00:00</t>
  </si>
  <si>
    <t>a0fff6dd-b138-4b9a-aca5-0528732a2589</t>
  </si>
  <si>
    <t>2022-12-09T17:27:10.984000+00:00</t>
  </si>
  <si>
    <t>2022-12-09T19:36:26.899000+00:00</t>
  </si>
  <si>
    <t>a0d0625d-420d-42bf-9776-0a5c5de2525e</t>
  </si>
  <si>
    <t>57d9e327-4327-4778-bad6-9b55760696ad</t>
  </si>
  <si>
    <t>2022-12-09T23:34:18.858000+00:00</t>
  </si>
  <si>
    <t>2022-12-10T00:51:17.348000+00:00</t>
  </si>
  <si>
    <t>2022-12-10T04:16:48.412000+00:00</t>
  </si>
  <si>
    <t>41723fe4-b386-4e51-8127-57c7f4a5028a</t>
  </si>
  <si>
    <t>f1422dbd-32f4-45e2-a854-961d6c54af1d</t>
  </si>
  <si>
    <t>2022-12-10T07:37:16.548000+00:00</t>
  </si>
  <si>
    <t>right_3085</t>
  </si>
  <si>
    <r>
      <rPr>
        <sz val="11"/>
        <color rgb="FF000000"/>
        <rFont val="Calibri"/>
      </rPr>
      <t xml:space="preserve">Slip detectie treedt in werking op onverwachte plaats. Niet duidelijk of dit terecht is en wat dit veroorzaakt. We zouden hier wel van moeten kunnen recoveren (Bart heeft error codes toegevoegd aan slip recovery). Indien nodig kan de slipdetectie ook worden aangepast. (bijvoorbeeld "/navigation/slip_crash_monitor/minimum_threshold_slip_detection":0.015
</t>
    </r>
    <r>
      <rPr>
        <b/>
        <sz val="11"/>
        <color rgb="FF000000"/>
        <rFont val="Calibri"/>
      </rPr>
      <t xml:space="preserve"> veel</t>
    </r>
    <r>
      <rPr>
        <sz val="11"/>
        <color rgb="FF000000"/>
        <rFont val="Calibri"/>
      </rPr>
      <t xml:space="preserve"> hoger zetten)</t>
    </r>
  </si>
  <si>
    <t>80a065ff-5284-4f4d-ab23-e3dfb9d3bd86</t>
  </si>
  <si>
    <t>2022-12-10T07:56:46.257000+00:00</t>
  </si>
  <si>
    <t>9dc95933-b8ca-4836-8d7f-d9d392d3c3ee</t>
  </si>
  <si>
    <t>2022-12-10T08:07:17.838000+00:00</t>
  </si>
  <si>
    <t>e7377c8c-9728-40f2-b13e-972daae8d5fe</t>
  </si>
  <si>
    <t>2022-12-10T18:03:53.589000+00:00</t>
  </si>
  <si>
    <t>right_block14_lane3</t>
  </si>
  <si>
    <t>2022-12-10T18:03:53.680000+00:00</t>
  </si>
  <si>
    <t>2ec38354-295d-4019-ae3e-04175a35ee0f</t>
  </si>
  <si>
    <t>2022-12-13T15:57:44.755000+00:00</t>
  </si>
  <si>
    <t>5bc42a25-2062-4e05-aafe-41819491677d</t>
  </si>
  <si>
    <t>efcc949f-19c6-4e44-9525-e179a050ca51</t>
  </si>
  <si>
    <t>2022-12-13T17:01:14.828000+00:00</t>
  </si>
  <si>
    <t>right-test_with_poles</t>
  </si>
  <si>
    <t>2022-12-14T06:39:41.743000+00:00</t>
  </si>
  <si>
    <t>left_block6_lane2</t>
  </si>
  <si>
    <t>80267eec-faf2-41ec-859a-ca6f68a3ce87</t>
  </si>
  <si>
    <t>cb80a9b0-a26c-4325-a394-abc775f56f0e</t>
  </si>
  <si>
    <t>2022-12-14T14:58:28.372000+00:00</t>
  </si>
  <si>
    <t>171324ee-7b70-427a-a678-0d77ca6b339b</t>
  </si>
  <si>
    <t>2022-12-14T15:01:33.424000+00:00</t>
  </si>
  <si>
    <t>7720f12c-3f04-46ea-a022-3c50129fe76d</t>
  </si>
  <si>
    <t>2022-12-15T07:41:39.668000+00:00</t>
  </si>
  <si>
    <t>44ebb9cf-c6d9-4b12-a353-3c8dbb8c218a</t>
  </si>
  <si>
    <t>2022-12-15T07:59:54.983000+00:00</t>
  </si>
  <si>
    <t>54492dec-15d9-4d3a-846e-62498f54562d</t>
  </si>
  <si>
    <t>2022-12-15T16:08:03.510000+00:00</t>
  </si>
  <si>
    <t>e6431afa-b2fb-4ba1-ace1-2c279b5b369b</t>
  </si>
  <si>
    <t>0c0a1aaf-6f7e-4ff2-ac6b-06cf62ad6c0b</t>
  </si>
  <si>
    <t>2022-12-15T17:18:18.163000+00:00</t>
  </si>
  <si>
    <t>2022-12-15T19:51:00.344000+00:00</t>
  </si>
  <si>
    <t>2022-12-17T22:40:17.491000+00:00</t>
  </si>
  <si>
    <t>72533123-bdba-4888-880e-e19d65755d0d</t>
  </si>
  <si>
    <t>2022-12-18T16:01:14.828000+00:00</t>
  </si>
  <si>
    <t>Timing of db log incorrect!!!</t>
  </si>
  <si>
    <t>9d10ca05-36b9-462c-a043-19d5a3163f19</t>
  </si>
  <si>
    <t>2022-12-18T16:14:46.420000+00:00</t>
  </si>
  <si>
    <t>748a5c0b-78ec-4acf-86dc-35fb7986668e</t>
  </si>
  <si>
    <t>2022-12-18T17:15:44.156000+00:00</t>
  </si>
  <si>
    <t>7d580a6f-ebb4-4a7e-a930-abe779f91480</t>
  </si>
  <si>
    <t>2022-12-18T17:16:23.429000+00:00</t>
  </si>
  <si>
    <t>036863c3-b8c7-4e30-ab83-176e12d100d9</t>
  </si>
  <si>
    <t>2022-12-19T15:21:44.031000+00:00</t>
  </si>
  <si>
    <t>54f41bf9-160f-4cb4-a44a-159ffd7c0b19</t>
  </si>
  <si>
    <t>2022-12-19T15:23:23.191000+00:00</t>
  </si>
  <si>
    <t>9ad0719b-a09f-489f-b3e8-16afefe61e0b</t>
  </si>
  <si>
    <t>2022-12-19T17:25:09.430000+00:00</t>
  </si>
  <si>
    <t>5ec2b49b-2b54-4809-92f7-2bb1e8e57db1</t>
  </si>
  <si>
    <t>2022-12-20T00:36:03.823000+00:00</t>
  </si>
  <si>
    <t>right_3435</t>
  </si>
  <si>
    <t>ea037114-1bed-4470-b63d-7e5eee3fb535</t>
  </si>
  <si>
    <t>2022-12-20T01:17:02.352000+00:00</t>
  </si>
  <si>
    <t>2022-12-20T02:26:23.851000+00:00</t>
  </si>
  <si>
    <t>2022-12-20T17:37:21.829000+00:00</t>
  </si>
  <si>
    <t>2022-12-20T21:37:46.491000+00:00</t>
  </si>
  <si>
    <t>2022-12-21T01:22:44.782000+00:00</t>
  </si>
  <si>
    <t>2022-12-21T04:45:37.791000+00:00</t>
  </si>
  <si>
    <t>right_3431</t>
  </si>
  <si>
    <t>2022-12-21T05:12:22.509000+00:00</t>
  </si>
  <si>
    <t>right_3445</t>
  </si>
  <si>
    <t>2022-12-21T06:41:12.276000+00:00</t>
  </si>
  <si>
    <t>621c91de-8e21-4292-96f6-33de8f6c95ce</t>
  </si>
  <si>
    <t>0c24b7ff-921c-475d-b3ef-52cf14da91d9</t>
  </si>
  <si>
    <t>2022-12-22T15:52:57.161000+00:00</t>
  </si>
  <si>
    <t>right_3791</t>
  </si>
  <si>
    <t>c9c39945-4144-4445-9059-9e397bae7c17</t>
  </si>
  <si>
    <t>2022-12-22T15:57:33.930000+00:00</t>
  </si>
  <si>
    <t>7ce96679-e7d6-41bd-a778-d3e290a336b1</t>
  </si>
  <si>
    <t>2022-12-22T16:12:10.031000+00:00</t>
  </si>
  <si>
    <t>7a824e3e-9612-4bff-8ed7-3e1ecb0b4c5a</t>
  </si>
  <si>
    <t>2022-12-22T17:29:35.615000+00:00</t>
  </si>
  <si>
    <t>68d3534e-814f-4507-8905-662d2999132b</t>
  </si>
  <si>
    <t>1ec57f74-2f72-4e6a-896b-87961b3c3f79</t>
  </si>
  <si>
    <t>2022-12-22T17:32:12.216000+00:00</t>
  </si>
  <si>
    <t>ae5c3c67-9835-45ca-88c6-22e966b37975</t>
  </si>
  <si>
    <t>2022-12-22T20:35:56.382000+00:00</t>
  </si>
  <si>
    <t>waypoint-end-left_lane3660-right</t>
  </si>
  <si>
    <t>0eca3025-cfcf-49d0-8eb1-0b49fa215a26</t>
  </si>
  <si>
    <t>9cf063d1-a15e-4685-bd02-da9a9c9429b5</t>
  </si>
  <si>
    <t>2022-12-23T10:24:45.326000+00:00</t>
  </si>
  <si>
    <t>0dbb3892-30c9-402a-8070-ed0e2179795f</t>
  </si>
  <si>
    <t>2022-12-23T10:30:51.644000+00:00</t>
  </si>
  <si>
    <t>2e001e28-7935-4b7e-a35a-da3d88580469</t>
  </si>
  <si>
    <t>2022-12-23T10:39:48.702000+00:00</t>
  </si>
  <si>
    <t>right_3651</t>
  </si>
  <si>
    <t>921e73a8-61fa-47f8-95a3-0012e26b2334</t>
  </si>
  <si>
    <t>2b184cdc-8b16-4d8c-a475-1949b1144ce3</t>
  </si>
  <si>
    <t>2022-12-23T15:24:36.019000+00:00</t>
  </si>
  <si>
    <t>right_3603</t>
  </si>
  <si>
    <t>63480ae8-c985-4eef-a90f-3fbcc03dd562</t>
  </si>
  <si>
    <t>2022-12-23T18:02:53.631000+00:00</t>
  </si>
  <si>
    <t>left_lane3590</t>
  </si>
  <si>
    <t>9bcfe38c-5e00-466a-b1e5-e6ff4b7bccd1</t>
  </si>
  <si>
    <t>524da1fa-5abf-4974-b796-b299a633d2e3</t>
  </si>
  <si>
    <t>2022-12-23T18:31:25.052000+00:00</t>
  </si>
  <si>
    <t>left_block2_lane8</t>
  </si>
  <si>
    <t>06e77fd6-3b02-4a9e-8c19-5b6d8f600d77</t>
  </si>
  <si>
    <t>2022-12-23T23:33:09.532000+00:00</t>
  </si>
  <si>
    <t>7c6c09f3-7530-4e72-a43b-379345e90b12</t>
  </si>
  <si>
    <t>2022-12-24T07:24:27.317000+00:00</t>
  </si>
  <si>
    <t>left_block9_lane7</t>
  </si>
  <si>
    <t>2022-12-26T21:54:27.072000+00:00</t>
  </si>
  <si>
    <t>97996da6-74d5-4cf8-a76b-7d10d6f4acd5</t>
  </si>
  <si>
    <t>2022-12-28T16:07:18.713000+00:00</t>
  </si>
  <si>
    <t>2022-12-29T00:48:07.136000+00:00</t>
  </si>
  <si>
    <t>1b373d9c-5b30-4097-a79b-d8a47478af2c</t>
  </si>
  <si>
    <t>2022-12-29T06:45:38.133000+00:00</t>
  </si>
  <si>
    <t>2022-12-29T07:24:59.741000+00:00</t>
  </si>
  <si>
    <t>b0bb9385-2b56-4d73-860f-ba30b5376589</t>
  </si>
  <si>
    <t>2022-12-29T07:48:32.010000+00:00</t>
  </si>
  <si>
    <t>2022-12-29T09:42:51.654000+00:00</t>
  </si>
  <si>
    <t>e2bb4bdd-d564-471e-90ed-88958592c7b8</t>
  </si>
  <si>
    <t>2022-12-29T15:22:49.419000+00:00</t>
  </si>
  <si>
    <t>27b0eb4d-c075-45d6-b74c-51741c445423</t>
  </si>
  <si>
    <t>f08bd089-cacf-4ecb-9b24-4928dbb8a015</t>
  </si>
  <si>
    <t>2022-12-29T15:31:28.265000+00:00</t>
  </si>
  <si>
    <t>right_3409</t>
  </si>
  <si>
    <t>74e8d90f-e333-411d-b202-c1421be01470</t>
  </si>
  <si>
    <t>2022-12-29T17:12:19.682000+00:00</t>
  </si>
  <si>
    <t>right_3361</t>
  </si>
  <si>
    <t>ce62c493-b28b-4d7b-95ac-57d32b562f47</t>
  </si>
  <si>
    <t>2022-12-29T17:50:13.632000+00:00</t>
  </si>
  <si>
    <t>7f937e24-7bcf-4d42-856a-488d79fac4e2</t>
  </si>
  <si>
    <t>2022-12-29T18:18:24.809000+00:00</t>
  </si>
  <si>
    <t>right_3591</t>
  </si>
  <si>
    <t>010c2e9f-37c8-4c11-822a-94a43b6606cc</t>
  </si>
  <si>
    <t>2022-12-29T18:37:37.613000+00:00</t>
  </si>
  <si>
    <t>77b5bbcf-8598-4e7d-b786-215a63948e91</t>
  </si>
  <si>
    <t>2022-12-29T20:28:15.334000+00:00</t>
  </si>
  <si>
    <t>a99e0627-95f1-4df9-9e49-2d3bd9be355e</t>
  </si>
  <si>
    <t>2022-12-29T23:06:20.802000+00:00</t>
  </si>
  <si>
    <t>right_3747</t>
  </si>
  <si>
    <t>0cdb1466-5dba-46a5-926d-60ae0c49efd5</t>
  </si>
  <si>
    <t>2022-12-30T01:36:19.487000+00:00</t>
  </si>
  <si>
    <t>2022-12-30T01:44:59.096000+00:00</t>
  </si>
  <si>
    <t>169c8977-2732-4cd8-8548-47184fb77135</t>
  </si>
  <si>
    <t>2022-12-30T06:59:47.426000+00:00</t>
  </si>
  <si>
    <t>03e8a7df-89f5-4182-8d13-6f726841a0d0</t>
  </si>
  <si>
    <t>2022-12-30T08:54:01.638000+00:00</t>
  </si>
  <si>
    <t>47e91e14-1d8a-4a28-9d18-ab79a9f6cede</t>
  </si>
  <si>
    <t>a7f7ec64-53a4-4676-a09a-6278705cb150</t>
  </si>
  <si>
    <t>2022-12-30T12:06:56.436000+00:00</t>
  </si>
  <si>
    <t>s4_b4_l4</t>
  </si>
  <si>
    <t>c59010c9-2658-4eb8-aa34-d9e568e9a102</t>
  </si>
  <si>
    <t>2022-12-31T06:58:53.340000+00:00</t>
  </si>
  <si>
    <t>df23fdc7-e12d-4500-ae2b-42462df120cc</t>
  </si>
  <si>
    <t>26a346cd-71f3-4ba7-a899-4c9ed028eb35</t>
  </si>
  <si>
    <t>2022-12-31T07:21:06.175000+00:00</t>
  </si>
  <si>
    <t>left_lane3510</t>
  </si>
  <si>
    <t>ee185ebc-beb9-40e8-b8ee-437a99855df0</t>
  </si>
  <si>
    <t>52f7d884-6c65-4c8b-9f5e-0573dff98970</t>
  </si>
  <si>
    <t>2022-12-31T16:55:31.095000+00:00</t>
  </si>
  <si>
    <t>left_lane3552</t>
  </si>
  <si>
    <t>1c66fbcd-a043-4081-9750-42ecad8dce9d</t>
  </si>
  <si>
    <t>2022-12-31T17:53:24.856000+00:00</t>
  </si>
  <si>
    <t>left_lane3584</t>
  </si>
  <si>
    <t>e555ada4-f8df-4740-9191-b44782dd8c93</t>
  </si>
  <si>
    <t>2022-12-31T19:12:28.303000+00:00</t>
  </si>
  <si>
    <t>left_lane3628</t>
  </si>
  <si>
    <t>62f4c927-939d-48a5-914e-de91bb09aa87</t>
  </si>
  <si>
    <t>2022-12-31T19:44:07.010000+00:00</t>
  </si>
  <si>
    <t>48349836-69b0-4350-9ccf-66452c8fea9b</t>
  </si>
  <si>
    <t>2022-12-31T20:01:19.075000+00:00</t>
  </si>
  <si>
    <t>left_lane3654</t>
  </si>
  <si>
    <t>9f897a60-3b92-4b42-b20c-c493e2ba419a</t>
  </si>
  <si>
    <t>2022-12-31T20:07:25.347000+00:00</t>
  </si>
  <si>
    <t>left_lane3660</t>
  </si>
  <si>
    <t>5f3661b9-7cda-47d7-a532-5d07abfeeb48</t>
  </si>
  <si>
    <t>2022-12-31T20:08:52.139000+00:00</t>
  </si>
  <si>
    <t>b7bae5bb-60e2-4713-8c0f-ab005676a7e2</t>
  </si>
  <si>
    <t>54b53eae-063c-4bef-9042-4983e4e180a6</t>
  </si>
  <si>
    <t>2022-12-31T22:53:32.863000+00:00</t>
  </si>
  <si>
    <t>c78b6a59-adae-46a9-b7da-9224800e496a</t>
  </si>
  <si>
    <t>2022-12-31T23:12:09.858000+00:00</t>
  </si>
  <si>
    <t>left_lane3412</t>
  </si>
  <si>
    <t>2023-01-01T01:23:57.775000+00:00</t>
  </si>
  <si>
    <t>2023-01-01T01:36:29.278000+00:00</t>
  </si>
  <si>
    <t>73ad4746-fec5-4bf0-8d6a-3561666bf926</t>
  </si>
  <si>
    <t>a81806c2-da07-43ed-9375-c2a03bca7b2a</t>
  </si>
  <si>
    <t>2023-01-01T16:45:43.363000+00:00</t>
  </si>
  <si>
    <t>right_3453</t>
  </si>
  <si>
    <t>ec554471-a008-4e01-a433-2b4d97e62204</t>
  </si>
  <si>
    <t>752c171b-c862-4b83-b080-0cf827a55b7d</t>
  </si>
  <si>
    <t>2023-01-01T17:14:42.864000+00:00</t>
  </si>
  <si>
    <t>right_3553</t>
  </si>
  <si>
    <t>2d817781-4f43-4051-b6e4-593c66ee5eb5</t>
  </si>
  <si>
    <t>2023-01-01T17:55:20.622000+00:00</t>
  </si>
  <si>
    <t>36e48817-c6d2-4d78-a9a4-8604a43c528b</t>
  </si>
  <si>
    <t>2023-01-01T18:28:58.093000+00:00</t>
  </si>
  <si>
    <t>422b7460-9829-446c-b2ca-584df9bdc094</t>
  </si>
  <si>
    <t>2023-01-01T18:48:06.467000+00:00</t>
  </si>
  <si>
    <t>4a8a8650-1e77-4861-8af4-66ee2abb2317</t>
  </si>
  <si>
    <t>2023-01-01T21:05:56.588000+00:00</t>
  </si>
  <si>
    <t>b61d4b96-b3dd-4bd4-8155-431fbdc3927c</t>
  </si>
  <si>
    <t>2023-01-01T23:19:20.910000+00:00</t>
  </si>
  <si>
    <t>3ad1d175-4110-4594-8eb7-885b91c61d3c</t>
  </si>
  <si>
    <t>2023-01-02T01:50:15.025000+00:00</t>
  </si>
  <si>
    <t>2023-01-02T01:58:48.898000+00:00</t>
  </si>
  <si>
    <t>de47dbdd-f3b6-4dd2-8341-c68ed1e50a75</t>
  </si>
  <si>
    <t>2023-01-02T05:38:25.641000+00:00</t>
  </si>
  <si>
    <t>7a23d1d3-57ba-4bb7-90bc-038121bb5945</t>
  </si>
  <si>
    <t>2023-01-02T06:33:09.658000+00:00</t>
  </si>
  <si>
    <t>91a5dc34-d99d-4b2d-900b-64d327f693d8</t>
  </si>
  <si>
    <t>2023-01-02T10:08:04.289000+00:00</t>
  </si>
  <si>
    <t>35bcb503-bcbc-4e3e-bac2-c0c68889c14c</t>
  </si>
  <si>
    <t>5e7dd57f-ac7e-470a-bd52-441308856c4e</t>
  </si>
  <si>
    <t>2023-01-02T12:03:50.783000+00:00</t>
  </si>
  <si>
    <t>s3_b9_l6</t>
  </si>
  <si>
    <t>2023-01-02T14:23:05.424000+00:00</t>
  </si>
  <si>
    <t>05e8624f-a246-4865-9a35-446ef7cc6f1e</t>
  </si>
  <si>
    <t>2023-01-02T16:26:08.606000+00:00</t>
  </si>
  <si>
    <t>2023-01-02T16:54:33.269000+00:00</t>
  </si>
  <si>
    <t>2023-01-02T16:56:34.816000+00:00</t>
  </si>
  <si>
    <t>right_3359</t>
  </si>
  <si>
    <t>2023-01-02T21:39:07.493000+00:00</t>
  </si>
  <si>
    <t>2023-01-02T23:42:29.720000+00:00</t>
  </si>
  <si>
    <t>85ae084e-9e13-4b0d-8a15-040003f95317</t>
  </si>
  <si>
    <t>2023-01-03T06:54:55.025000+00:00</t>
  </si>
  <si>
    <t>52da0e35-715a-448f-9d41-8572b414fc77</t>
  </si>
  <si>
    <t>2023-01-03T15:57:48.114000+00:00</t>
  </si>
  <si>
    <t>left_lane3542</t>
  </si>
  <si>
    <t>2023-01-03T15:59:04.913000+00:00</t>
  </si>
  <si>
    <t>d8cf350f-f4af-4529-9c40-2ee5f9cf41e8</t>
  </si>
  <si>
    <t>2023-01-03T16:00:49.577000+00:00</t>
  </si>
  <si>
    <t>f2f0c4cd-3bc8-4394-808d-d47319a98069</t>
  </si>
  <si>
    <t>b8829534-c8e6-433f-93d3-63966b8916d1</t>
  </si>
  <si>
    <t>2023-01-03T16:23:02.280000+00:00</t>
  </si>
  <si>
    <t>1bd55f71-e51a-49ce-9f7b-f6b7683a5102</t>
  </si>
  <si>
    <t>2023-01-03T16:51:11.022000+00:00</t>
  </si>
  <si>
    <t>6d6dd45a-798d-48ed-8ae4-797f8feca106</t>
  </si>
  <si>
    <t>2023-01-03T16:53:10.464000+00:00</t>
  </si>
  <si>
    <t>left_lane3570</t>
  </si>
  <si>
    <t>09c12258-9a4b-48de-9474-ab68bd14917f</t>
  </si>
  <si>
    <t>2023-01-03T17:16:59.749000+00:00</t>
  </si>
  <si>
    <t>e0c1f053-1519-43f0-b8fa-f85eaa759941</t>
  </si>
  <si>
    <t>17dbbf75-afbe-4b20-a13e-985c02bfc3c6</t>
  </si>
  <si>
    <t>2023-01-03T17:56:25.396000+00:00</t>
  </si>
  <si>
    <t>79315297-0b3e-441f-b6ac-6debde81e178</t>
  </si>
  <si>
    <t>2023-01-03T18:16:15.236000+00:00</t>
  </si>
  <si>
    <t>left_lane3616</t>
  </si>
  <si>
    <t>1e309a5b-dfdf-48bd-9da5-a7e89d0a0854</t>
  </si>
  <si>
    <t>2023-01-03T19:13:02.774000+00:00</t>
  </si>
  <si>
    <t>49eb7550-51dc-4ee1-8039-5f8085f324cb</t>
  </si>
  <si>
    <t>2023-01-03T19:44:38.730000+00:00</t>
  </si>
  <si>
    <t>left_lane3664</t>
  </si>
  <si>
    <t>35e06673-cf9c-4e26-873a-5cdb305495df</t>
  </si>
  <si>
    <t>2023-01-03T20:09:24.730000+00:00</t>
  </si>
  <si>
    <t>f6f1416a-6e82-436d-845b-ca8e5c1d5600</t>
  </si>
  <si>
    <t>2023-01-03T20:22:24.508000+00:00</t>
  </si>
  <si>
    <t>2023-01-04T00:57:09.094000+00:00</t>
  </si>
  <si>
    <t>aad411da-bbe6-4ff8-a009-17a39bad172a</t>
  </si>
  <si>
    <t>fcbfc0e0-e0e3-45ff-8b95-178db491d38d</t>
  </si>
  <si>
    <t>slip: not at least one job is completed; inductive: error code 0x1060002 is not supported</t>
  </si>
  <si>
    <t>2023-01-04T05:16:57.523000+00:00</t>
  </si>
  <si>
    <t>Robot botst met volle snelheid tegen einde van de lane. Aangezien eerste rij: missie correct ingesteld? (volgens klant: error in pad '3007')</t>
  </si>
  <si>
    <t>a921eed1-4eb2-4e58-8254-c3cc9d4c6e26</t>
  </si>
  <si>
    <t>9a6a639b-682d-416b-a830-312d93706dca</t>
  </si>
  <si>
    <t>2023-01-04T14:11:56.788000+00:00</t>
  </si>
  <si>
    <t>s4_b1_l6</t>
  </si>
  <si>
    <t>0x02030003</t>
  </si>
  <si>
    <t>4572d8ee-9324-44b7-816d-46c8410238aa</t>
  </si>
  <si>
    <t>2023-01-04T15:23:51.519000+00:00</t>
  </si>
  <si>
    <t>74ac8a98-139b-46ea-94e0-dfe00f4ad820</t>
  </si>
  <si>
    <t>1d2fa381-8297-4732-9a1b-4b1cb625b915</t>
  </si>
  <si>
    <t>2023-01-04T15:26:21.127000+00:00</t>
  </si>
  <si>
    <t>88400cb0-0181-4c98-ac86-512985fc8c21</t>
  </si>
  <si>
    <t>281428fc-33ed-48c2-ab58-5d13fbc9555e</t>
  </si>
  <si>
    <t>2023-01-04T15:27:45.284000+00:00</t>
  </si>
  <si>
    <t>s4_b1_l5</t>
  </si>
  <si>
    <t>b56cb046-f42f-4f70-9c19-010657e6b821</t>
  </si>
  <si>
    <t>2023-01-04T15:28:51.782000+00:00</t>
  </si>
  <si>
    <t>2dba8e12-f68b-4c74-8e09-0a3f86ca40e5</t>
  </si>
  <si>
    <t>a81b0904-9111-416d-bf7e-92c1122bfba5</t>
  </si>
  <si>
    <t>2023-01-04T18:28:56.163000+00:00</t>
  </si>
  <si>
    <t>eed00ae7-b5ef-444c-ab44-94721a7c6ea6</t>
  </si>
  <si>
    <t>e676c524-2a96-492f-8b3a-254a520dc0bc</t>
  </si>
  <si>
    <t>2023-01-04T18:57:50.320000+00:00</t>
  </si>
  <si>
    <t>s3_b8_l3</t>
  </si>
  <si>
    <t>158ee165-d878-4362-8dcf-173f8bc6f3b5</t>
  </si>
  <si>
    <t>2023-01-04T20:24:02.819000+00:00</t>
  </si>
  <si>
    <t>3e944bcb-8f6c-43e3-8c9c-075be9834cc7</t>
  </si>
  <si>
    <t>2023-01-04T20:43:18.489000+00:00</t>
  </si>
  <si>
    <t>ee9130f1-9047-425a-8ec1-da51518c32ee</t>
  </si>
  <si>
    <t>2023-01-05T01:15:28.875000+00:00</t>
  </si>
  <si>
    <t>9b748a71-c078-4193-8380-bb0049167bca</t>
  </si>
  <si>
    <t>19ac069e-938d-4c42-b63d-7390015c39fd</t>
  </si>
  <si>
    <t>2023-01-05T02:03:38.720000+00:00</t>
  </si>
  <si>
    <t>2023-01-05T03:21:15.534000+00:00</t>
  </si>
  <si>
    <t>2023-01-05T03:57:10.804000+00:00</t>
  </si>
  <si>
    <t>c6f9f15c-c023-47ec-9187-ebbfbf5d4093</t>
  </si>
  <si>
    <t>9a99f9dd-bce5-4306-bb2f-6d336975c6f6</t>
  </si>
  <si>
    <t>2023-01-05T09:33:58.567000+00:00</t>
  </si>
  <si>
    <t>9e0e6428-9493-4de1-8a14-f21c33564e75</t>
  </si>
  <si>
    <t>a72ca335-e587-4cf4-b956-72a9536f307e</t>
  </si>
  <si>
    <t>2023-01-05T09:35:46.555000+00:00</t>
  </si>
  <si>
    <t>222a33fb-7ebf-4ca3-8c8e-3630a049628d</t>
  </si>
  <si>
    <t>f809ccfe-db3f-43af-b2b1-374964d96b28</t>
  </si>
  <si>
    <t>2023-01-05T09:40:24.756000+00:00</t>
  </si>
  <si>
    <t>66619c55-283b-4e78-aafd-4897ad1579e3</t>
  </si>
  <si>
    <t>2023-01-05T10:26:19.442000+00:00</t>
  </si>
  <si>
    <t>s3_b3_l6</t>
  </si>
  <si>
    <t>2023-01-05T16:26:02.727000+00:00</t>
  </si>
  <si>
    <t>rect6440-6-378-5</t>
  </si>
  <si>
    <t>9f24845e-24a3-4557-94e0-9b07e7789fd7</t>
  </si>
  <si>
    <t>68ae9e7b-27d3-4a1f-862f-fa88f3b100eb</t>
  </si>
  <si>
    <t>recovery job was rejected</t>
  </si>
  <si>
    <t>2023-01-05T16:33:58.594000+00:00</t>
  </si>
  <si>
    <t>f099aac4-154f-44fd-a89b-46308d5c4542</t>
  </si>
  <si>
    <t>2023-01-05T16:53:21.946000+00:00</t>
  </si>
  <si>
    <t>d733888b-0cc0-4ed6-b164-31ecdb9f03d5</t>
  </si>
  <si>
    <t>2023-01-06T01:36:18.254000+00:00</t>
  </si>
  <si>
    <t>2023-01-06T06:04:09.245000+00:00</t>
  </si>
  <si>
    <t>98e8f626-b583-44ac-bec4-3fd26cfcec85</t>
  </si>
  <si>
    <t>2023-01-06T16:21:13.102000+00:00</t>
  </si>
  <si>
    <t>left_lane3532</t>
  </si>
  <si>
    <t>2023-01-06T17:33:03.530000+00:00</t>
  </si>
  <si>
    <t>2023-01-06T17:56:43.006000+00:00</t>
  </si>
  <si>
    <t>2023-01-06T18:11:24.258000+00:00</t>
  </si>
  <si>
    <t>left_lane3594</t>
  </si>
  <si>
    <t>2023-01-06T18:21:31.496000+00:00</t>
  </si>
  <si>
    <t>left_lane3600</t>
  </si>
  <si>
    <t>2023-01-06T19:11:42.840000+00:00</t>
  </si>
  <si>
    <t>2023-01-06T19:44:32.564000+00:00</t>
  </si>
  <si>
    <t>2023-01-06T20:07:59.479000+00:00</t>
  </si>
  <si>
    <t>2023-01-07T01:26:53.882000+00:00</t>
  </si>
  <si>
    <t>left_lane3828</t>
  </si>
  <si>
    <t>2023-01-07T01:31:56.190000+00:00</t>
  </si>
  <si>
    <t>e2f1b60c-5c22-46a5-aae5-90bacb2945e2</t>
  </si>
  <si>
    <t>2023-01-11T10:24:54.900000+00:00</t>
  </si>
  <si>
    <t>84fb501e-396e-4ffe-9306-569beed3905d</t>
  </si>
  <si>
    <t>62061678-3439-45eb-9db4-7c0deb404f76</t>
  </si>
  <si>
    <t>2023-01-11T11:09:02.780000+00:00</t>
  </si>
  <si>
    <t>91c67339-0242-4a81-91e0-840d23c0b757</t>
  </si>
  <si>
    <t>2023-01-11T11:23:15.221000+00:00</t>
  </si>
  <si>
    <t>4690041a-a457-477c-aa05-29bc745a76da</t>
  </si>
  <si>
    <t>8cc490e5-e1fc-4352-94a5-5b81172a15b8</t>
  </si>
  <si>
    <t>2023-01-11T11:32:55.166000+00:00</t>
  </si>
  <si>
    <t>rect6440-6-378-34</t>
  </si>
  <si>
    <t>0695e3a0-81e8-4f68-8497-b5ad8d1a4095</t>
  </si>
  <si>
    <t>2e4c63f7-83e1-467d-b25f-ee16735c6c84</t>
  </si>
  <si>
    <t>2023-01-11T13:21:48.251000+00:00</t>
  </si>
  <si>
    <t>lumion2</t>
  </si>
  <si>
    <t>a4ed0a1b-bcfa-4a1e-a9b3-4ae1ffc69d41</t>
  </si>
  <si>
    <t>c3da517d-b79d-480e-9cd6-53612a3287dd</t>
  </si>
  <si>
    <t>2023-01-16T15:24:18.356000+00:00</t>
  </si>
  <si>
    <t>61</t>
  </si>
  <si>
    <t>aeac3410-be62-4514-a6ca-d14153b0d4d7</t>
  </si>
  <si>
    <t>e3e8ce97-eee1-46d0-831d-37254e16aab6</t>
  </si>
  <si>
    <t>2023-01-16T15:38:56.931000+00:00</t>
  </si>
  <si>
    <t>left_block_1_lane_4</t>
  </si>
  <si>
    <t>2d9626a0-7f72-416a-89b6-96a0acb7faa3</t>
  </si>
  <si>
    <t>2023-01-16T16:04:45.790000+00:00</t>
  </si>
  <si>
    <t>5e524c17-a519-40d0-be59-6762853f8a8a</t>
  </si>
  <si>
    <t>4a3fb8e8-c2fc-406b-bc82-c38714c5f413</t>
  </si>
  <si>
    <t>2023-01-16T16:09:03.340000+00:00</t>
  </si>
  <si>
    <t>left_block_1_lane_5</t>
  </si>
  <si>
    <t>b14c70fe-fbb3-484b-b90d-d3497f63460a</t>
  </si>
  <si>
    <t>slip: error code 0x1060001 is not supported; inductive: error code 0x1060001 is not supported</t>
  </si>
  <si>
    <t>2023-01-16T17:05:36.411000+00:00</t>
  </si>
  <si>
    <t>left_block_4_lane_1</t>
  </si>
  <si>
    <t>30787667-d5dd-41b3-a4e0-baf3622ec0a2</t>
  </si>
  <si>
    <t>2023-01-17T09:04:01.854000+00:00</t>
  </si>
  <si>
    <t>left_block_5_lane_1</t>
  </si>
  <si>
    <t>58b89852-b410-426e-87c6-33af6280f68b</t>
  </si>
  <si>
    <t>2023-01-17T11:33:22.734000+00:00</t>
  </si>
  <si>
    <t>c0682968-c24b-4330-9ec6-37594ad20098</t>
  </si>
  <si>
    <t>2023-01-17T11:44:32.022000+00:00</t>
  </si>
  <si>
    <t>6c265ad8-9b30-478d-8285-424d5288cc71</t>
  </si>
  <si>
    <t>eb9d5816-0a49-4b0c-adc1-1e8b9ea306d7</t>
  </si>
  <si>
    <t>2023-01-17T13:45:08.416000+00:00</t>
  </si>
  <si>
    <t>2c68668c-f1f2-4e83-b42b-80f4a428621b</t>
  </si>
  <si>
    <t>2023-01-17T14:03:57.459000+00:00</t>
  </si>
  <si>
    <t>right_block_2_lane_1</t>
  </si>
  <si>
    <t>031b84df-1693-4e88-b21f-6188e4a685ba</t>
  </si>
  <si>
    <t>2c13cc4c-6bfa-4dc7-9a49-ad35738e8aaa</t>
  </si>
  <si>
    <t>slip: error code 0x1010101 is not supported; inductive: inductive does not see rails</t>
  </si>
  <si>
    <t>2023-01-17T14:41:36.290000+00:00</t>
  </si>
  <si>
    <t>right_block_1_lane_2</t>
  </si>
  <si>
    <t xml:space="preserve">geen inductieve ontvangen ondanks dat hij duidelijk van de rails rijdt op basis van de beelden. </t>
  </si>
  <si>
    <t>robot rijdt plots nog wat naar voor (lijkt zich net voor error nog op de beton te kunnen trekken waardoor hij wat verder bolt tijdens error ) en ontvangt dan nog inductieve</t>
  </si>
  <si>
    <t>c90b7a46-f89e-4887-854e-ac4a31d77a91</t>
  </si>
  <si>
    <t>a795bdb8-04ad-4653-9b11-27358da5597a</t>
  </si>
  <si>
    <t>2023-01-17T20:45:50.300000+00:00</t>
  </si>
  <si>
    <t>right_block_1_lane_1</t>
  </si>
  <si>
    <t>b681193b-083d-43f7-9ad4-5b29602f60a1</t>
  </si>
  <si>
    <t>2023-01-17T21:21:38.448000+00:00</t>
  </si>
  <si>
    <t>82583452-6d7e-4c93-83c3-f8b304cc4032</t>
  </si>
  <si>
    <t>2023-01-17T23:16:29.106000+00:00</t>
  </si>
  <si>
    <t>ca93a594-e8aa-46f1-ba85-bcf831169888</t>
  </si>
  <si>
    <t>18037327-f799-45d2-9aae-e5d759be6d15</t>
  </si>
  <si>
    <t>2023-01-18T12:29:37.482000+00:00</t>
  </si>
  <si>
    <t>8e77a674-292c-4ded-a489-880c90683c40</t>
  </si>
  <si>
    <t>2023-01-18T12:36:17.722000+00:00</t>
  </si>
  <si>
    <t>a88e80c9-aae5-482e-b081-f7d92cb018af</t>
  </si>
  <si>
    <t>2023-01-18T21:56:56.540000+00:00</t>
  </si>
  <si>
    <t>840c8f1c-229d-4871-a4e5-397827428a79</t>
  </si>
  <si>
    <t>2023-01-19T10:08:42.094000+00:00</t>
  </si>
  <si>
    <t>384595aa-1ad1-4b1e-b464-6fd7268dfcad</t>
  </si>
  <si>
    <t>2023-01-19T10:52:44.560000+00:00</t>
  </si>
  <si>
    <t>453df34a-f535-417f-9491-ff8592f216de</t>
  </si>
  <si>
    <t>2023-01-19T14:25:44.759000+00:00</t>
  </si>
  <si>
    <t>ac520799-5eeb-43da-83bc-88cc0acbec80</t>
  </si>
  <si>
    <t>2023-01-20T05:54:59.883000+00:00</t>
  </si>
  <si>
    <t>9c3a1e3f-2249-404c-a10c-dec3bcaa164c</t>
  </si>
  <si>
    <t>2023-01-20T13:29:38.522000+00:00</t>
  </si>
  <si>
    <t>9a3a6e85-dc8a-4dd2-b408-f657aed03e27</t>
  </si>
  <si>
    <t>2023-01-20T17:21:20.818000+00:00</t>
  </si>
  <si>
    <t>9986941a-4792-456e-90d2-657f0b37822c</t>
  </si>
  <si>
    <t>2023-01-20T17:44:36.321000+00:00</t>
  </si>
  <si>
    <t>d02717f1-ada7-4a60-98f4-178761cc21f9</t>
  </si>
  <si>
    <t>2023-01-20T18:28:59.142000+00:00</t>
  </si>
  <si>
    <t>block_5_lane_6</t>
  </si>
  <si>
    <t>2023-01-20T20:31:30.514000+00:00</t>
  </si>
  <si>
    <t>86c68be2-76ae-4d83-93e3-0dc548f698a4</t>
  </si>
  <si>
    <t>bb6c3755-ebf0-4dbb-bcc5-6e89bacc9a02</t>
  </si>
  <si>
    <t>2023-01-23T11:58:26.293000+00:00</t>
  </si>
  <si>
    <t>left_block_3_lane_6</t>
  </si>
  <si>
    <t>52</t>
  </si>
  <si>
    <t>ee4615c9-0cb4-492d-8ef5-dcc82f2ae24e</t>
  </si>
  <si>
    <t>2023-01-23T11:58:46.921000+00:00</t>
  </si>
  <si>
    <t>416c6aa3-f3ee-488d-94ba-07a5b0f673e1</t>
  </si>
  <si>
    <t>2023-01-23T11:59:16.737000+00:00</t>
  </si>
  <si>
    <t>a6a520b1-ec2c-4faf-bbd7-bad2ba048754</t>
  </si>
  <si>
    <t>2023-01-23T12:13:29.674000+00:00</t>
  </si>
  <si>
    <t>662f3610-2d9e-4807-8928-8f63da4b0dab</t>
  </si>
  <si>
    <t>2023-01-23T12:14:29.534000+00:00</t>
  </si>
  <si>
    <t>ec80a068-d876-4c47-b1dc-b46fc6bc100e</t>
  </si>
  <si>
    <t>2023-01-23T13:11:11.203000+00:00</t>
  </si>
  <si>
    <t>c642772e-9290-4fb8-be5a-a5444b2d5b40</t>
  </si>
  <si>
    <t>2023-01-23T16:36:27.056000+00:00</t>
  </si>
  <si>
    <t>3ab82702-50c6-47a0-8622-40f2b5d61e9f</t>
  </si>
  <si>
    <t>2023-01-23T16:56:15.857000+00:00</t>
  </si>
  <si>
    <t>19a9ee35-b19c-4097-837e-33664f471886</t>
  </si>
  <si>
    <t>2023-01-23T17:13:16.072000+00:00</t>
  </si>
  <si>
    <t>block_2_lane_1</t>
  </si>
  <si>
    <t>2ebdecb1-a0c0-4493-9671-2be2a6f6ca0b</t>
  </si>
  <si>
    <t>2023-01-23T17:13:46.702000+00:00</t>
  </si>
  <si>
    <t>717f7898-4569-4ce0-8069-6d01421c4bac</t>
  </si>
  <si>
    <t>db033fd2-6c0a-40cb-a269-4d3c3a9c77c0</t>
  </si>
  <si>
    <t>2023-01-23T17:45:50.485000+00:00</t>
  </si>
  <si>
    <t>block_7_lane_4</t>
  </si>
  <si>
    <t>92962ed2-e666-4ce9-924f-cf13cc3662f5</t>
  </si>
  <si>
    <t>2023-01-23T20:30:14.801000+00:00</t>
  </si>
  <si>
    <t>9712255d-1966-4c9f-85a5-4f6aac1e6b6c</t>
  </si>
  <si>
    <t>e59e40d5-73e1-4a44-b5f7-5e545f431119</t>
  </si>
  <si>
    <t>2023-01-24T07:29:37.690000+00:00</t>
  </si>
  <si>
    <t>b8fccd7c-8591-4d62-91cf-d397ff2cb6d5</t>
  </si>
  <si>
    <t>2023-01-24T07:30:26.424000+00:00</t>
  </si>
  <si>
    <t>922d033e-e6b2-4457-9702-90d42f8217e2</t>
  </si>
  <si>
    <t>2023-01-24T07:48:18.043000+00:00</t>
  </si>
  <si>
    <t>left_block_2_lane_6</t>
  </si>
  <si>
    <t>c468af7b-f381-43ce-bbae-8371f49c55c6</t>
  </si>
  <si>
    <t>9bb5a9f9-bd46-4299-b965-277f549c21e9</t>
  </si>
  <si>
    <t>2023-01-24T10:25:32.509000+00:00</t>
  </si>
  <si>
    <t>2023-01-24T10:40:51.366000+00:00</t>
  </si>
  <si>
    <t>cd5abb23-91fb-43fd-85a5-fca64976129e</t>
  </si>
  <si>
    <t>2023-01-24T11:18:08.864000+00:00</t>
  </si>
  <si>
    <t>fdfa0822-8961-4fbe-9e88-404cd171f216</t>
  </si>
  <si>
    <t>2023-01-24T11:34:49.250000+00:00</t>
  </si>
  <si>
    <t>75a2ec75-b39c-46ab-8fec-9dd76ea1508f</t>
  </si>
  <si>
    <t>36f784d4-005a-499e-8aee-e654e2e94c90</t>
  </si>
  <si>
    <t>2023-01-24T12:16:34.741000+00:00</t>
  </si>
  <si>
    <t>robot botst tegen betonrand van smal gangpad</t>
  </si>
  <si>
    <t>1697495a-bffc-45e3-b78b-63fbfc7b7f3a</t>
  </si>
  <si>
    <t>2023-01-24T13:29:53.154000+00:00</t>
  </si>
  <si>
    <t>0836f88d-b5a2-461a-8588-f7cd98aab569</t>
  </si>
  <si>
    <t>2023-01-24T13:36:26.045000+00:00</t>
  </si>
  <si>
    <t>bedcb505-a100-489f-83c5-e37ebd94d5e5</t>
  </si>
  <si>
    <t>2023-01-24T14:06:45.764000+00:00</t>
  </si>
  <si>
    <t>dbeca59d-2252-4c90-8b58-f7a0f23d394e</t>
  </si>
  <si>
    <t>2023-01-24T14:29:24.987000+00:00</t>
  </si>
  <si>
    <t>2023-01-24T14:36:13.213000+00:00</t>
  </si>
  <si>
    <t>594203a1-4dd7-4c72-90b1-36dde2b9ed1d</t>
  </si>
  <si>
    <t>2023-01-24T14:47:45.860000+00:00</t>
  </si>
  <si>
    <t>left_block_1_lane_1</t>
  </si>
  <si>
    <t>6b9a2140-d366-440d-a07e-6e25679d75e6</t>
  </si>
  <si>
    <t>2023-01-24T17:42:53.110000+00:00</t>
  </si>
  <si>
    <t>430e2481-07e4-4d47-b39c-82a5cef4cfcc</t>
  </si>
  <si>
    <t>f25e0c5a-23f2-4414-83b0-4551f13699e7</t>
  </si>
  <si>
    <t>2023-01-25T17:38:15.995000+00:00</t>
  </si>
  <si>
    <t>2023-01-25T17:44:19.773000+00:00</t>
  </si>
  <si>
    <t>5394964a-6bca-4bc9-9dd4-a9f4f130a6bd</t>
  </si>
  <si>
    <t>2023-01-26T13:16:00.589000+00:00</t>
  </si>
  <si>
    <t>c2d7108b-32b2-4d98-9d37-daada39dae6c</t>
  </si>
  <si>
    <t>2023-01-27T06:11:19.833000+00:00</t>
  </si>
  <si>
    <t>1f7c6f65-f284-4e45-be8b-4c2ccc51b3c9</t>
  </si>
  <si>
    <t>2023-01-27T16:30:58.966000+00:00</t>
  </si>
  <si>
    <t>ea173358-9bb6-42f4-b8ce-57f5e2e1f742</t>
  </si>
  <si>
    <t>2023-01-27T16:58:29.241000+00:00</t>
  </si>
  <si>
    <t>block_1_lane_5</t>
  </si>
  <si>
    <t>f6b0e565-beab-4f7b-b126-87ab5693fac6</t>
  </si>
  <si>
    <t>2023-01-27T17:07:03.572000+00:00</t>
  </si>
  <si>
    <t>827fa036-5352-4821-8cb3-88ae81f27b7c</t>
  </si>
  <si>
    <t>2023-01-27T17:16:29.428000+00:00</t>
  </si>
  <si>
    <t>59fda235-d50c-4a44-8d7b-1dee9a800e88</t>
  </si>
  <si>
    <t>2023-01-27T17:17:41.428000+00:00</t>
  </si>
  <si>
    <t>geen inductieve ontvangen ondanks dat hij lijkt van de rail te rijden</t>
  </si>
  <si>
    <t>f657c4fb-4105-45d7-bcfa-fe61e9a76259</t>
  </si>
  <si>
    <t>72f909af-3e2c-45ec-9b6d-a5f3fbfbb183</t>
  </si>
  <si>
    <t>2023-01-30T16:16:44.395000+00:00</t>
  </si>
  <si>
    <t>a53f7a5e-f675-4cd6-b92a-c7ce96d03276</t>
  </si>
  <si>
    <t>2023-01-30T16:20:43.019000+00:00</t>
  </si>
  <si>
    <t>7e66018b-99b1-4596-be6e-abaa564905b5</t>
  </si>
  <si>
    <t>2023-01-30T16:27:36.077000+00:00</t>
  </si>
  <si>
    <t>9117ccfe-4038-4470-bc07-f10cac3b242e</t>
  </si>
  <si>
    <t>2023-01-30T16:31:26.479000+00:00</t>
  </si>
  <si>
    <t>e0878d6c-b4ba-42d1-adc5-76ad25bcb260</t>
  </si>
  <si>
    <t>2023-01-30T16:35:24.925000+00:00</t>
  </si>
  <si>
    <t>f53f260a-a876-44e0-bf71-08dec8b24339</t>
  </si>
  <si>
    <t>91357509-c3c8-4fe9-8544-423262291d7f</t>
  </si>
  <si>
    <t>2023-01-30T16:47:59.991000+00:00</t>
  </si>
  <si>
    <t>6f90ac49-f726-449b-8cc0-0999ee56bcbf</t>
  </si>
  <si>
    <t>2023-01-30T16:51:55.302000+00:00</t>
  </si>
  <si>
    <t>724ddecd-388c-467d-8119-e2c3246e989c</t>
  </si>
  <si>
    <t>2023-01-30T17:01:16.520000+00:00</t>
  </si>
  <si>
    <t>9d346523-14a0-49c6-8dde-6f6a0f41eb5b</t>
  </si>
  <si>
    <t>2023-01-30T17:05:12.397000+00:00</t>
  </si>
  <si>
    <t>cd75ae63-6534-4fe3-99de-1807b5eba9ae</t>
  </si>
  <si>
    <t>2c0e30ba-109d-484d-a4b8-679543b8e563</t>
  </si>
  <si>
    <t>2023-01-30T17:07:25.549000+00:00</t>
  </si>
  <si>
    <t>Lijkt met implement tegen de goot te botsen. Vermoedelijk tegen zo'n metalen haakje dat uitsteekt, want hij rijdt wel de rail op.</t>
  </si>
  <si>
    <t>899f5ae4-5233-4632-a98a-33da2583a137</t>
  </si>
  <si>
    <t>2023-01-30T17:32:57.808000+00:00</t>
  </si>
  <si>
    <t>left_block_3_lane_5</t>
  </si>
  <si>
    <t>botsing tijdens laneswitch</t>
  </si>
  <si>
    <t>LumionFix 035</t>
  </si>
  <si>
    <t>a2d2f14f-2ec9-4f4e-b0ad-eb8b8c12f3b9</t>
  </si>
  <si>
    <t>2023-01-31T09:53:41.123000+00:00</t>
  </si>
  <si>
    <t>420503fa-9ae3-403a-9dac-d0d46f73915a</t>
  </si>
  <si>
    <t>2023-01-31T11:02:59.531000+00:00</t>
  </si>
  <si>
    <t>91655575-ae1b-404f-b720-64b158852462</t>
  </si>
  <si>
    <t>2023-01-31T11:03:47.110000+00:00</t>
  </si>
  <si>
    <t>79d59ef9-cecc-4a39-93ac-30fed7dc84ba</t>
  </si>
  <si>
    <t>2023-01-31T11:05:12.965000+00:00</t>
  </si>
  <si>
    <t>e4d38f76-997e-479a-80ca-886c96f7c74f</t>
  </si>
  <si>
    <t>2023-01-31T14:21:27.600000+00:00</t>
  </si>
  <si>
    <t>2023-01-31T16:47:31.313000+00:00</t>
  </si>
  <si>
    <t>block_2_lane_4</t>
  </si>
  <si>
    <t>2023-01-31T17:18:09.130000+00:00</t>
  </si>
  <si>
    <t>block_3_lane_3</t>
  </si>
  <si>
    <t>bf7bd3aa-f03d-431e-979a-ddac50321451</t>
  </si>
  <si>
    <t>fa697d33-b153-472e-9a7f-007a36e62631</t>
  </si>
  <si>
    <t>2023-01-31T17:53:08.624000+00:00</t>
  </si>
  <si>
    <t>left_block_2_lane_4</t>
  </si>
  <si>
    <t>voorwiel slip</t>
  </si>
  <si>
    <t>2023-01-31T18:15:20.803000+00:00</t>
  </si>
  <si>
    <t>d02168f4-7cd6-4c35-92e3-1f4c09e4ecf0</t>
  </si>
  <si>
    <t>2023-02-01T12:34:30.397000+00:00</t>
  </si>
  <si>
    <t>0077d879-82d6-42b9-ace7-a5ae33688c57</t>
  </si>
  <si>
    <t>2023-02-01T17:37:23.377000+00:00</t>
  </si>
  <si>
    <t>ab0584cb-28fa-4c44-a7dd-4bd2e3187d10</t>
  </si>
  <si>
    <t>d3d39eac-106a-486f-87be-5cea4502cdce</t>
  </si>
  <si>
    <t>2023-02-01T18:11:56.532000+00:00</t>
  </si>
  <si>
    <t>19afaf4d-d33c-4f7d-871c-d198bc3e45b5</t>
  </si>
  <si>
    <t>2023-02-01T18:45:31.393000+00:00</t>
  </si>
  <si>
    <t>2023-02-01T18:47:55.988000+00:00</t>
  </si>
  <si>
    <t>7d5708d8-a743-41dd-aeb4-74f1017e27a1</t>
  </si>
  <si>
    <t>599366ee-5ee2-40dd-ada3-7401ea49a8cf</t>
  </si>
  <si>
    <t>2023-02-01T23:21:24.204000+00:00</t>
  </si>
  <si>
    <t>b2d9e367-20ba-490f-bac5-1cd70714ba09</t>
  </si>
  <si>
    <t>2023-02-01T23:28:54.765000+00:00</t>
  </si>
  <si>
    <t>a774867d-4269-4c45-afcb-56754fc9c205</t>
  </si>
  <si>
    <t>b1af56e3-8cc7-4d8f-8523-85a92ca68470</t>
  </si>
  <si>
    <t>2023-02-01T23:39:13.200000+00:00</t>
  </si>
  <si>
    <t>e0de07e2-2ccd-436c-bd86-cbb68a7d4dce</t>
  </si>
  <si>
    <t>da5ef1de-4bf5-46c7-ac94-ae753f164e03</t>
  </si>
  <si>
    <t>2023-02-02T00:02:50.107000+00:00</t>
  </si>
  <si>
    <t>ed00c4fe-8952-4da9-b845-0485789708e3</t>
  </si>
  <si>
    <t>7f29ec8f-fa21-46cb-815b-35b287728c01</t>
  </si>
  <si>
    <t>2023-02-02T01:01:20.123000+00:00</t>
  </si>
  <si>
    <t>2023-02-02T01:08:14.197000+00:00</t>
  </si>
  <si>
    <t>0ef68b80-b089-4325-8109-ad3893111fd9</t>
  </si>
  <si>
    <t>2023-02-02T01:12:45.255000+00:00</t>
  </si>
  <si>
    <t>Geen inductieve flank gehad, raar dat hij dan nadien toch de rails niet ziet (Bart is er bij)</t>
  </si>
  <si>
    <t>bcb22300-4b53-4105-8b64-0782543111f4</t>
  </si>
  <si>
    <t>2023-02-02T13:11:29.762000+00:00</t>
  </si>
  <si>
    <t>8db3abe6-01dc-4730-bcf1-a86462e2fd75</t>
  </si>
  <si>
    <t>dea65708-05c7-4c24-8387-d5673729c303</t>
  </si>
  <si>
    <t>2023-02-02T17:44:55.198000+00:00</t>
  </si>
  <si>
    <t>left_block_2_lane_1</t>
  </si>
  <si>
    <t>8aad42ea-a5aa-4a88-a85f-f1c168600b68</t>
  </si>
  <si>
    <t>2023-02-02T17:47:41.164000+00:00</t>
  </si>
  <si>
    <t>2023-02-02T17:58:24.845000+00:00</t>
  </si>
  <si>
    <t>6e10ffa1-f693-48ed-a1d9-20471199d8f4</t>
  </si>
  <si>
    <t>2023-02-02T18:23:24.762000+00:00</t>
  </si>
  <si>
    <t>7d57e065-ae26-4a66-a8da-0913b376f568</t>
  </si>
  <si>
    <t>03b50b41-da79-47df-8f3e-c938a9061466</t>
  </si>
  <si>
    <t>2023-02-02T22:45:28.738000+00:00</t>
  </si>
  <si>
    <t>lane_3102</t>
  </si>
  <si>
    <t>f1da2c05-1197-4116-b0d2-6735319b5f9b</t>
  </si>
  <si>
    <t>dc9f69cf-6e77-45d9-a02d-943eee8714fb</t>
  </si>
  <si>
    <t>2023-02-02T22:47:25.723000+00:00</t>
  </si>
  <si>
    <t>023e62ef-16b1-4720-b3f7-d835e8e54f0b</t>
  </si>
  <si>
    <t>3c0efa94-62ac-42e4-b62f-f626eb4caf92</t>
  </si>
  <si>
    <t>2023-02-02T22:49:24.433000+00:00</t>
  </si>
  <si>
    <t>lane_3114</t>
  </si>
  <si>
    <t>29428641-51c0-4602-92d6-ede5d58eb2ef</t>
  </si>
  <si>
    <t>797358e1-3149-4726-a19e-54959c9023b0</t>
  </si>
  <si>
    <t>2023-02-02T22:50:55.444000+00:00</t>
  </si>
  <si>
    <t>42c4bce8-605d-40b7-bbb8-e0b5e5c9c7e2</t>
  </si>
  <si>
    <t>d5dd4785-b032-4902-aa68-5770d5bf02bf</t>
  </si>
  <si>
    <t>2023-02-03T01:12:43.481000+00:00</t>
  </si>
  <si>
    <t>lane_4004</t>
  </si>
  <si>
    <t>5b8ff5d4-92be-4d72-9216-ef936c79d739</t>
  </si>
  <si>
    <t>407541b4-b490-4fff-ae42-052776cfaffe</t>
  </si>
  <si>
    <t>2023-02-03T01:20:24.110000+00:00</t>
  </si>
  <si>
    <t>91d35b4d-6ed7-455c-9cca-9b23e785652a</t>
  </si>
  <si>
    <t>2023-02-03T01:27:16.354000+00:00</t>
  </si>
  <si>
    <t>840b0934-13d5-452e-9da7-b98798216121</t>
  </si>
  <si>
    <t>01734a5b-f23b-4076-842e-d7000a1a2ceb</t>
  </si>
  <si>
    <t>slip: error code 0x2040069 is not supported; inductive: inductive does not see rails</t>
  </si>
  <si>
    <t>2023-02-03T01:41:26.584000+00:00</t>
  </si>
  <si>
    <t xml:space="preserve">Robot is op de rail gereden (wel wat onorthodox), maar inductive werd niet gedetecteerd. </t>
  </si>
  <si>
    <t>252bc4a8-1959-49d2-bf9d-dc8e8cb9b4c3</t>
  </si>
  <si>
    <t>2023-02-03T16:47:40.808000+00:00</t>
  </si>
  <si>
    <t>a045aec0-d3c5-41fc-90f3-f3c84e7c3915</t>
  </si>
  <si>
    <t>2023-02-03T17:38:24.142000+00:00</t>
  </si>
  <si>
    <t>4798e0a4-6be8-4450-ae25-8985b5f6caa9</t>
  </si>
  <si>
    <t>2023-02-03T18:06:39.256000+00:00</t>
  </si>
  <si>
    <t>a4b3c4d1-1ce0-4d46-a8ce-1bab09190015</t>
  </si>
  <si>
    <t>d940e41e-634d-4d59-ac4e-dcf670ef60ab</t>
  </si>
  <si>
    <t>2023-02-03T19:20:36.335000+00:00</t>
  </si>
  <si>
    <t>left_block_3_lane_3</t>
  </si>
  <si>
    <t>2ee23a81-cef5-48b1-8050-14d36fe17e01</t>
  </si>
  <si>
    <t>bd841874-cb64-46fd-885f-fe0b3de92c65</t>
  </si>
  <si>
    <t>slip: current node is not the lane (lane_3304 vs lane_3302); inductive: inductive does not see rails</t>
  </si>
  <si>
    <t>2023-02-03T22:47:30.951000+00:00</t>
  </si>
  <si>
    <t>lane_3302</t>
  </si>
  <si>
    <t>92057a10-e7b3-4321-b599-7649619c1c7c</t>
  </si>
  <si>
    <t>2023-02-04T01:03:20.824000+00:00</t>
  </si>
  <si>
    <t>f44d76c0-3045-4250-bda0-465035972694</t>
  </si>
  <si>
    <t>1fd1c0d2-68a0-490e-844c-82403be726b4</t>
  </si>
  <si>
    <t>2023-02-04T01:19:36.447000+00:00</t>
  </si>
  <si>
    <t>13a9d0a0-152e-400d-9d95-c2ae4e5250d5</t>
  </si>
  <si>
    <t>2023-02-04T01:24:20.636000+00:00</t>
  </si>
  <si>
    <t>09859c8b-31cd-4882-a9da-1365182e8079</t>
  </si>
  <si>
    <t>4d1d60ec-967c-4f12-99c8-182888de7b69</t>
  </si>
  <si>
    <t>2023-02-04T01:44:43.590000+00:00</t>
  </si>
  <si>
    <t>cffc2905-5389-4227-82a6-199300112a82</t>
  </si>
  <si>
    <t>ba8436cd-f2ca-43f8-8c52-e1e54e04b076</t>
  </si>
  <si>
    <t>slip: current node is not the lane (walkway_1 vs right_block_2_lane_3); inductive: inductive does not see rails</t>
  </si>
  <si>
    <t>2023-02-04T01:54:24.391000+00:00</t>
  </si>
  <si>
    <t>right_block_2_lane_3</t>
  </si>
  <si>
    <t>2023-02-04T16:17:50.205000+00:00</t>
  </si>
  <si>
    <t>2023-02-04T17:35:37.729000+00:00</t>
  </si>
  <si>
    <t>block_4_lane_4</t>
  </si>
  <si>
    <t>2023-02-04T18:02:51.608000+00:00</t>
  </si>
  <si>
    <t>block_6_lane_1</t>
  </si>
  <si>
    <t>Korte lengte ingesteld? robot ontvangt inductieve niet bij terug af rail rijden, lijkt nochtans volledig van de rail te zijn gereden</t>
  </si>
  <si>
    <t>cf16c7ed-a352-4a66-a4f8-d82da36299cd</t>
  </si>
  <si>
    <t>f08a1052-f019-476c-b112-1a81658aebd3</t>
  </si>
  <si>
    <t>2023-02-04T23:15:03.376000+00:00</t>
  </si>
  <si>
    <t>right_block_1_lane_4</t>
  </si>
  <si>
    <t>31a712e7-43fa-4851-ac51-90474793961c</t>
  </si>
  <si>
    <t>2023-02-04T23:19:03.221000+00:00</t>
  </si>
  <si>
    <t>cdbbe369-ac92-40e7-bba7-3ce417289aee</t>
  </si>
  <si>
    <t>36db50a1-ed05-47b7-93ba-a4eff5f389a4</t>
  </si>
  <si>
    <t>2023-02-05T00:06:57.294000+00:00</t>
  </si>
  <si>
    <t>8e7a3972-882a-4a0f-815d-80c03a0659aa</t>
  </si>
  <si>
    <t>Korte lengte ingesteld? robot lijkt vast te zitten en gaat in error bij terugkeren</t>
  </si>
  <si>
    <t>6bfe527f-2cfa-4db6-91f5-3def6a21a643</t>
  </si>
  <si>
    <t>2023-02-05T02:17:21.192000+00:00</t>
  </si>
  <si>
    <t>04781162-17b6-4ca4-9647-76d394277a40</t>
  </si>
  <si>
    <t>bd1a5232-79e2-48fa-8771-5a646ac745bf</t>
  </si>
  <si>
    <t>2023-02-05T03:28:01.431000+00:00</t>
  </si>
  <si>
    <t>lane_3815</t>
  </si>
  <si>
    <t>Dit is eigenljik ook een 0x01040004 (4 collisions in a row)</t>
  </si>
  <si>
    <t>b8c54399-1fbc-4955-b5f1-115ddeb1d0fb</t>
  </si>
  <si>
    <t>5e21e59e-26f1-4c72-83b5-c395077ac70f</t>
  </si>
  <si>
    <t>2023-02-05T05:55:43.942000+00:00</t>
  </si>
  <si>
    <t>lane_3615</t>
  </si>
  <si>
    <t>2141f8e0-519b-4d7a-ace4-4aa622f6a92e</t>
  </si>
  <si>
    <t>2023-02-05T06:25:53.380000+00:00</t>
  </si>
  <si>
    <t>lane_3603</t>
  </si>
  <si>
    <t>f4613f64-7767-454b-af86-741fe3c7fe9d</t>
  </si>
  <si>
    <t>2023-02-05T18:17:58.260000+00:00</t>
  </si>
  <si>
    <t>daa91571-986d-4679-ad78-0e210f09be96</t>
  </si>
  <si>
    <t>2023-02-05T19:33:37.952000+00:00</t>
  </si>
  <si>
    <t>lane_3401</t>
  </si>
  <si>
    <t>2023-02-05T21:22:46.072000+00:00</t>
  </si>
  <si>
    <t>c04be0e3-906e-4b9f-9bd2-643d8702517a</t>
  </si>
  <si>
    <t>2023-02-06T01:56:16.887000+00:00</t>
  </si>
  <si>
    <t>c30b4eea-4714-4b57-99fe-97359bf15fe1</t>
  </si>
  <si>
    <t>2023-02-06T08:17:38.224000+00:00</t>
  </si>
  <si>
    <t>2023-02-06T17:00:13.436000+00:00</t>
  </si>
  <si>
    <t>block_2_lane_3</t>
  </si>
  <si>
    <t>2023-02-06T17:13:07.649000+00:00</t>
  </si>
  <si>
    <t>0fccbfdb-85d0-44af-85e8-8a0819d133dc</t>
  </si>
  <si>
    <t>92f98803-30a9-4e4a-bd3c-84680b4d9d39</t>
  </si>
  <si>
    <t>2023-02-06T17:57:18.431000+00:00</t>
  </si>
  <si>
    <t>4b499a5e-5eea-43ee-bb9f-6e4f245cddd0</t>
  </si>
  <si>
    <t>2023-02-06T18:26:15.296000+00:00</t>
  </si>
  <si>
    <t>lane_4003</t>
  </si>
  <si>
    <t>2023-02-06T18:29:06.409000+00:00</t>
  </si>
  <si>
    <t>block_6_lane_3</t>
  </si>
  <si>
    <t>2023-02-06T18:38:53.924000+00:00</t>
  </si>
  <si>
    <t>2023-02-06T19:11:41.524000+00:00</t>
  </si>
  <si>
    <t>0413b5c6-c382-406f-a11a-61f8d41edc7f</t>
  </si>
  <si>
    <t>2023-02-06T20:29:00.340000+00:00</t>
  </si>
  <si>
    <t>073288db-5373-4daa-ba65-24ae0b114b70</t>
  </si>
  <si>
    <t>2023-02-06T20:58:14.886000+00:00</t>
  </si>
  <si>
    <t>d566b746-51ea-48e2-852c-2704948d76ec</t>
  </si>
  <si>
    <t>2023-02-06T21:03:17.306000+00:00</t>
  </si>
  <si>
    <t>lane_3515</t>
  </si>
  <si>
    <t>b9304ca7-1476-4379-9df1-a22f4be743df</t>
  </si>
  <si>
    <t>2023-02-06T21:09:17.039000+00:00</t>
  </si>
  <si>
    <t>lane_3501</t>
  </si>
  <si>
    <t>7cd2d353-d44b-4e6e-86b2-54b23a404c4d</t>
  </si>
  <si>
    <t>6bf3f492-48e2-4043-ac00-75bf015327f2</t>
  </si>
  <si>
    <t>2023-02-06T21:14:17.977000+00:00</t>
  </si>
  <si>
    <t>lane_3605</t>
  </si>
  <si>
    <t>71c3dffd-8596-4417-945c-25c9205953b7</t>
  </si>
  <si>
    <t>2023-02-06T21:42:09.929000+00:00</t>
  </si>
  <si>
    <t>853f3e2e-e3d7-468e-8b0e-c1791060d55c</t>
  </si>
  <si>
    <t>ac35489e-8cf3-4d52-a0a5-dafad5780350</t>
  </si>
  <si>
    <t>2023-02-07T02:56:27.596000+00:00</t>
  </si>
  <si>
    <t>lane_3215</t>
  </si>
  <si>
    <t>a4fb5569-2af5-429a-881f-fc4243d0f422</t>
  </si>
  <si>
    <t>2023-02-07T03:26:39.619000+00:00</t>
  </si>
  <si>
    <t>lane_3203</t>
  </si>
  <si>
    <t>4e7f2942-c833-4266-89c9-92632352c38c</t>
  </si>
  <si>
    <t>616399e5-4ab7-47c0-b374-654df5171ba5</t>
  </si>
  <si>
    <t>2023-02-08T09:23:08.636000+00:00</t>
  </si>
  <si>
    <t>left_block_22_lane_5</t>
  </si>
  <si>
    <t>lumionleft</t>
  </si>
  <si>
    <t>66</t>
  </si>
  <si>
    <t>te vroeg gestopt, Niels is er bij</t>
  </si>
  <si>
    <t>7ed151e4-457c-47d9-9e20-5a55feefd186</t>
  </si>
  <si>
    <t>2023-02-08T09:26:35.842000+00:00</t>
  </si>
  <si>
    <t>left_block_22_lane_4</t>
  </si>
  <si>
    <t>fout op einde laneswitch</t>
  </si>
  <si>
    <t>464867d7-f12c-4d76-990a-de243ffd5a05</t>
  </si>
  <si>
    <t>aadcac68-ed1e-4617-8eb9-0751673f76b2</t>
  </si>
  <si>
    <t>2023-02-08T09:49:36.099000+00:00</t>
  </si>
  <si>
    <t>Niels duwt op noodstop</t>
  </si>
  <si>
    <t>d781bf46-6cc0-437a-976f-c4bf9a19c73e</t>
  </si>
  <si>
    <t>13edc5c4-bb6a-42e2-9916-010568b63afd</t>
  </si>
  <si>
    <t>2023-02-08T10:15:11.197000+00:00</t>
  </si>
  <si>
    <t>left_block_21_lane_4</t>
  </si>
  <si>
    <t>0bfe4bc8-6876-4150-a3a0-264e128537e3</t>
  </si>
  <si>
    <t>c8992970-7a4d-4ce9-ab0b-c7cfbae987cf</t>
  </si>
  <si>
    <t>2023-02-08T10:30:09.113000+00:00</t>
  </si>
  <si>
    <t>right_block_21_lane_2</t>
  </si>
  <si>
    <t>lumionright</t>
  </si>
  <si>
    <t>3e437b56-d680-4097-aec2-c6815f64b079</t>
  </si>
  <si>
    <t>2023-02-08T10:34:41.619000+00:00</t>
  </si>
  <si>
    <t>right_block_21_lane_1</t>
  </si>
  <si>
    <t>d612a1a9-b581-4f14-963b-94f1fa7f0136</t>
  </si>
  <si>
    <t>2023-02-08T10:35:41.754000+00:00</t>
  </si>
  <si>
    <t>right_block_20_lane_7</t>
  </si>
  <si>
    <t>25a96e8a-d765-4396-b432-73b8d124b34d</t>
  </si>
  <si>
    <t>2023-02-08T12:48:03.570000+00:00</t>
  </si>
  <si>
    <t>65</t>
  </si>
  <si>
    <t>da1363be-c481-4596-928d-7715e4a8bf11</t>
  </si>
  <si>
    <t>84e17806-096e-488c-8826-d88f07ae5c82</t>
  </si>
  <si>
    <t>2023-02-08T13:00:49.747000+00:00</t>
  </si>
  <si>
    <t>right_block_29_lane_7</t>
  </si>
  <si>
    <t>e60be7e2-0d1d-4e97-858d-390135795a3e</t>
  </si>
  <si>
    <t>2023-02-08T13:44:36.076000+00:00</t>
  </si>
  <si>
    <t>252f913c-fa29-4cf6-9cdd-3d65d478ce6b</t>
  </si>
  <si>
    <t>1c94fdb5-3bed-4c55-8f4c-1faf1b29fd8c</t>
  </si>
  <si>
    <t>2023-02-08T14:18:43.430000+00:00</t>
  </si>
  <si>
    <t>daa91a0c-86db-406d-93bc-3bef40a13ae5</t>
  </si>
  <si>
    <t>2023-02-08T14:21:49.892000+00:00</t>
  </si>
  <si>
    <t>right_block_32_lane_6</t>
  </si>
  <si>
    <t>c0820ed2-f60c-4764-9381-bd370a522a00</t>
  </si>
  <si>
    <t>b58e34a5-9b51-4cd0-897e-bde5f3e8c930</t>
  </si>
  <si>
    <t>2023-02-08T14:25:20.546000+00:00</t>
  </si>
  <si>
    <t>right_block_32_lane_5</t>
  </si>
  <si>
    <t>97361976-10c7-4119-b44a-f975ca2073be</t>
  </si>
  <si>
    <t>2023-02-08T14:25:25.084000+00:00</t>
  </si>
  <si>
    <t>64845f63-4cc2-4c73-ae1c-3818573f8fd7</t>
  </si>
  <si>
    <t>9b6e0b05-d72a-44d1-a233-3751996237ef</t>
  </si>
  <si>
    <t>2023-02-08T14:36:01.800000+00:00</t>
  </si>
  <si>
    <t>left_block_30_lane_6</t>
  </si>
  <si>
    <t>b8be17e3-6e80-4be2-9da5-ea0c59f24e69</t>
  </si>
  <si>
    <t>3c85f895-ed14-4c60-b4c7-182432f612c1</t>
  </si>
  <si>
    <t>2023-02-08T15:15:54.835000+00:00</t>
  </si>
  <si>
    <t>left_block_30_lane_4</t>
  </si>
  <si>
    <t>2023-02-08T15:50:32.861000+00:00</t>
  </si>
  <si>
    <t>96283ba8-d7d7-41bf-a4a7-ff1d8b65738c</t>
  </si>
  <si>
    <t>2f4e236e-1cd5-417f-a9e7-8c9af285ce0b</t>
  </si>
  <si>
    <t>2023-02-08T15:59:32.043000+00:00</t>
  </si>
  <si>
    <t>right_block_26_lane_7</t>
  </si>
  <si>
    <t>Lijkt veroorzaakt door een slechte laneswitch ?</t>
  </si>
  <si>
    <t>3e969509-9a72-49c2-befb-ecd21e1bffc9</t>
  </si>
  <si>
    <t>7a3a4b1c-988c-4614-b62d-d242512149b9</t>
  </si>
  <si>
    <t>2023-02-08T16:26:49.023000+00:00</t>
  </si>
  <si>
    <t>niets speciaal te zien</t>
  </si>
  <si>
    <t>97067215-b003-435e-9138-a6c7ffd6be93</t>
  </si>
  <si>
    <t>2023-02-08T16:35:03.853000+00:00</t>
  </si>
  <si>
    <t>Robot gaat in fout na laneswitch</t>
  </si>
  <si>
    <t>5e44a4b9-38c1-49d5-90d9-0d8fc9f4fd3e</t>
  </si>
  <si>
    <t>b8e35189-cd52-4583-b1a1-385ae4aa4530</t>
  </si>
  <si>
    <t>2023-02-08T17:10:08.849000+00:00</t>
  </si>
  <si>
    <t>ebd6acc6-c781-4b71-ad59-6bca3543507d</t>
  </si>
  <si>
    <t>6c86df7e-8a68-4669-9b3a-6ea039afde26</t>
  </si>
  <si>
    <t>2023-02-08T17:14:04.708000+00:00</t>
  </si>
  <si>
    <t>right_block_32_lane_4</t>
  </si>
  <si>
    <t>edf36651-df03-4af4-959e-f4e645f58b4e</t>
  </si>
  <si>
    <t>2023-02-08T17:15:52.353000+00:00</t>
  </si>
  <si>
    <t>2023-02-08T17:16:49.222000+00:00</t>
  </si>
  <si>
    <t>af959238-0998-4433-8784-6c8db494a40a</t>
  </si>
  <si>
    <t>2023-02-08T17:34:05.414000+00:00</t>
  </si>
  <si>
    <t>ffcd2c72-8067-402e-b579-8e12af3eb5e6</t>
  </si>
  <si>
    <t>2023-02-08T17:42:37.196000+00:00</t>
  </si>
  <si>
    <t>50168fdd-99c2-48b3-8071-cdbf329d6544</t>
  </si>
  <si>
    <t>2023-02-08T17:48:10.387000+00:00</t>
  </si>
  <si>
    <t>45889550-b5ca-4df8-9191-9bc0cd93fe44</t>
  </si>
  <si>
    <t>2023-02-08T17:56:25.054000+00:00</t>
  </si>
  <si>
    <t>slecht klaar gezet ? vertrok van heel ver om op de rail te geraken</t>
  </si>
  <si>
    <t>a891740a-4e52-400c-85e1-498b79158732</t>
  </si>
  <si>
    <t>2023-02-08T17:58:50.709000+00:00</t>
  </si>
  <si>
    <t>geraakt de rail niet op of weer slecht klaar gezet</t>
  </si>
  <si>
    <t>3c7b8ceb-fe9f-4d50-9110-7cc7d17e48b5</t>
  </si>
  <si>
    <t>7511a7e8-20ef-4b46-b627-655ba21a04d9</t>
  </si>
  <si>
    <t>2023-02-08T18:40:31.173000+00:00</t>
  </si>
  <si>
    <t>lane_3915</t>
  </si>
  <si>
    <t>0x010600e7</t>
  </si>
  <si>
    <t>error in het midden van de rij</t>
  </si>
  <si>
    <t>7dcb66d2-6546-4907-abec-61cdb832efab</t>
  </si>
  <si>
    <t>2023-02-08T19:52:12.712000+00:00</t>
  </si>
  <si>
    <t>block_7_lane_3</t>
  </si>
  <si>
    <t>slipte wat net voor hij er op geraakte</t>
  </si>
  <si>
    <t>a33f0037-58c1-4c9c-adba-477de87944b4</t>
  </si>
  <si>
    <t>2023-02-08T20:42:57.917000+00:00</t>
  </si>
  <si>
    <t>2023-02-09T00:34:26.958000+00:00</t>
  </si>
  <si>
    <t>block_2_lane_7</t>
  </si>
  <si>
    <t>Bart is iets aan het testen</t>
  </si>
  <si>
    <t>40486fe1-a5cc-4401-a6df-2d0ea0c6beb7</t>
  </si>
  <si>
    <t>2023-02-09T01:43:35.186000+00:00</t>
  </si>
  <si>
    <t>block_3_lane_2</t>
  </si>
  <si>
    <t>1f79538f-c30a-4af3-ae04-f9f0e4913fe2</t>
  </si>
  <si>
    <t>2023-02-09T02:04:20.833000+00:00</t>
  </si>
  <si>
    <t>b5a8bbc9-c635-403a-8339-5134dca25da1</t>
  </si>
  <si>
    <t>2023-02-09T02:07:33.437000+00:00</t>
  </si>
  <si>
    <t>a5d2ddb3-57d9-4265-8649-aef58386eb53</t>
  </si>
  <si>
    <t>2023-02-09T02:12:15.777000+00:00</t>
  </si>
  <si>
    <t>bcbb8ffd-76ed-46f8-bd22-074d38edc5b2</t>
  </si>
  <si>
    <t>66002489-88af-4a6f-8896-c8f5ea7e5731</t>
  </si>
  <si>
    <t>2023-02-09T02:17:57.806000+00:00</t>
  </si>
  <si>
    <t>Bart staat in de weg</t>
  </si>
  <si>
    <t>5fdce621-7929-498e-8e81-1e355f958c8b</t>
  </si>
  <si>
    <t>2a31af38-f2f0-4e12-a5d6-56b6b8476e89</t>
  </si>
  <si>
    <t>slip: not at least one job is completed; inductive: error code 0x1050005 is not supported</t>
  </si>
  <si>
    <t>2023-02-09T07:11:40.172000+00:00</t>
  </si>
  <si>
    <t>right_block_32_lane_3</t>
  </si>
  <si>
    <t>be5fd3b3-bfa7-4b7d-92d4-6d7a1fd99a4b</t>
  </si>
  <si>
    <t>2023-02-09T08:06:52.661000+00:00</t>
  </si>
  <si>
    <t>d9f5fef4-55f1-4e70-9653-bc0d98e8f6ea</t>
  </si>
  <si>
    <t>2023-02-09T08:34:09.362000+00:00</t>
  </si>
  <si>
    <t>9ea6dfe3-7e5c-4d13-9c0c-82df13d0f87f</t>
  </si>
  <si>
    <t>d44f8cee-131a-4c56-a9cc-ab3578d21bcc</t>
  </si>
  <si>
    <t>2023-02-09T08:52:05.825000+00:00</t>
  </si>
  <si>
    <t>right_block_1_lane_7</t>
  </si>
  <si>
    <t>2023-02-09T09:08:39.674000+00:00</t>
  </si>
  <si>
    <t>e4285969-60f8-47b0-9c89-63abcd34b7bc</t>
  </si>
  <si>
    <t>2023-02-09T09:12:43.154000+00:00</t>
  </si>
  <si>
    <t>3a1d5a30-13f7-4f45-a851-2fb234693097</t>
  </si>
  <si>
    <t>2fa426f8-35d9-48ee-8e95-b26152660dba</t>
  </si>
  <si>
    <t>2023-02-09T09:45:10.732000+00:00</t>
  </si>
  <si>
    <t>2023-02-09T10:03:55.291000+00:00</t>
  </si>
  <si>
    <t>608017bd-b582-428c-87f2-86ebeff4d874</t>
  </si>
  <si>
    <t>7243bedd-9e92-4d97-837a-c0f829f2a250</t>
  </si>
  <si>
    <t>2023-02-09T10:29:02.123000+00:00</t>
  </si>
  <si>
    <t>left_block_25_lane_7</t>
  </si>
  <si>
    <t>db379626-a036-41bd-a859-2766476b4807</t>
  </si>
  <si>
    <t>2023-02-09T10:56:39.626000+00:00</t>
  </si>
  <si>
    <t>f35d45b0-ae51-4244-99da-d4eb4bcbf78c</t>
  </si>
  <si>
    <t>2023-02-09T12:00:49.069000+00:00</t>
  </si>
  <si>
    <t>71620029-360b-4088-94be-abcd08edb0c8</t>
  </si>
  <si>
    <t>514d08fb-65b3-4bc0-b8ab-3f5dc52191cd</t>
  </si>
  <si>
    <t>2023-02-09T12:10:49.678000+00:00</t>
  </si>
  <si>
    <t>0bbba836-bf48-40d2-a071-e1d413562b64</t>
  </si>
  <si>
    <t>2023-02-09T12:16:00.227000+00:00</t>
  </si>
  <si>
    <t>right_block_32_lane_2</t>
  </si>
  <si>
    <t>2023-02-09T12:26:46.784000+00:00</t>
  </si>
  <si>
    <t>b6bc519c-80cb-4abc-b132-56472e72595d</t>
  </si>
  <si>
    <t>423e44c2-f2dc-4726-af86-9430c7dc6bd8</t>
  </si>
  <si>
    <t>2023-02-09T12:45:38.629000+00:00</t>
  </si>
  <si>
    <t>EOL open aan muurzijde.</t>
  </si>
  <si>
    <t>6bd703ce-4b49-4ff8-97ae-6a38a91e23ea</t>
  </si>
  <si>
    <t>87ed4401-db8e-449f-8077-e57219d32c37</t>
  </si>
  <si>
    <t>2023-02-09T14:05:26.200000+00:00</t>
  </si>
  <si>
    <t>c992aa00-1ddb-4fae-9e1e-f862ff72db03</t>
  </si>
  <si>
    <t>2023-02-09T16:28:44.525000+00:00</t>
  </si>
  <si>
    <t>da407c73-4246-491d-b577-70f37ffb42b8</t>
  </si>
  <si>
    <t>4120cf81-27c3-4418-b968-b986d074ba06</t>
  </si>
  <si>
    <t>2023-02-09T16:36:52.825000+00:00</t>
  </si>
  <si>
    <t>38caba3a-0bcf-4011-9086-0dcf7fee25e1</t>
  </si>
  <si>
    <t>2023-02-09T16:40:35.057000+00:00</t>
  </si>
  <si>
    <t>left_block_18_lane_4</t>
  </si>
  <si>
    <t>9c6bf8c4-bda7-4573-ab17-181564ac869a</t>
  </si>
  <si>
    <t>a80721c7-11e0-449c-8611-16f9737097b8</t>
  </si>
  <si>
    <t>2023-02-09T17:11:21.848000+00:00</t>
  </si>
  <si>
    <t>left_block_15_lane_1</t>
  </si>
  <si>
    <t>6298fe28-ba84-451e-91b9-9d05ae40aa58</t>
  </si>
  <si>
    <t>2023-02-09T18:31:58.996000+00:00</t>
  </si>
  <si>
    <t>23f83f3e-6665-4a12-9a5d-89f0c5711080</t>
  </si>
  <si>
    <t>2023-02-09T19:11:27.337000+00:00</t>
  </si>
  <si>
    <t>4d570cc3-172a-4042-9be8-c5473c1df497</t>
  </si>
  <si>
    <t>2023-02-09T20:13:18.295000+00:00</t>
  </si>
  <si>
    <t>left_block_9_lane_1</t>
  </si>
  <si>
    <t>b7a58cda-378c-463b-9cf4-c8e9e42e6af6</t>
  </si>
  <si>
    <t>slip: error code 0x1060001 is not supported; inductive: inductive does not see rails</t>
  </si>
  <si>
    <t>2023-02-09T21:39:59.801000+00:00</t>
  </si>
  <si>
    <t>left_block_6_lane_2</t>
  </si>
  <si>
    <t>2023-02-10T01:21:50.658000+00:00</t>
  </si>
  <si>
    <t>d395a600-9803-4f11-a026-596a9b56f114</t>
  </si>
  <si>
    <t>2023-02-10T08:03:05.685000+00:00</t>
  </si>
  <si>
    <t>7871e935-790b-4500-9d42-61202d749212</t>
  </si>
  <si>
    <t>fe0b1e2e-1fcd-4840-b09a-ffcea5f01659</t>
  </si>
  <si>
    <t>2023-02-10T08:34:28.045000+00:00</t>
  </si>
  <si>
    <t>right_block_32_lane_1</t>
  </si>
  <si>
    <t>2023-02-10T08:49:17.463000+00:00</t>
  </si>
  <si>
    <t>609a561b-42c8-429d-a8da-5738045fee7f</t>
  </si>
  <si>
    <t>2023-02-10T15:41:38.290000+00:00</t>
  </si>
  <si>
    <t>b1bdf656-6b0e-4554-bd07-47a6459cd528</t>
  </si>
  <si>
    <t>2023-02-10T17:01:15.240000+00:00</t>
  </si>
  <si>
    <t>c8997ef2-9b1c-437d-b4b1-ff8db30c432a</t>
  </si>
  <si>
    <t>2023-02-10T18:05:06.436000+00:00</t>
  </si>
  <si>
    <t>Gekende bug waarbij niet gerecoverd wordt in de laatste rij</t>
  </si>
  <si>
    <t>Je ziet dat de robot al op de rails valt na de retry. nadien is er ook nog front wheel slip</t>
  </si>
  <si>
    <t>2023-02-10T19:13:17.445000+00:00</t>
  </si>
  <si>
    <t>124000d6-a62d-4226-8cdf-0a2f033914de</t>
  </si>
  <si>
    <t>81033564-da54-44d9-983e-e4436077345e</t>
  </si>
  <si>
    <t>slip: error code 0x1020001 is not supported; inductive: inductive does not see rails</t>
  </si>
  <si>
    <t>2023-02-10T19:50:54.408000+00:00</t>
  </si>
  <si>
    <t>right_block4_lane8</t>
  </si>
  <si>
    <t>0x01020001</t>
  </si>
  <si>
    <t>ba5dca60-7a83-4987-9770-d3941610b24e</t>
  </si>
  <si>
    <t>9cbdf8db-f192-4424-8cc6-bc92953d9388</t>
  </si>
  <si>
    <t>2023-02-11T01:35:47.140000+00:00</t>
  </si>
  <si>
    <t>right_block_4_lane_7</t>
  </si>
  <si>
    <t>front wheel slip</t>
  </si>
  <si>
    <t>2023-02-11T02:32:59.081000+00:00</t>
  </si>
  <si>
    <t>3eca5d43-b76c-453c-9243-9f2e798b6be1</t>
  </si>
  <si>
    <t>2023-02-11T02:57:21.019000+00:00</t>
  </si>
  <si>
    <t>5d147493-281a-4753-aa42-5f3d1fe4996d</t>
  </si>
  <si>
    <t>2023-02-11T02:58:24.685000+00:00</t>
  </si>
  <si>
    <t>Robot lijkt tegen goot te botsen tijdens LS</t>
  </si>
  <si>
    <t>Hier gebeuren meerdere dingen. de slip recovery lane switch lijkt niet goed, nadien is er ook een collision detection die door een bug als 4de wordt gezien (bug is opgelost in feature branch)</t>
  </si>
  <si>
    <t>f14156b6-8cc9-402f-b11b-5fbedf1589e9</t>
  </si>
  <si>
    <t>2023-02-11T06:51:20.786000+00:00</t>
  </si>
  <si>
    <t>542d5de4-5675-404f-b96a-dbec25914639</t>
  </si>
  <si>
    <t>2023-02-11T08:02:57.726000+00:00</t>
  </si>
  <si>
    <t>63721612-14cc-41e7-81d0-649c7700c3a6</t>
  </si>
  <si>
    <t>46fc98e3-cf6d-4e64-8d53-27a295ea5141</t>
  </si>
  <si>
    <t>2023-02-11T23:23:45.912000+00:00</t>
  </si>
  <si>
    <t>left_block_14_lane_1</t>
  </si>
  <si>
    <t>dad48fc1-b718-4250-b743-80c744e72150</t>
  </si>
  <si>
    <t>28c58eca-c66a-4563-a1d6-cec242fa3dfb</t>
  </si>
  <si>
    <t>2023-02-12T02:10:30.714000+00:00</t>
  </si>
  <si>
    <t>e9c1c5ab-4bb8-40d4-8b1f-cb302dc7069f</t>
  </si>
  <si>
    <t>2023-02-12T07:36:34.054000+00:00</t>
  </si>
  <si>
    <t>3b3690d3-b806-4642-b33e-ec9eea836fe9</t>
  </si>
  <si>
    <t>2023-02-12T07:55:21.569000+00:00</t>
  </si>
  <si>
    <t>2023-02-12T17:22:57.923000+00:00</t>
  </si>
  <si>
    <t>2023-02-12T17:43:23.225000+00:00</t>
  </si>
  <si>
    <t>50c780c7-abd5-4497-92a9-4dcff2679a44</t>
  </si>
  <si>
    <t>2023-02-12T18:25:43.889000+00:00</t>
  </si>
  <si>
    <t>left_block_3_lane_7</t>
  </si>
  <si>
    <t>2023-02-12T18:28:53.874000+00:00</t>
  </si>
  <si>
    <t>3f8de8c1-13e6-4279-9076-09fad2c153ef</t>
  </si>
  <si>
    <t>2461f5a6-faf1-4832-a31d-708873484f1f</t>
  </si>
  <si>
    <t>2023-02-12T21:53:27.669000+00:00</t>
  </si>
  <si>
    <t>left_block_12_lane_4</t>
  </si>
  <si>
    <t>252cbc53-294e-4c6f-835f-8a967b62ed53</t>
  </si>
  <si>
    <t>2023-02-12T23:35:08.600000+00:00</t>
  </si>
  <si>
    <t>ede6422d-e157-44fc-aaf2-ec97bf9f6fee</t>
  </si>
  <si>
    <t>2023-02-13T03:22:23.053000+00:00</t>
  </si>
  <si>
    <t>Voorwiel slip</t>
  </si>
  <si>
    <t>verkeerde error code ? verkeerde log ?</t>
  </si>
  <si>
    <t>7be338b4-f46b-4246-ac1a-4c621495101b</t>
  </si>
  <si>
    <t>87c5b10b-4157-4653-bd89-6fbe0f4d9146</t>
  </si>
  <si>
    <t>2023-02-13T03:35:32.654000+00:00</t>
  </si>
  <si>
    <t>left_block_9_lane_6</t>
  </si>
  <si>
    <t>6765edd9-8993-48e9-92d5-dcce54a92160</t>
  </si>
  <si>
    <t>2023-02-13T06:46:16.505000+00:00</t>
  </si>
  <si>
    <t>cc250d2e-31a8-480f-acd8-df53b1ee5895</t>
  </si>
  <si>
    <t>2023-02-13T07:03:01.493000+00:00</t>
  </si>
  <si>
    <t>left_block_2_lane_7</t>
  </si>
  <si>
    <t>2023-02-13T07:04:35.461000+00:00</t>
  </si>
  <si>
    <t>a63d528e-ca42-4bd6-acac-e7c8d4e918bc</t>
  </si>
  <si>
    <t>2023-02-13T18:32:37.760000+00:00</t>
  </si>
  <si>
    <t>Je ziet dat de robot al op de rails valt na de retry</t>
  </si>
  <si>
    <t>2023-02-13T19:00:30.096000+00:00</t>
  </si>
  <si>
    <t>3595d80b-bd59-4c13-893c-4aa4493f0e22</t>
  </si>
  <si>
    <t>ceaa23ce-9cdc-497a-8c8e-e3a5ddbf3a25</t>
  </si>
  <si>
    <t>2023-02-14T00:28:09.853000+00:00</t>
  </si>
  <si>
    <t>left_block11_lane8</t>
  </si>
  <si>
    <t>3cb7db2c-5f98-4e26-88d9-485d3f257f92</t>
  </si>
  <si>
    <t>2023-02-14T01:12:46.455000+00:00</t>
  </si>
  <si>
    <t>left_block13_lane4</t>
  </si>
  <si>
    <t>47e6b71a-6205-4dab-81b9-b2b5a1f76eea</t>
  </si>
  <si>
    <t>2023-02-14T01:19:12.127000+00:00</t>
  </si>
  <si>
    <t>left_block13_lane6</t>
  </si>
  <si>
    <t>d77cbb34-933a-4b23-85aa-afeaa66e3edc</t>
  </si>
  <si>
    <t>ab0f8784-4330-41eb-87fb-6fc0427a865d</t>
  </si>
  <si>
    <t>2023-02-14T04:58:27.219000+00:00</t>
  </si>
  <si>
    <t>lane_3610</t>
  </si>
  <si>
    <t>0x0106004a</t>
  </si>
  <si>
    <t>19f3221a-1bd2-4096-a812-9434d11dd115</t>
  </si>
  <si>
    <t>2023-02-14T06:32:18.245000+00:00</t>
  </si>
  <si>
    <t>lane_3316</t>
  </si>
  <si>
    <t>Kar in de rij! Obstacle detection case!</t>
  </si>
  <si>
    <t>9c7a5d36-d13c-4a54-a296-6fb3dcd54f57</t>
  </si>
  <si>
    <t>2023-02-14T16:46:20.263000+00:00</t>
  </si>
  <si>
    <t>53cf9a8d-0a7f-4a5d-95eb-c9c97c15c09d</t>
  </si>
  <si>
    <t>6431fa2e-9441-4979-b615-01dec1de4441</t>
  </si>
  <si>
    <t>2023-02-14T17:22:52.236000+00:00</t>
  </si>
  <si>
    <t>Terechte detectie van voorwielslip</t>
  </si>
  <si>
    <t>798ef997-1a9f-4741-9de8-33cffe6728f9</t>
  </si>
  <si>
    <t>2023-02-14T18:36:26.910000+00:00</t>
  </si>
  <si>
    <t>f98ae99c-8ae2-444a-ac88-e4ca5b5d7a8b</t>
  </si>
  <si>
    <t>2023-02-14T19:44:52.056000+00:00</t>
  </si>
  <si>
    <t>51840db5-8518-4db6-a3b5-2bda65c48638</t>
  </si>
  <si>
    <t>2023-02-14T20:04:34.650000+00:00</t>
  </si>
  <si>
    <t>right_block_7_lane_5</t>
  </si>
  <si>
    <t>229143d7-0547-4724-89b5-6aacf1a5d790</t>
  </si>
  <si>
    <t>2023-02-14T21:52:10.298000+00:00</t>
  </si>
  <si>
    <t>right_block_11_lane_3</t>
  </si>
  <si>
    <t>Komt te kort uit aan EOL wall</t>
  </si>
  <si>
    <t>7c62da9b-051f-4d42-befa-9ce72f8e3495</t>
  </si>
  <si>
    <t>2023-02-15T01:02:13.321000+00:00</t>
  </si>
  <si>
    <t>right_block_17_lane_6</t>
  </si>
  <si>
    <t>08cf22a0-47c5-4903-866e-c141a42aeac4</t>
  </si>
  <si>
    <t>2023-02-15T03:27:35.325000+00:00</t>
  </si>
  <si>
    <t>right_block_22_lane_6</t>
  </si>
  <si>
    <t>Tikt vermoedelijk heel zachtjes de poort aan</t>
  </si>
  <si>
    <t>d3bd2739-3846-48ae-8400-4b8b5db7db17</t>
  </si>
  <si>
    <t>5e78c9ff-1a33-45f1-8b0d-fba77e7c5518</t>
  </si>
  <si>
    <t>2023-02-15T03:42:51.670000+00:00</t>
  </si>
  <si>
    <t>right_block_23_lane_5</t>
  </si>
  <si>
    <t>0262764b-2e6e-4e46-aa5b-5ed9053a86d0</t>
  </si>
  <si>
    <t>2023-02-15T16:20:37.953000+00:00</t>
  </si>
  <si>
    <t>2023-02-15T16:21:25.565000+00:00</t>
  </si>
  <si>
    <t>2023-02-15T16:21:49.840000+00:00</t>
  </si>
  <si>
    <t>7be3260b-2585-4a00-92b6-bb4096cb0458</t>
  </si>
  <si>
    <t>2023-02-15T16:24:44.399000+00:00</t>
  </si>
  <si>
    <t>35a110e9-1e77-4626-bbe3-f46c5094ff11</t>
  </si>
  <si>
    <t>2023-02-15T16:45:06.251000+00:00</t>
  </si>
  <si>
    <t>right_block_23_lane_6</t>
  </si>
  <si>
    <t>2023-02-15T16:45:51.568000+00:00</t>
  </si>
  <si>
    <t>2023-02-15T16:47:43.821000+00:00</t>
  </si>
  <si>
    <t>2023-02-15T16:48:17.749000+00:00</t>
  </si>
  <si>
    <t>9f1f7329-a6cb-4d4e-b09d-adf8f4d5e127</t>
  </si>
  <si>
    <t>2023-02-15T18:47:32.236000+00:00</t>
  </si>
  <si>
    <t>cc43eed0-82bd-486c-98c8-14493c2ef2ce</t>
  </si>
  <si>
    <t>2023-02-15T19:50:36.903000+00:00</t>
  </si>
  <si>
    <t>right_block1_lane3</t>
  </si>
  <si>
    <t>18155b54-9822-4443-a469-2e567d5f49f9</t>
  </si>
  <si>
    <t>2023-02-15T19:51:47.118000+00:00</t>
  </si>
  <si>
    <t>2023-02-15T19:54:51.917000+00:00</t>
  </si>
  <si>
    <t>1553b885-178a-4e3a-b11a-f76c0ed26b52</t>
  </si>
  <si>
    <t>2023-02-15T20:08:47.866000+00:00</t>
  </si>
  <si>
    <t>2023-02-15T20:09:03.072000+00:00</t>
  </si>
  <si>
    <t>right_block14_lane8</t>
  </si>
  <si>
    <t>2023-02-15T20:36:08.115000+00:00</t>
  </si>
  <si>
    <t>right_block2_lane7</t>
  </si>
  <si>
    <t>2023-02-15T22:26:20.140000+00:00</t>
  </si>
  <si>
    <t>right_block6_lane5</t>
  </si>
  <si>
    <t>dc5e9a8d-f77e-4766-be8d-8cf3c5c513b5</t>
  </si>
  <si>
    <t>0e671167-99a1-4973-8002-2e036403c746</t>
  </si>
  <si>
    <t>2023-02-16T08:21:54.925000+00:00</t>
  </si>
  <si>
    <t>right_block_27_lane_1</t>
  </si>
  <si>
    <t>flexibele buis in de rij</t>
  </si>
  <si>
    <t>466f3a8a-6122-42fd-bdbe-cf7f0d518e47</t>
  </si>
  <si>
    <t>2023-02-16T15:13:25.294000+00:00</t>
  </si>
  <si>
    <t>2023-02-16T15:14:16.293000+00:00</t>
  </si>
  <si>
    <t>98b0dfde-6332-468a-a44b-16f53a17b7de</t>
  </si>
  <si>
    <t>87a4c72f-2ff6-4d83-8a35-a2fb37d478d3</t>
  </si>
  <si>
    <t>2023-02-16T16:33:55.322000+00:00</t>
  </si>
  <si>
    <t>2e598b84-2f49-474a-9aeb-7dc7466515fb</t>
  </si>
  <si>
    <t>2023-02-16T16:34:57.611000+00:00</t>
  </si>
  <si>
    <t>26b38174-063a-4bb5-a0b1-92916398c18e</t>
  </si>
  <si>
    <t>2023-02-16T16:53:22.730000+00:00</t>
  </si>
  <si>
    <t>35c7c399-df0e-4fb5-8997-f1e0e6d98eb3</t>
  </si>
  <si>
    <t>2023-02-16T17:46:27.066000+00:00</t>
  </si>
  <si>
    <t>2023-02-16T18:13:38.628000+00:00</t>
  </si>
  <si>
    <t>f4efd564-e25c-43fd-96b8-9e85bba06c59</t>
  </si>
  <si>
    <t>0eece587-19ce-4137-8b5e-003364cd38e3</t>
  </si>
  <si>
    <t>2023-02-16T19:55:25.187000+00:00</t>
  </si>
  <si>
    <t>robot al op rail op einde LS</t>
  </si>
  <si>
    <t>2023-02-16T19:59:42.051000+00:00</t>
  </si>
  <si>
    <t>59e80eae-2227-4535-995a-e426d976dfc7</t>
  </si>
  <si>
    <t>2023-02-16T20:15:40.672000+00:00</t>
  </si>
  <si>
    <t>2023-02-16T20:29:07.480000+00:00</t>
  </si>
  <si>
    <t>b5cff825-c545-4871-b09d-1f937a97ea8c</t>
  </si>
  <si>
    <t>2023-02-16T20:53:40.582000+00:00</t>
  </si>
  <si>
    <t>b8d7a7da-9f50-4295-871f-0f0d3cae55db</t>
  </si>
  <si>
    <t>f7756bf8-8039-4603-9f7e-d68b589ad2f7</t>
  </si>
  <si>
    <t>2023-02-16T20:55:10.543000+00:00</t>
  </si>
  <si>
    <t>263880b5-216f-4270-950b-d31b9828d6d9</t>
  </si>
  <si>
    <t>2023-02-16T21:05:28.480000+00:00</t>
  </si>
  <si>
    <t>2023-02-16T21:30:49.050000+00:00</t>
  </si>
  <si>
    <t>right_block2_lane2</t>
  </si>
  <si>
    <t>25e930c4-81b9-41bd-9dbf-997066165292</t>
  </si>
  <si>
    <t>2023-02-16T21:45:43.085000+00:00</t>
  </si>
  <si>
    <t>05f3cbd0-f86b-481f-9a4b-7a3fec8e13eb</t>
  </si>
  <si>
    <t>2023-02-17T08:05:16.649000+00:00</t>
  </si>
  <si>
    <t>21aee470-2785-41bd-8af1-1f123be37e09</t>
  </si>
  <si>
    <t>2023-02-17T13:54:11.821000+00:00</t>
  </si>
  <si>
    <t>a61b106c-18d9-4182-b126-eac2ddea021f</t>
  </si>
  <si>
    <t>2023-02-17T15:03:15.455000+00:00</t>
  </si>
  <si>
    <t>2023-02-17T15:04:15.281000+00:00</t>
  </si>
  <si>
    <t>2023-02-17T15:05:46.992000+00:00</t>
  </si>
  <si>
    <t>right_block_1_lane_3</t>
  </si>
  <si>
    <t>730d041b-092c-4743-beb3-275746e2097b</t>
  </si>
  <si>
    <t>2023-02-17T15:16:25.569000+00:00</t>
  </si>
  <si>
    <t>left_block_29_lane_7</t>
  </si>
  <si>
    <t>2a0f1b50-104f-422c-a0d2-46d98fddf1e7</t>
  </si>
  <si>
    <t>e1470d6a-e6bd-41bc-96c0-79eb161a1af9</t>
  </si>
  <si>
    <t>2023-02-17T17:21:18.186000+00:00</t>
  </si>
  <si>
    <t>Robot stopt te vroeg</t>
  </si>
  <si>
    <t>74347b74-0720-4192-82a9-bba433e5b95d</t>
  </si>
  <si>
    <t>2023-02-17T17:52:28.768000+00:00</t>
  </si>
  <si>
    <t>block_4_lane_6</t>
  </si>
  <si>
    <t>68d6be02-6ca5-481e-ae83-f00003fae97a</t>
  </si>
  <si>
    <t>2023-02-17T17:53:29.879000+00:00</t>
  </si>
  <si>
    <t xml:space="preserve">Robot wijkt lateraal wat af na LS </t>
  </si>
  <si>
    <t>062fe394-3df2-4410-af85-7c9fc2c0dbb5</t>
  </si>
  <si>
    <t>2023-02-17T18:41:13.323000+00:00</t>
  </si>
  <si>
    <t>left_block_23_lane_2</t>
  </si>
  <si>
    <t>518c9553-a5d0-40fb-aec2-e3222dc4bad7</t>
  </si>
  <si>
    <t>b77efa17-ad9a-401b-b35b-5787050672b5</t>
  </si>
  <si>
    <t>2023-02-17T19:22:37.691000+00:00</t>
  </si>
  <si>
    <t>dc19f74c-910e-41c1-ab81-64590016b25a</t>
  </si>
  <si>
    <t>2023-02-17T19:43:56.746000+00:00</t>
  </si>
  <si>
    <t>Voorwielen geraken niet op rail</t>
  </si>
  <si>
    <t>2023-02-17T19:47:54.154000+00:00</t>
  </si>
  <si>
    <t>2023-02-17T19:54:58.278000+00:00</t>
  </si>
  <si>
    <t>1be98333-9442-41fe-9d4b-9314cb285a80</t>
  </si>
  <si>
    <t>6dc8d2db-0d07-4d22-b953-212286aa49a3</t>
  </si>
  <si>
    <t>2023-02-17T20:23:02.070000+00:00</t>
  </si>
  <si>
    <t>right_block_12_lane_5</t>
  </si>
  <si>
    <t>2023-02-17T20:31:09.332000+00:00</t>
  </si>
  <si>
    <t>left_block_19_lane_4</t>
  </si>
  <si>
    <t>2023-02-17T20:58:55.640000+00:00</t>
  </si>
  <si>
    <t>e9ddd419-1d89-42f6-86de-200ea911e795</t>
  </si>
  <si>
    <t>2023-02-18T01:18:01.839000+00:00</t>
  </si>
  <si>
    <t>d4ca894b-6c1d-47a6-a0ab-ee984c6c11ac</t>
  </si>
  <si>
    <t>2023-02-18T07:37:15.350000+00:00</t>
  </si>
  <si>
    <t>7eb7240b-1aaf-4c59-bae3-3d20b5afe6d7</t>
  </si>
  <si>
    <t>2023-02-18T08:03:48.527000+00:00</t>
  </si>
  <si>
    <t>d29d3e3d-5d3a-4ce0-8ae4-50abfec9f645</t>
  </si>
  <si>
    <t>2023-02-18T12:58:28.957000+00:00</t>
  </si>
  <si>
    <t>left_block_18_lane_3</t>
  </si>
  <si>
    <t>2023-02-18T12:59:11.978000+00:00</t>
  </si>
  <si>
    <t>32b2b199-950f-44b5-bc05-44d9bb607491</t>
  </si>
  <si>
    <t>2023-02-18T13:14:54.563000+00:00</t>
  </si>
  <si>
    <t>2023-02-18T13:15:44.655000+00:00</t>
  </si>
  <si>
    <t>2023-02-18T13:17:43.910000+00:00</t>
  </si>
  <si>
    <t>2023-02-18T13:18:42.261000+00:00</t>
  </si>
  <si>
    <t>5f931528-a66c-45e6-abe5-96f4a377e844</t>
  </si>
  <si>
    <t>b21a0cd9-3dbd-4574-939c-222eebece738</t>
  </si>
  <si>
    <t>slip: error code 0x1060065 is not supported; inductive: error code 0x1060065 is not supported</t>
  </si>
  <si>
    <t>2023-02-18T19:37:25.505000+00:00</t>
  </si>
  <si>
    <t>stopt er ineens mee</t>
  </si>
  <si>
    <t>e0601ede-9a61-4180-a69e-4c0bcf1b30b7</t>
  </si>
  <si>
    <t>2023-02-18T23:10:14.577000+00:00</t>
  </si>
  <si>
    <t>0c92223d-7641-4da0-919c-df9dd92ed5aa</t>
  </si>
  <si>
    <t>fcca2a76-1482-4d04-9306-7cda6d78fc77</t>
  </si>
  <si>
    <t>2023-02-19T08:04:09.995000+00:00</t>
  </si>
  <si>
    <t>staat niet goed voor rail</t>
  </si>
  <si>
    <t>Zou egeinlijk een xtheta error moeten zijn ... Niet duidelijk waarom niet</t>
  </si>
  <si>
    <t>2023-02-19T08:44:57.484000+00:00</t>
  </si>
  <si>
    <t>23f334ee-0994-4d31-b75f-982988f59fd1</t>
  </si>
  <si>
    <t>2023-02-19T16:31:21.212000+00:00</t>
  </si>
  <si>
    <t>2023-02-19T16:35:34.713000+00:00</t>
  </si>
  <si>
    <t>2023-02-19T17:24:22.913000+00:00</t>
  </si>
  <si>
    <t>2023-02-19T17:28:34.222000+00:00</t>
  </si>
  <si>
    <t>2023-02-19T17:35:24.650000+00:00</t>
  </si>
  <si>
    <t>2023-02-19T17:39:34.036000+00:00</t>
  </si>
  <si>
    <t>30a2f0cc-75df-418f-ad2d-e40491964bf2</t>
  </si>
  <si>
    <t>2023-02-19T18:22:38.960000+00:00</t>
  </si>
  <si>
    <t>2023-02-19T18:36:39.804000+00:00</t>
  </si>
  <si>
    <t>block_3_lane_6</t>
  </si>
  <si>
    <t>9c6a55d7-c184-4a15-af62-b9e16bea9d19</t>
  </si>
  <si>
    <t>9102272c-af6c-4df9-923f-b1279a60a5c5</t>
  </si>
  <si>
    <t>2023-02-19T19:01:14.252000+00:00</t>
  </si>
  <si>
    <t>2023-02-19T19:19:18.229000+00:00</t>
  </si>
  <si>
    <t>2023-02-19T19:23:14.119000+00:00</t>
  </si>
  <si>
    <t>2023-02-19T19:28:14.499000+00:00</t>
  </si>
  <si>
    <t>2023-02-19T19:39:27.482000+00:00</t>
  </si>
  <si>
    <t>2023-02-19T19:41:06.135000+00:00</t>
  </si>
  <si>
    <t>c4ef0013-e2c9-47ce-abfc-e91da0c3087e</t>
  </si>
  <si>
    <t>2023-02-21T16:34:55.910000+00:00</t>
  </si>
  <si>
    <t>42ed55bd-75e4-4c16-bbe5-7b3c43c6c8e8</t>
  </si>
  <si>
    <t>2023-02-22T02:13:00.187000+00:00</t>
  </si>
  <si>
    <t>10</t>
  </si>
  <si>
    <t>c020cb6c-582f-4946-be6c-349dfb393e29</t>
  </si>
  <si>
    <t>bfa7d544-bc8c-427c-999a-d6484f955544</t>
  </si>
  <si>
    <t>2023-02-22T05:09:05.309000+00:00</t>
  </si>
  <si>
    <t>Nog niet geupload</t>
  </si>
  <si>
    <t>fdf6d353-153e-4cac-8846-3b99c1189fce</t>
  </si>
  <si>
    <t>2023-02-22T15:37:04.926000+00:00</t>
  </si>
  <si>
    <t>2ed9c69f-1475-46f8-b8e0-1c262f94d83d</t>
  </si>
  <si>
    <t>2023-02-22T16:57:22.539000+00:00</t>
  </si>
  <si>
    <t>aad1aede-7b14-4bb8-9c45-a0e88d0efd50</t>
  </si>
  <si>
    <t>42cccb1f-995d-4b76-8e2b-54a3df2802ed</t>
  </si>
  <si>
    <t>2023-02-22T18:30:57.461000+00:00</t>
  </si>
  <si>
    <t>2023-02-22T18:56:40.237000+00:00</t>
  </si>
  <si>
    <t>6f6e676f-77c1-4dd5-92b5-f29530da812b</t>
  </si>
  <si>
    <t>2023-02-22T19:04:34.998000+00:00</t>
  </si>
  <si>
    <t>left_block_22_lane_6</t>
  </si>
  <si>
    <t>2023-02-22T19:05:23.294000+00:00</t>
  </si>
  <si>
    <t>3bc73a43-dc17-4b27-a904-3c434ccc712f</t>
  </si>
  <si>
    <t>d99588ab-c02d-4865-8616-e71642fd4dd5</t>
  </si>
  <si>
    <t>2023-02-22T19:17:49.773000+00:00</t>
  </si>
  <si>
    <t>b6806957-4a14-414a-9928-b558289ad5d8</t>
  </si>
  <si>
    <t>2023-02-22T19:21:29.090000+00:00</t>
  </si>
  <si>
    <t>98ccf6b0-792b-4200-9e73-942544daebaf</t>
  </si>
  <si>
    <t>2023-02-22T20:07:37.990000+00:00</t>
  </si>
  <si>
    <t>left_block_29_lane_4</t>
  </si>
  <si>
    <t>2023-02-23T01:08:36.926000+00:00</t>
  </si>
  <si>
    <t>2023-02-23T01:36:35.927000+00:00</t>
  </si>
  <si>
    <t>40310c45-215b-4349-8983-ac544fe237be</t>
  </si>
  <si>
    <t>2023-02-23T02:01:38.805000+00:00</t>
  </si>
  <si>
    <t>31304feb-f4cf-4527-8bb3-c5a9dac25dbf</t>
  </si>
  <si>
    <t>b97d7c51-7663-432d-a9fe-df70b09219fe</t>
  </si>
  <si>
    <t>2023-02-23T03:55:21.257000+00:00</t>
  </si>
  <si>
    <t>left_block_5_lane_5</t>
  </si>
  <si>
    <t>2023-02-23T05:26:51.583000+00:00</t>
  </si>
  <si>
    <t>left_block_10_lane_6</t>
  </si>
  <si>
    <t>0c1c8012-2119-4f03-bc43-25a272fd8a93</t>
  </si>
  <si>
    <t>2023-02-23T07:05:44.272000+00:00</t>
  </si>
  <si>
    <t>22455bd0-d7b3-402e-8cdc-34e3c23f58bc</t>
  </si>
  <si>
    <t>7fb68de2-43a2-4904-8ed3-15de2a631ba5</t>
  </si>
  <si>
    <t>2023-02-23T07:51:20.284000+00:00</t>
  </si>
  <si>
    <t>53</t>
  </si>
  <si>
    <t>b82424d8-d42d-4362-a4db-e4dd29b07b0c</t>
  </si>
  <si>
    <t>2023-02-23T07:54:38.285000+00:00</t>
  </si>
  <si>
    <t>right_block_1_lane_9</t>
  </si>
  <si>
    <t>56d08952-6157-4499-b0a6-1f6aa96cff22</t>
  </si>
  <si>
    <t>5743389b-a9f4-4a5b-a42b-3636f18d3529</t>
  </si>
  <si>
    <t>2023-02-23T08:03:03.508000+00:00</t>
  </si>
  <si>
    <t>d7c56960-fef7-4cea-b1fa-3ddffbf61546</t>
  </si>
  <si>
    <t>2023-02-23T08:32:29.478000+00:00</t>
  </si>
  <si>
    <t>b531b787-4c29-44c1-9ffd-928795b62197</t>
  </si>
  <si>
    <t>2023-02-23T08:32:58.633000+00:00</t>
  </si>
  <si>
    <t>54</t>
  </si>
  <si>
    <t>77f82008-c8fb-4eb4-87c7-eb1505bc6e78</t>
  </si>
  <si>
    <t>2023-02-23T10:11:23.214000+00:00</t>
  </si>
  <si>
    <t>14f7ada6-a3f9-41cd-9e0d-e21e91dd27aa</t>
  </si>
  <si>
    <t>2023-02-23T10:24:23.533000+00:00</t>
  </si>
  <si>
    <t>d3fcf45f-3305-4dc9-be79-00394ffdfb50</t>
  </si>
  <si>
    <t>2023-02-23T11:45:16.177000+00:00</t>
  </si>
  <si>
    <t>8df87736-506e-462a-97f5-cba7d99e07ed</t>
  </si>
  <si>
    <t>2023-02-23T15:32:50.137000+00:00</t>
  </si>
  <si>
    <t>left_block_5_lane_7</t>
  </si>
  <si>
    <t>993a4aef-eba9-47a0-8cab-f040a17037d5</t>
  </si>
  <si>
    <t>2023-02-23T18:24:29.673000+00:00</t>
  </si>
  <si>
    <t>2023-02-23T18:48:01.899000+00:00</t>
  </si>
  <si>
    <t>0a320ed0-e574-4014-8982-e94825311166</t>
  </si>
  <si>
    <t>2023-02-23T18:53:57.250000+00:00</t>
  </si>
  <si>
    <t>2023-02-23T18:56:07.293000+00:00</t>
  </si>
  <si>
    <t>2023-02-23T19:07:26.245000+00:00</t>
  </si>
  <si>
    <t>af9a0145-3e15-4c2a-863d-53f867e48509</t>
  </si>
  <si>
    <t>bdcaed9d-088d-44ae-b907-a9afb132dac5</t>
  </si>
  <si>
    <t>2023-02-23T19:28:49.630000+00:00</t>
  </si>
  <si>
    <t>left_block_5_lane_4</t>
  </si>
  <si>
    <t>024e8507-e1f0-4f16-b690-436cf3b1cac7</t>
  </si>
  <si>
    <t>4223a83e-1f53-4ef1-87c0-19af456a3db9</t>
  </si>
  <si>
    <t>2023-02-23T19:39:51.999000+00:00</t>
  </si>
  <si>
    <t>2023-02-23T19:44:27.905000+00:00</t>
  </si>
  <si>
    <t>6d2c8535-34ac-4b56-9f9a-75a85fe88ba4</t>
  </si>
  <si>
    <t>93a2b264-f73b-4219-b107-a42359bb12fe</t>
  </si>
  <si>
    <t>2023-02-23T21:54:54.869000+00:00</t>
  </si>
  <si>
    <t>right_block_7_lane_1</t>
  </si>
  <si>
    <t>2023-02-23T22:50:25.984000+00:00</t>
  </si>
  <si>
    <t>0b976405-ac8a-4258-a2b4-be51dbb59682</t>
  </si>
  <si>
    <t>2023-02-24T02:01:19.671000+00:00</t>
  </si>
  <si>
    <t>2023-02-24T05:34:27.679000+00:00</t>
  </si>
  <si>
    <t>53cc7505-0f4e-4ef3-a90f-69c5b3045308</t>
  </si>
  <si>
    <t>2023-02-24T08:49:02.160000+00:00</t>
  </si>
  <si>
    <t>d076d331-5adf-482a-ba3a-893ba1e75dff</t>
  </si>
  <si>
    <t>2023-02-24T16:22:07.219000+00:00</t>
  </si>
  <si>
    <t>546ebacf-bb49-4b0c-9870-5d2b06fc1434</t>
  </si>
  <si>
    <t>2023-02-24T16:25:11.737000+00:00</t>
  </si>
  <si>
    <t>2023-02-24T16:37:06.375000+00:00</t>
  </si>
  <si>
    <t>505062a7-15a1-4a2e-b802-2418a5c52083</t>
  </si>
  <si>
    <t>d83562f4-7b4a-4337-9226-e148b336a6a1</t>
  </si>
  <si>
    <t>2023-02-24T18:06:56.997000+00:00</t>
  </si>
  <si>
    <t>a99aa739-adf9-4d0a-a985-bbb320bf1512</t>
  </si>
  <si>
    <t>2023-02-24T19:14:29.296000+00:00</t>
  </si>
  <si>
    <t>block_7_lane_5</t>
  </si>
  <si>
    <t>cc2d4757-3ef8-43d6-aa0e-cb14dc6e6e46</t>
  </si>
  <si>
    <t>2023-02-24T19:15:34.173000+00:00</t>
  </si>
  <si>
    <t>eb7193a3-7824-40ee-97c6-e130765b78fe</t>
  </si>
  <si>
    <t>2421b6a6-adf8-4944-86d2-c52bb0ffc607</t>
  </si>
  <si>
    <t>2023-02-24T20:19:24.003000+00:00</t>
  </si>
  <si>
    <t>Het zou kunnen dat het implement ergens tegen komt</t>
  </si>
  <si>
    <t>07c3a6c6-2eac-4b32-b57e-18acd877fc3c</t>
  </si>
  <si>
    <t>2023-02-25T02:08:57.540000+00:00</t>
  </si>
  <si>
    <t>a7238165-30ff-4fea-a502-9bd874ef84cf</t>
  </si>
  <si>
    <t>2023-02-25T09:04:25.739000+00:00</t>
  </si>
  <si>
    <t>195a2768-8896-462a-96c3-560ed252f27e</t>
  </si>
  <si>
    <t>2023-02-26T02:11:22.387000+00:00</t>
  </si>
  <si>
    <t>736ba98e-301e-4693-a27c-9a3398dca639</t>
  </si>
  <si>
    <t>31333b9b-b98a-4496-99ae-8baa41d8811c</t>
  </si>
  <si>
    <t>2023-02-26T13:54:13.888000+00:00</t>
  </si>
  <si>
    <t>2023-02-26T14:29:32.160000+00:00</t>
  </si>
  <si>
    <t>05499f08-273d-43fe-b672-6abc25d96e7a</t>
  </si>
  <si>
    <t>da8cde44-6e00-4ecf-93cf-175484256622</t>
  </si>
  <si>
    <t>2023-02-26T19:42:28.349000+00:00</t>
  </si>
  <si>
    <t>left_block_1_lane_2</t>
  </si>
  <si>
    <t>14a5f2a8-b8d7-4174-92d0-a32ed3d6307a</t>
  </si>
  <si>
    <t>2023-02-27T02:35:42.597000+00:00</t>
  </si>
  <si>
    <t>dab45ece-6230-4774-a75e-49cd2f4157b1</t>
  </si>
  <si>
    <t>ce26a5e6-b213-4985-980a-7d508a2fe2c8</t>
  </si>
  <si>
    <t>2023-02-27T16:11:16.574000+00:00</t>
  </si>
  <si>
    <t>3403e9e6-fa6e-4bf0-997b-2c5677eaeb11</t>
  </si>
  <si>
    <t>7b85a015-a0b8-4721-b699-4743266c03b2</t>
  </si>
  <si>
    <t>2023-02-27T20:15:53.696000+00:00</t>
  </si>
  <si>
    <t>2023-02-27T20:19:27.477000+00:00</t>
  </si>
  <si>
    <t>cf47a949-1f71-4e92-a4f2-27355a7b9935</t>
  </si>
  <si>
    <t>1727376f-3d25-4eb4-8714-9dddacebd2de</t>
  </si>
  <si>
    <t>2023-02-27T20:35:02.351000+00:00</t>
  </si>
  <si>
    <t>block6_lane3_r</t>
  </si>
  <si>
    <t>7bc0d8de-30b1-4450-a454-75d5426552a8</t>
  </si>
  <si>
    <t>2023-02-27T21:57:40.399000+00:00</t>
  </si>
  <si>
    <t>right_block_20_lane_2</t>
  </si>
  <si>
    <t>f57ae01b-e692-43df-b585-10e2bcec5c74</t>
  </si>
  <si>
    <t>2986af2a-1ec9-4266-bd22-6bdd01a467aa</t>
  </si>
  <si>
    <t>2023-02-27T23:08:39.760000+00:00</t>
  </si>
  <si>
    <t>2023-02-28T02:02:47.942000+00:00</t>
  </si>
  <si>
    <t>2023-02-28T07:09:00.846000+00:00</t>
  </si>
  <si>
    <t>87b6d319-5c7f-4db0-b86a-cbdd2f73c0ce</t>
  </si>
  <si>
    <t>2023-02-28T08:36:20.977000+00:00</t>
  </si>
  <si>
    <t>eb3be592-31c6-4224-92d1-6d1afc315a84</t>
  </si>
  <si>
    <t>b957f452-b373-47ef-88ef-02094217ba2d</t>
  </si>
  <si>
    <t>2023-02-28T16:33:10.232000+00:00</t>
  </si>
  <si>
    <t>935fd093-a12f-4a37-b6b1-4ca3942b565c</t>
  </si>
  <si>
    <t>2023-02-28T17:51:17.153000+00:00</t>
  </si>
  <si>
    <t>a62bc814-cc52-4f58-8109-82c2bf5a7b6b</t>
  </si>
  <si>
    <t>2023-02-28T18:24:49.369000+00:00</t>
  </si>
  <si>
    <t>2023-02-28T18:35:30.097000+00:00</t>
  </si>
  <si>
    <t>45506cff-780f-46d5-8846-0d82fcc08d37</t>
  </si>
  <si>
    <t>2023-02-28T19:49:58.897000+00:00</t>
  </si>
  <si>
    <t>c0d3f22f-67e8-4617-854d-9f9ae3cbb385</t>
  </si>
  <si>
    <t>2023-03-01T00:52:24.201000+00:00</t>
  </si>
  <si>
    <t>c28cdadb-c388-43fa-a18d-7bec052e940f</t>
  </si>
  <si>
    <t>2023-03-01T01:58:27.345000+00:00</t>
  </si>
  <si>
    <t>2023-03-01T03:01:38.956000+00:00</t>
  </si>
  <si>
    <t>be9e1e36-5f87-49f4-bd08-cc095c0c47b1</t>
  </si>
  <si>
    <t>ce3d6c5d-08f7-4d4e-a0bf-391060458454</t>
  </si>
  <si>
    <t>2023-03-01T06:32:00.888000+00:00</t>
  </si>
  <si>
    <t>right_block_1_lane_8</t>
  </si>
  <si>
    <t>2023-03-01T06:36:29.900000+00:00</t>
  </si>
  <si>
    <t>c38c8bd0-15da-4a3d-93fd-8508843babf7</t>
  </si>
  <si>
    <t>2023-03-01T07:17:29.642000+00:00</t>
  </si>
  <si>
    <t>31d54c4f-dc8e-4ba0-8acb-a600588d9df8</t>
  </si>
  <si>
    <t>2023-03-01T09:03:21.811000+00:00</t>
  </si>
  <si>
    <t>5ed8a555-fcbf-4d2f-ad64-ecfa715f44cb</t>
  </si>
  <si>
    <t>2023-03-01T14:55:16.181000+00:00</t>
  </si>
  <si>
    <t>459bca5e-0f85-48af-9f24-d3ac13de8602</t>
  </si>
  <si>
    <t>2023-03-01T14:58:09.016000+00:00</t>
  </si>
  <si>
    <t>a18327fb-8c08-43be-b913-dcf731e82b73</t>
  </si>
  <si>
    <t>2023-03-01T15:53:54.186000+00:00</t>
  </si>
  <si>
    <t>5c87d2b6-6f21-43e2-84e1-30946431151d</t>
  </si>
  <si>
    <t>a388defe-7c5c-4e92-883f-324e055684bd</t>
  </si>
  <si>
    <t>2023-03-01T16:48:43.222000+00:00</t>
  </si>
  <si>
    <t>075e4ceb-7cc4-44aa-a1c0-91430c2de203</t>
  </si>
  <si>
    <t>2023-03-01T18:01:12.533000+00:00</t>
  </si>
  <si>
    <t>block1_lane1_l</t>
  </si>
  <si>
    <t>2023-03-01T18:06:11.288000+00:00</t>
  </si>
  <si>
    <t>block1_lane2_l</t>
  </si>
  <si>
    <t>571abe56-7ff3-46ec-a22d-34b16590ea02</t>
  </si>
  <si>
    <t>2023-03-01T18:48:30.101000+00:00</t>
  </si>
  <si>
    <t>right_block_28_lane_1</t>
  </si>
  <si>
    <t>df27f2c4-5520-44bc-80d1-7393867c0fa6</t>
  </si>
  <si>
    <t>ddb9a7ad-8896-4c0e-81f8-e3051e1b816e</t>
  </si>
  <si>
    <t>2023-03-01T19:30:31.599000+00:00</t>
  </si>
  <si>
    <t>62ecb88e-11eb-4994-a3ab-331daa591588</t>
  </si>
  <si>
    <t>2023-03-01T20:01:32.601000+00:00</t>
  </si>
  <si>
    <t>d1583102-6aaa-4b72-9b9d-5b15cc7cba9f</t>
  </si>
  <si>
    <t>2023-03-01T23:39:45.382000+00:00</t>
  </si>
  <si>
    <t>right_block_18_lane_1</t>
  </si>
  <si>
    <t>eeb15cca-f9d7-4d89-a6f5-ad938a41c5be</t>
  </si>
  <si>
    <t>6a8d0de2-c0dc-4207-a673-e4f93503a82f</t>
  </si>
  <si>
    <t>2023-03-02T00:10:54.331000+00:00</t>
  </si>
  <si>
    <t>2023-03-02T03:05:52.137000+00:00</t>
  </si>
  <si>
    <t>2023-03-02T07:47:33.174000+00:00</t>
  </si>
  <si>
    <t>ba282c5d-b504-4da6-9896-e7b182f05b65</t>
  </si>
  <si>
    <t>2023-03-02T09:02:17.772000+00:00</t>
  </si>
  <si>
    <t>fdfcb029-a430-4556-b13b-d7a02333ed3d</t>
  </si>
  <si>
    <t>2023-03-02T12:10:29.023000+00:00</t>
  </si>
  <si>
    <t>d364a5f1-f086-4cdf-8efe-9f34afac627e</t>
  </si>
  <si>
    <t>d9c5291f-fdb3-4d3e-88fe-0317e11a8231</t>
  </si>
  <si>
    <t>2023-03-02T14:16:15.381000+00:00</t>
  </si>
  <si>
    <t>block2_lane3_l</t>
  </si>
  <si>
    <t>11f4204b-24bd-48d8-bd86-727090595635</t>
  </si>
  <si>
    <t>2023-03-02T14:29:15.258000+00:00</t>
  </si>
  <si>
    <t>846ab9a2-e787-4e90-8f70-13350afbb664</t>
  </si>
  <si>
    <t>6d0d4267-835e-481a-9382-7e7bff2b6ef1</t>
  </si>
  <si>
    <t>2023-03-02T17:17:30.673000+00:00</t>
  </si>
  <si>
    <t>38ae4c6d-891e-4730-9466-debc8337d68e</t>
  </si>
  <si>
    <t>slip: error code 0x1010115 is not supported; inductive: inductive does not see rails</t>
  </si>
  <si>
    <t>2023-03-02T17:59:15.039000+00:00</t>
  </si>
  <si>
    <t>10a16a3e-fd02-43a4-af82-acdb8876ae95</t>
  </si>
  <si>
    <t>98a53235-6d7b-486f-b1d1-74369a9d6e39</t>
  </si>
  <si>
    <t>2023-03-02T19:33:45.343000+00:00</t>
  </si>
  <si>
    <t>c513387f-19f7-4a53-a540-a1ce5a6bab2c</t>
  </si>
  <si>
    <t>2023-03-02T19:49:34.060000+00:00</t>
  </si>
  <si>
    <t>2023-03-02T19:53:36.833000+00:00</t>
  </si>
  <si>
    <t>9f43663b-a1d5-4ffe-9eb8-ae9766cbc8f1</t>
  </si>
  <si>
    <t>2023-03-02T21:21:03.534000+00:00</t>
  </si>
  <si>
    <t>8989757b-e989-4dcc-921f-2bfc64b6c999</t>
  </si>
  <si>
    <t>9ba55224-f411-4e43-a570-cba9d43c0723</t>
  </si>
  <si>
    <t>2023-03-02T21:54:34.527000+00:00</t>
  </si>
  <si>
    <t>Onduidelijk waarom recovery faalt. Net niet of net wel af de rail gereden ?</t>
  </si>
  <si>
    <t>2023-03-02T23:44:31.957000+00:00</t>
  </si>
  <si>
    <t>13afcf80-b9c0-47e8-8690-b30115a51ab0</t>
  </si>
  <si>
    <t>2023-03-03T00:33:32.490000+00:00</t>
  </si>
  <si>
    <t>0e67eb99-9c94-4e8d-bdee-927f9b2232de</t>
  </si>
  <si>
    <t>2023-03-03T08:34:20.493000+00:00</t>
  </si>
  <si>
    <t>b997a9e1-ea88-4aa9-85a6-292ccff0a1f8</t>
  </si>
  <si>
    <t>2023-03-03T10:16:28.988000+00:00</t>
  </si>
  <si>
    <t>6689aaea-782e-4104-beb0-a2f110a2a489</t>
  </si>
  <si>
    <t>2023-03-03T10:58:19.731000+00:00</t>
  </si>
  <si>
    <t>dff6ee95-f7c2-4ed3-a318-52dfa82b8738</t>
  </si>
  <si>
    <t>2023-03-03T11:07:53.843000+00:00</t>
  </si>
  <si>
    <t>be1befc0-9237-4f1a-9976-f9c2650ff04d</t>
  </si>
  <si>
    <t>c6c6b69d-0a49-45e6-8ae7-49a9eccb4a80</t>
  </si>
  <si>
    <t>2023-03-03T11:23:51.942000+00:00</t>
  </si>
  <si>
    <t>block1_lane5_l</t>
  </si>
  <si>
    <t>b88eded8-39e4-449b-9017-21e214607c34</t>
  </si>
  <si>
    <t>2023-03-03T11:35:57.721000+00:00</t>
  </si>
  <si>
    <t>block1_lane4_l</t>
  </si>
  <si>
    <t>2023-03-03T11:38:20.899000+00:00</t>
  </si>
  <si>
    <t>e721d6cd-85f0-46cd-9505-b55c9e7f5357</t>
  </si>
  <si>
    <t>2023-03-03T11:46:28.543000+00:00</t>
  </si>
  <si>
    <t>dc6a75d2-46c4-47f4-8fcc-e2788e2c8c2f</t>
  </si>
  <si>
    <t>2023-03-03T11:57:09.695000+00:00</t>
  </si>
  <si>
    <t>3595b57a-8fd7-43b7-81e3-9a7e08a63311</t>
  </si>
  <si>
    <t>2023-03-03T12:04:26.134000+00:00</t>
  </si>
  <si>
    <t>83a4b360-e4d0-4e53-a9aa-6ea47bdaa66d</t>
  </si>
  <si>
    <t>2023-03-03T12:07:55.550000+00:00</t>
  </si>
  <si>
    <t>c1ad98c9-8541-459a-841e-f735d5574ba8</t>
  </si>
  <si>
    <t>2023-03-03T12:16:13.230000+00:00</t>
  </si>
  <si>
    <t>c3c289b6-9067-421f-9cd2-4327ebed1b2c</t>
  </si>
  <si>
    <t>2023-03-03T12:17:59.300000+00:00</t>
  </si>
  <si>
    <t>121a5735-277e-4d15-9141-75ae728acd56</t>
  </si>
  <si>
    <t>2023-03-03T12:56:56.405000+00:00</t>
  </si>
  <si>
    <t>a3d19a6d-90d7-4f2f-9941-721b6a7be4d8</t>
  </si>
  <si>
    <t>2023-03-03T13:35:13.206000+00:00</t>
  </si>
  <si>
    <t>ac858e4d-46bf-4ee9-9fd8-b732eb3781cd</t>
  </si>
  <si>
    <t>2023-03-03T13:41:23.914000+00:00</t>
  </si>
  <si>
    <t>f24a4076-aabd-44e2-aa3c-574975ded906</t>
  </si>
  <si>
    <t>2023-03-03T13:43:21.767000+00:00</t>
  </si>
  <si>
    <t>89528a8c-cca9-40c6-bf03-50f4013b1aa8</t>
  </si>
  <si>
    <t>2023-03-03T13:55:38.894000+00:00</t>
  </si>
  <si>
    <t>4dfe9bae-4ca6-4f75-a917-72080957895e</t>
  </si>
  <si>
    <t>2023-03-03T14:01:18.755000+00:00</t>
  </si>
  <si>
    <t>b72af21c-9ab2-4651-83ab-e8eb764a30e2</t>
  </si>
  <si>
    <t>2023-03-03T14:06:58.579000+00:00</t>
  </si>
  <si>
    <t>6924b7fe-7a72-447e-a82d-3d01eca172a5</t>
  </si>
  <si>
    <t>2023-03-03T14:15:20.943000+00:00</t>
  </si>
  <si>
    <t>e9e63c62-9b30-4260-97a1-40b4931553c5</t>
  </si>
  <si>
    <t>2023-03-03T14:36:41.136000+00:00</t>
  </si>
  <si>
    <t>bf37d5b5-6f4c-4c09-a77a-e7a36788894a</t>
  </si>
  <si>
    <t>a2061be6-297b-4d79-891f-ca9de4ffdcec</t>
  </si>
  <si>
    <t>2023-03-03T16:03:07.959000+00:00</t>
  </si>
  <si>
    <t>58dc001a-6f9c-4ff0-8844-da3130309898</t>
  </si>
  <si>
    <t>2023-03-03T19:08:57.140000+00:00</t>
  </si>
  <si>
    <t>05ad5b43-9026-4c38-9ffa-aa2298f38cea</t>
  </si>
  <si>
    <t>15de2bbd-2121-485c-98f0-a74e9462c2a4</t>
  </si>
  <si>
    <t>2023-03-03T19:30:37.238000+00:00</t>
  </si>
  <si>
    <t>6662346b-8876-408e-8fc8-15e8926944b9</t>
  </si>
  <si>
    <t>17a2470f-b791-4395-8c1b-140e4f84204b</t>
  </si>
  <si>
    <t>2023-03-03T19:32:59.210000+00:00</t>
  </si>
  <si>
    <t>5e1c5a5e-e771-4810-87fe-4dfe28de41a2</t>
  </si>
  <si>
    <t>d9a54f36-6781-477b-a52a-e12d132f89ee</t>
  </si>
  <si>
    <t>2023-03-03T19:44:24.294000+00:00</t>
  </si>
  <si>
    <t>0bd14215-d9d8-447c-9e4b-9a96cf801c57</t>
  </si>
  <si>
    <t>2023-03-03T19:53:59.979000+00:00</t>
  </si>
  <si>
    <t>right_block28_lane2</t>
  </si>
  <si>
    <t>eca01fc8-8f44-4b85-906c-19f2a28d25f8</t>
  </si>
  <si>
    <t>2023-03-04T01:58:19.458000+00:00</t>
  </si>
  <si>
    <t>6871b5bc-dc3a-4dc8-baf5-6ea455682fae</t>
  </si>
  <si>
    <t>2023-03-04T03:04:45.324000+00:00</t>
  </si>
  <si>
    <t>2023-03-04T06:53:41.791000+00:00</t>
  </si>
  <si>
    <t>8acac596-7468-4f45-b39f-50470d3ea566</t>
  </si>
  <si>
    <t>506f4344-053b-4138-ac75-fa48d575a8ad</t>
  </si>
  <si>
    <t>2023-03-04T08:20:48.879000+00:00</t>
  </si>
  <si>
    <t>lane_3109</t>
  </si>
  <si>
    <t>0x01060053</t>
  </si>
  <si>
    <t>2023-03-04T08:35:04.946000+00:00</t>
  </si>
  <si>
    <t>10061be5-54de-4298-8c30-8531e3d0f174</t>
  </si>
  <si>
    <t>2023-03-04T11:53:43.167000+00:00</t>
  </si>
  <si>
    <t>df9b25b6-6523-4d70-be9f-cce4f6a3504b</t>
  </si>
  <si>
    <t>c2cd2f3e-1888-4d42-9618-5a6076c43f59</t>
  </si>
  <si>
    <t>2023-03-04T19:09:00.041000+00:00</t>
  </si>
  <si>
    <t>ebb08586-aa93-4f71-936a-9104ed50b872</t>
  </si>
  <si>
    <t>5b0ff440-c2d7-43e8-880c-5935eeb14f56</t>
  </si>
  <si>
    <t>2023-03-04T19:53:16.320000+00:00</t>
  </si>
  <si>
    <t>right_block_18_lane_2</t>
  </si>
  <si>
    <t>79bf0367-66b2-4342-b5ce-c0bdac11785a</t>
  </si>
  <si>
    <t>fa6baeff-8b24-41d4-b0c1-bddce0bf8fcc</t>
  </si>
  <si>
    <t>2023-03-04T20:23:23.539000+00:00</t>
  </si>
  <si>
    <t>2023-03-04T20:30:05.066000+00:00</t>
  </si>
  <si>
    <t>5d9acdd8-c1c2-4121-9d3c-ea948f656f9a</t>
  </si>
  <si>
    <t>2023-03-05T01:15:35.714000+00:00</t>
  </si>
  <si>
    <t>3d112f68-fc08-4c4c-870f-6a11ad912652</t>
  </si>
  <si>
    <t>2023-03-05T02:54:48.140000+00:00</t>
  </si>
  <si>
    <t>2023-03-05T04:11:06.643000+00:00</t>
  </si>
  <si>
    <t>2023-03-05T08:50:47.991000+00:00</t>
  </si>
  <si>
    <t>455b0d93-a88e-49c8-af02-e352cc80ed4d</t>
  </si>
  <si>
    <t>2023-03-06T02:56:48.015000+00:00</t>
  </si>
  <si>
    <t>d19e43fb-4d6f-43d4-bcd1-00238f500aad</t>
  </si>
  <si>
    <t>2023-03-06T04:05:50.082000+00:00</t>
  </si>
  <si>
    <t>1a41843d-c4f0-4daa-8b78-ea391984f52a</t>
  </si>
  <si>
    <t>328f9a7c-13d1-4e3d-9e03-309457286017</t>
  </si>
  <si>
    <t>2023-03-06T09:33:06.254000+00:00</t>
  </si>
  <si>
    <t>2023-03-06T09:57:44.253000+00:00</t>
  </si>
  <si>
    <t>13bd72f7-85f0-4028-bcc3-e4734285bc43</t>
  </si>
  <si>
    <t>b82d0884-b634-4951-9151-de0bf0661874</t>
  </si>
  <si>
    <t>2023-03-06T10:21:40.230000+00:00</t>
  </si>
  <si>
    <t>2023-03-06T10:33:28.212000+00:00</t>
  </si>
  <si>
    <t>4ec0ade4-0091-406b-8f42-59036f906bc2</t>
  </si>
  <si>
    <t>b9a743c6-5634-42c5-b60b-b6af2d5dce18</t>
  </si>
  <si>
    <t>2023-03-06T11:06:56.267000+00:00</t>
  </si>
  <si>
    <t>node_1-43-0-4-4-8-6-3-6-71-6-3-0</t>
  </si>
  <si>
    <t>lumionL</t>
  </si>
  <si>
    <t>13</t>
  </si>
  <si>
    <t>5fbc086b-3c74-4dc1-95e0-7062bf9340db</t>
  </si>
  <si>
    <t>2023-03-06T11:11:57.162000+00:00</t>
  </si>
  <si>
    <t>node_1-43-0-4-4-8-6-3-6-71-5-2-61</t>
  </si>
  <si>
    <t>fad802c1-ff12-4d82-8b0e-0a0fde160511</t>
  </si>
  <si>
    <t>f19ba1b6-e902-4cb1-83e0-b9a1d39b6c62</t>
  </si>
  <si>
    <t>2023-03-06T11:34:23.543000+00:00</t>
  </si>
  <si>
    <t>node_1-43-0-4-4-8-6-3-6-71-3-8-22</t>
  </si>
  <si>
    <t>782da926-c74b-4d4d-97e3-7ef3e5cb5e1d</t>
  </si>
  <si>
    <t>2023-03-06T11:56:42.783000+00:00</t>
  </si>
  <si>
    <t>aae08a2f-55e9-4936-80b2-634bab62b9a9</t>
  </si>
  <si>
    <t>3ae45e06-bbe4-42d6-aa4c-9c1f6eb7a0ed</t>
  </si>
  <si>
    <t>2023-03-06T12:52:23.618000+00:00</t>
  </si>
  <si>
    <t>node_1-43-0-4-4-8-6-3-6-71-9-8-8</t>
  </si>
  <si>
    <t>2023-03-06T13:11:38.689000+00:00</t>
  </si>
  <si>
    <t>32fb7440-f6d7-4681-9378-f2a0bb464cf9</t>
  </si>
  <si>
    <t>2023-03-06T13:41:22.594000+00:00</t>
  </si>
  <si>
    <t>9d28cac4-5404-43a4-a26f-09ff56bddb39</t>
  </si>
  <si>
    <t>2023-03-06T17:19:09.878000+00:00</t>
  </si>
  <si>
    <t>4e09b000-7087-470c-b0c3-e66928894be1</t>
  </si>
  <si>
    <t>4a06ba8c-97e3-41fb-9c49-1b8bad6c274e</t>
  </si>
  <si>
    <t>2023-03-06T19:41:57.087000+00:00</t>
  </si>
  <si>
    <t>right_block_16_lane_2</t>
  </si>
  <si>
    <t>09b85727-2127-49c9-9951-74f1cfb12d42</t>
  </si>
  <si>
    <t>2023-03-06T19:47:18.859000+00:00</t>
  </si>
  <si>
    <t>right_block_16_lane_1</t>
  </si>
  <si>
    <t>4760e4aa-31a5-405a-802e-d917b11f4988</t>
  </si>
  <si>
    <t>2023-03-06T19:51:41.100000+00:00</t>
  </si>
  <si>
    <t>1271593e-f4d9-400b-a4c4-b585971bbd82</t>
  </si>
  <si>
    <t>2023-03-06T20:39:23.020000+00:00</t>
  </si>
  <si>
    <t>right_block_14_lane_3</t>
  </si>
  <si>
    <t>50c4e9d4-1d7d-49f4-8d59-5e49164a4a25</t>
  </si>
  <si>
    <t>e6b08868-112b-44cd-9d17-49b8809f4989</t>
  </si>
  <si>
    <t>slip: current node is not the lane (walkway_1 vs left_block_11_lane_7); inductive: inductive does not see rails</t>
  </si>
  <si>
    <t>2023-03-06T21:48:26.351000+00:00</t>
  </si>
  <si>
    <t>left_block_11_lane_7</t>
  </si>
  <si>
    <t>959701fc-ac17-417a-ae19-f909c555a78f</t>
  </si>
  <si>
    <t>2023-03-06T23:46:20.349000+00:00</t>
  </si>
  <si>
    <t>right_block_8_lane_1</t>
  </si>
  <si>
    <t>f10d7cdb-9309-4722-ae1d-4399373317fb</t>
  </si>
  <si>
    <t>2023-03-07T00:18:26.132000+00:00</t>
  </si>
  <si>
    <t>ca694ca8-a9f9-4325-977e-e02cde92e121</t>
  </si>
  <si>
    <t>2023-03-07T02:31:32.387000+00:00</t>
  </si>
  <si>
    <t>e4ce2404-ffaa-4e2c-8ae1-5d67b6da0582</t>
  </si>
  <si>
    <t>2023-03-07T03:04:17+00:00</t>
  </si>
  <si>
    <t>98767586-26d1-4479-a909-1feace0ebaf5</t>
  </si>
  <si>
    <t>ffa14edc-8c53-45e4-8b5a-d1caffcb03a3</t>
  </si>
  <si>
    <t>2023-03-07T05:53:00.416000+00:00</t>
  </si>
  <si>
    <t>lane_3504</t>
  </si>
  <si>
    <t>0x010600fa</t>
  </si>
  <si>
    <t>2023-03-07T08:21:29.073000+00:00</t>
  </si>
  <si>
    <t>e783194b-1173-48b9-8eb5-e8a9906dbfa5</t>
  </si>
  <si>
    <t>be8e6e60-10d8-4432-a00c-1f2f43307448</t>
  </si>
  <si>
    <t>2023-03-07T09:59:15.538000+00:00</t>
  </si>
  <si>
    <t>s4_b5_l6</t>
  </si>
  <si>
    <t>44afbc68-3138-402a-a9b8-a7e896966c4d</t>
  </si>
  <si>
    <t>2023-03-07T11:04:17.006000+00:00</t>
  </si>
  <si>
    <t>d511572c-0476-457a-83f0-fa46596bba4c</t>
  </si>
  <si>
    <t>b2080639-e0d3-4726-8541-c048b995163a</t>
  </si>
  <si>
    <t>2023-03-07T11:18:28.853000+00:00</t>
  </si>
  <si>
    <t>lane_r6</t>
  </si>
  <si>
    <t>7344fc3b-5007-4644-a3a9-d380db84f737</t>
  </si>
  <si>
    <t>2023-03-07T12:04:33.632000+00:00</t>
  </si>
  <si>
    <t>lane_r11</t>
  </si>
  <si>
    <t>7c1063f6-ad95-4870-8adc-bbfb982e3612</t>
  </si>
  <si>
    <t>2023-03-07T12:31:45.044000+00:00</t>
  </si>
  <si>
    <t>lane_r16</t>
  </si>
  <si>
    <t>fca6aded-c9ca-43ff-a0e3-032c2ded6cac</t>
  </si>
  <si>
    <t>2023-03-07T13:20:48.214000+00:00</t>
  </si>
  <si>
    <t>07a8479f-bc6d-42c4-b89e-479898310f21</t>
  </si>
  <si>
    <t>192aade2-40e0-4cd0-af2f-8e1106b90bd4</t>
  </si>
  <si>
    <t>2023-03-07T13:39:02.715000+00:00</t>
  </si>
  <si>
    <t>recovery gaat gewoon oké denk ik</t>
  </si>
  <si>
    <t>a835e628-fb71-48ae-b7e4-d9ffd25576f2</t>
  </si>
  <si>
    <t>2023-03-07T13:42:40.873000+00:00</t>
  </si>
  <si>
    <t>91af5556-8fae-4631-921c-873ad2ce32c7</t>
  </si>
  <si>
    <t>2023-03-07T14:28:08.267000+00:00</t>
  </si>
  <si>
    <t>4955747b-97fe-4b11-b30a-27da8918abe5</t>
  </si>
  <si>
    <t>aacef5d3-0618-466a-8b6f-a6325b2cd652</t>
  </si>
  <si>
    <t>2023-03-07T16:47:39.033000+00:00</t>
  </si>
  <si>
    <t>198c702c-0d30-4a68-8a35-3aaee0a3a7cc</t>
  </si>
  <si>
    <t>2023-03-07T16:51:15.869000+00:00</t>
  </si>
  <si>
    <t>c3204b65-ddf7-43c0-898e-3b147a3d288d</t>
  </si>
  <si>
    <t>2023-03-07T16:54:55.763000+00:00</t>
  </si>
  <si>
    <t>c81dfe73-eb02-4aef-9d3b-b0f61cdfe0f1</t>
  </si>
  <si>
    <t>2023-03-07T17:16:16.472000+00:00</t>
  </si>
  <si>
    <t>4ebee076-ecd6-4859-b787-906dc2ec715b</t>
  </si>
  <si>
    <t>511df396-ed63-46d5-b872-940ab195c193</t>
  </si>
  <si>
    <t>2023-03-07T18:30:29.494000+00:00</t>
  </si>
  <si>
    <t>8f6d8027-5baf-41b0-ad32-f6a03e343b20</t>
  </si>
  <si>
    <t>2b09c679-1999-44a4-83ad-d76cae5425bf</t>
  </si>
  <si>
    <t>2023-03-07T18:31:21.837000+00:00</t>
  </si>
  <si>
    <t>c9cadc6e-50e5-4195-a1eb-d71b2137b10d</t>
  </si>
  <si>
    <t>2023-03-07T18:36:16.955000+00:00</t>
  </si>
  <si>
    <t>0f9e45d4-83f0-435f-9bc8-2a9fa70221b0</t>
  </si>
  <si>
    <t>2023-03-07T19:16:29.788000+00:00</t>
  </si>
  <si>
    <t>65e547c1-6840-4981-bfe9-c66e5299aba0</t>
  </si>
  <si>
    <t>2023-03-07T19:58:32.318000+00:00</t>
  </si>
  <si>
    <t>left_block_6_lane_7</t>
  </si>
  <si>
    <t>9f974a8b-75fa-4f6f-84eb-8714c467ef4f</t>
  </si>
  <si>
    <t>2023-03-07T20:25:53.301000+00:00</t>
  </si>
  <si>
    <t>left_block_7_lane_6</t>
  </si>
  <si>
    <t>62b293a1-e6ce-40cc-873f-52b3073e86cf</t>
  </si>
  <si>
    <t>2023-03-07T20:40:25.552000+00:00</t>
  </si>
  <si>
    <t>left_block_8_lane_2</t>
  </si>
  <si>
    <t>a2b0210b-b4e3-4e78-a0ce-6155156c5732</t>
  </si>
  <si>
    <t>2023-03-07T21:03:16.988000+00:00</t>
  </si>
  <si>
    <t>left_block_8_lane_7</t>
  </si>
  <si>
    <t>29d4a07c-d9e6-480f-81dd-b8867839104d</t>
  </si>
  <si>
    <t>2023-03-07T21:12:59.904000+00:00</t>
  </si>
  <si>
    <t>left_block_9_lane_2</t>
  </si>
  <si>
    <t>dc8ecf3e-7473-4a89-a8aa-a7e34bec8fbe</t>
  </si>
  <si>
    <t>f1c4201f-0d29-4724-888d-729ca7532fa8</t>
  </si>
  <si>
    <t>2023-03-07T21:27:34.415000+00:00</t>
  </si>
  <si>
    <t>left_block10_lane3</t>
  </si>
  <si>
    <t>cfe971ca-5384-4ef9-b27f-efaac9acdd4b</t>
  </si>
  <si>
    <t>2023-03-07T21:31:36.737000+00:00</t>
  </si>
  <si>
    <t>d371b9d7-2690-4b4f-948a-c01efcb1d49a</t>
  </si>
  <si>
    <t>2023-03-07T21:41:44.639000+00:00</t>
  </si>
  <si>
    <t>left_block_10_lane_1</t>
  </si>
  <si>
    <t>d47c3b63-bd2e-4197-89d4-1181094c1a49</t>
  </si>
  <si>
    <t>2023-03-07T22:04:27.314000+00:00</t>
  </si>
  <si>
    <t>9bfb9b6f-2821-46e5-9e54-8ab830e69480</t>
  </si>
  <si>
    <t>2023-03-07T22:14:11.643000+00:00</t>
  </si>
  <si>
    <t>c84a9deb-15aa-480b-a13a-86827ac0cd89</t>
  </si>
  <si>
    <t>2023-03-07T22:14:36.973000+00:00</t>
  </si>
  <si>
    <t>left_block_11_lane_1</t>
  </si>
  <si>
    <t>be5e474b-3d37-4d1b-8682-d9671b26dc7e</t>
  </si>
  <si>
    <t>2023-03-07T22:20:11.722000+00:00</t>
  </si>
  <si>
    <t>left_block_11_lane_2</t>
  </si>
  <si>
    <t>2023-03-07T22:42:33+00:00</t>
  </si>
  <si>
    <t>2023-03-08T04:13:07.126000+00:00</t>
  </si>
  <si>
    <t>2c8feb13-0306-449d-aa57-b36b625e5749</t>
  </si>
  <si>
    <t>de8b04a4-873e-4dca-a5cf-c9d0158265db</t>
  </si>
  <si>
    <t>2023-03-08T07:08:45.907000+00:00</t>
  </si>
  <si>
    <t>s3_b10_l3</t>
  </si>
  <si>
    <t>296ae966-4a96-4980-9a0b-4958406ef78f</t>
  </si>
  <si>
    <t>2023-03-08T08:07:30.371000+00:00</t>
  </si>
  <si>
    <t>s3_b7_l3</t>
  </si>
  <si>
    <t>7dfbc9a6-50bf-4531-b726-61e231d163e0</t>
  </si>
  <si>
    <t>2023-03-08T08:34:12.695000+00:00</t>
  </si>
  <si>
    <t>1c9a1ab9-09b6-4317-a11c-591e9c61d038</t>
  </si>
  <si>
    <t>2023-03-08T09:44:18.725000+00:00</t>
  </si>
  <si>
    <t>4e829898-b612-4913-99f7-3b1c3328ae15</t>
  </si>
  <si>
    <t>9dd92d1e-5af9-4371-b3a6-0d8da043ef13</t>
  </si>
  <si>
    <t>2023-03-09T10:05:58.088000+00:00</t>
  </si>
  <si>
    <t>lane_r10</t>
  </si>
  <si>
    <t>0c9d588a-f1bc-4b38-8866-728ddb78e353</t>
  </si>
  <si>
    <t>0b206722-10cd-47f1-9b6f-661fb18c4e37</t>
  </si>
  <si>
    <t>2023-03-09T10:52:44.813000+00:00</t>
  </si>
  <si>
    <t>node_1-43-0-4-4-8-6-3-6-71-6-3-6</t>
  </si>
  <si>
    <t>bc931ce6-da08-4c96-8a0b-785e4cde1bf4</t>
  </si>
  <si>
    <t>b2917c6b-1ce9-43f3-8f63-c12da8bb9b8c</t>
  </si>
  <si>
    <t>2023-03-09T11:40:23.153000+00:00</t>
  </si>
  <si>
    <t>lane_r29</t>
  </si>
  <si>
    <t>f45365a2-4b06-4483-bd80-d91c2cfa25a4</t>
  </si>
  <si>
    <t>alles</t>
  </si>
  <si>
    <t>4183e75c-a963-44f2-b61f-5af408c04ab6</t>
  </si>
  <si>
    <t>f36aec6d-36b6-4b22-a8f5-c4ee464e0159</t>
  </si>
  <si>
    <t>2023-03-09T12:09:19.324000+00:00</t>
  </si>
  <si>
    <t>lane_r33</t>
  </si>
  <si>
    <t>4e49431f-7a70-4498-ab4d-f40c83b27d31</t>
  </si>
  <si>
    <t>c526a35f-597d-4b87-958d-3cacc760dded</t>
  </si>
  <si>
    <t>2023-03-09T12:10:29.955000+00:00</t>
  </si>
  <si>
    <t>62a83493-5d76-410d-acd4-7fae1395c1e9</t>
  </si>
  <si>
    <t>2023-03-09T12:13:01.736000+00:00</t>
  </si>
  <si>
    <t>008d1113-dac8-498d-a6df-0ca1d9212b7f</t>
  </si>
  <si>
    <t>2023-03-09T12:21:34.043000+00:00</t>
  </si>
  <si>
    <t>lane_r36</t>
  </si>
  <si>
    <t>d05f9912-0389-4a08-9a53-db20b02f5c1e</t>
  </si>
  <si>
    <t>0b33638e-ecd7-4e8b-b7c0-f25b8456e572</t>
  </si>
  <si>
    <t>2023-03-09T12:28:00.446000+00:00</t>
  </si>
  <si>
    <t>d67d894b-2993-4336-bc2b-ea6818d7edc3</t>
  </si>
  <si>
    <t>2023-03-09T12:28:52.956000+00:00</t>
  </si>
  <si>
    <t>ea9bdd68-8685-40d4-9ad7-8aa1e95cabe9</t>
  </si>
  <si>
    <t>daabb195-4713-4bc4-aa8f-12efa77dac92</t>
  </si>
  <si>
    <t>2023-03-09T13:14:35.758000+00:00</t>
  </si>
  <si>
    <t>15dac5ab-ad21-490a-830d-4a5872de932b</t>
  </si>
  <si>
    <t>16874a90-0aac-4265-b389-6819f167a130</t>
  </si>
  <si>
    <t>2023-03-09T13:23:46.756000+00:00</t>
  </si>
  <si>
    <t>89aacc96-7a3d-41e6-9f30-85674e8cd3f8</t>
  </si>
  <si>
    <t>2023-03-09T14:54:31.324000+00:00</t>
  </si>
  <si>
    <t>5d5a81ef-3685-4a73-b399-8716333ca6e6</t>
  </si>
  <si>
    <t>2023-03-09T15:01:19.053000+00:00</t>
  </si>
  <si>
    <t>c9c72e12-d4b9-447a-a254-099deecf1a92</t>
  </si>
  <si>
    <t>2023-03-09T16:05:13.030000+00:00</t>
  </si>
  <si>
    <t>s4_b4_l3</t>
  </si>
  <si>
    <t>203516c7-348b-456b-a04a-4b32a1751a4b</t>
  </si>
  <si>
    <t>2023-03-09T17:51:00.049000+00:00</t>
  </si>
  <si>
    <t>section1</t>
  </si>
  <si>
    <t>cdbfcc4a-89bb-44ca-ace2-8e3bd3c34a87</t>
  </si>
  <si>
    <t>2023-03-09T19:25:14.497000+00:00</t>
  </si>
  <si>
    <t>97da4368-651e-453d-821e-2378bf6139c0</t>
  </si>
  <si>
    <t>2023-03-09T20:11:43.541000+00:00</t>
  </si>
  <si>
    <t>be082572-748a-4994-b8ad-687c90265c3f</t>
  </si>
  <si>
    <t>d7cb248e-231c-4eb4-bc04-9092f9e157ec</t>
  </si>
  <si>
    <t>2023-03-09T20:51:32.284000+00:00</t>
  </si>
  <si>
    <t>left_block47_lane4</t>
  </si>
  <si>
    <t>section4</t>
  </si>
  <si>
    <t>deed9c2d-85ba-4528-bf1c-93de861563a4</t>
  </si>
  <si>
    <t>e02babd5-80f2-4b75-b464-3d86c4175afa</t>
  </si>
  <si>
    <t>2023-03-09T21:08:35.023000+00:00</t>
  </si>
  <si>
    <t>6baf6460-47f9-472f-9bb3-00a14b684048</t>
  </si>
  <si>
    <t>ae618750-26ef-4090-8cc1-e98d7fd78170</t>
  </si>
  <si>
    <t>2023-03-09T21:54:44.324000+00:00</t>
  </si>
  <si>
    <t>block8_lane1_r</t>
  </si>
  <si>
    <t>b22598ed-2e3c-4b4d-ab9d-5badc34b08db</t>
  </si>
  <si>
    <t>2023-03-09T22:12:29.285000+00:00</t>
  </si>
  <si>
    <t>1f387626-2040-4be2-8328-4125c256de03</t>
  </si>
  <si>
    <t>2023-03-09T22:53:31.455000+00:00</t>
  </si>
  <si>
    <t>right_block13_lane6</t>
  </si>
  <si>
    <t>2023-03-09T22:54:54.230000+00:00</t>
  </si>
  <si>
    <t>right_block_14_lane_2</t>
  </si>
  <si>
    <t>slip: not at least one job is completed; inductive: error code 0x1060001 is not supported</t>
  </si>
  <si>
    <t>2023-03-09T22:59:46.766000+00:00</t>
  </si>
  <si>
    <t>55ea4c8d-bf49-4b92-ab2e-26446acc0adb</t>
  </si>
  <si>
    <t>2023-03-10T01:08:54.796000+00:00</t>
  </si>
  <si>
    <t>2023-03-10T02:36:24.539000+00:00</t>
  </si>
  <si>
    <t>a4b1f868-433d-4d64-9f03-dc0c47018aeb</t>
  </si>
  <si>
    <t>2023-03-10T06:32:08.823000+00:00</t>
  </si>
  <si>
    <t>2023-03-10T06:32:44.820000+00:00</t>
  </si>
  <si>
    <t>right_block_14_lane_4</t>
  </si>
  <si>
    <t>b0ac9c54-45a5-421d-b7f6-9762da0a70e0</t>
  </si>
  <si>
    <t>2023-03-10T06:37:24.768000+00:00</t>
  </si>
  <si>
    <t>2023-03-10T07:30:57.472000+00:00</t>
  </si>
  <si>
    <t>e9fdbf78-aca9-4d26-b318-d78c913a1ad1</t>
  </si>
  <si>
    <t>2023-03-10T08:47:34.636000+00:00</t>
  </si>
  <si>
    <t>ee73d620-88b4-42b1-9c47-d921e0043265</t>
  </si>
  <si>
    <t>2023-03-10T11:32:59.458000+00:00</t>
  </si>
  <si>
    <t>154370b9-e2c7-4a7b-9ad3-db804eb3ba26</t>
  </si>
  <si>
    <t>2023-03-10T14:44:31.686000+00:00</t>
  </si>
  <si>
    <t>e766110f-21c1-47d8-99e8-72a97bd5d6c2</t>
  </si>
  <si>
    <t>aad15a0b-8616-4e65-a72e-a4a96350b69d</t>
  </si>
  <si>
    <t>2023-03-10T16:00:35.766000+00:00</t>
  </si>
  <si>
    <t>894f665c-06f7-432f-beb3-69674e6562fe</t>
  </si>
  <si>
    <t>2023-03-10T18:36:51.726000+00:00</t>
  </si>
  <si>
    <t>right_block_26_lane_6</t>
  </si>
  <si>
    <t>f7dc375d-9da5-4dbb-9ad9-ab434088f3f7</t>
  </si>
  <si>
    <t>251cfd4f-4b4e-4b95-bd0b-629d4398dbf4</t>
  </si>
  <si>
    <t>2023-03-10T18:49:02.475000+00:00</t>
  </si>
  <si>
    <t>df9171b0-777b-40e2-b4f1-238a571535b1</t>
  </si>
  <si>
    <t>2023-03-10T19:03:01.529000+00:00</t>
  </si>
  <si>
    <t>cfbc33f7-b6c6-4c60-852d-a3a675ddbd8a</t>
  </si>
  <si>
    <t>2023-03-10T19:14:11.771000+00:00</t>
  </si>
  <si>
    <t>right_block_25_lane_4</t>
  </si>
  <si>
    <t>e383d86b-3a43-4eac-b5fd-9be357317375</t>
  </si>
  <si>
    <t>2023-03-10T19:45:23.221000+00:00</t>
  </si>
  <si>
    <t>f16270b5-8e3d-4fc1-b004-0f08c8d4036a</t>
  </si>
  <si>
    <t>2023-03-10T22:14:45.647000+00:00</t>
  </si>
  <si>
    <t>right_block_9_lane_2</t>
  </si>
  <si>
    <t>0855d5a9-3f90-4b04-943d-587f3753b0dd</t>
  </si>
  <si>
    <t>2023-03-10T22:28:14.246000+00:00</t>
  </si>
  <si>
    <t>right_block_8_lane_6</t>
  </si>
  <si>
    <t>fd4e88df-fd8f-4dd0-ae10-821f2935f4b8</t>
  </si>
  <si>
    <t>2023-03-10T22:46:18.437000+00:00</t>
  </si>
  <si>
    <t>right_block_8_lane_2</t>
  </si>
  <si>
    <t>d909a0c9-6c4c-4db6-8890-501bf42bd0c4</t>
  </si>
  <si>
    <t>2023-03-10T23:17:02.249000+00:00</t>
  </si>
  <si>
    <t>right_block_7_lane_2</t>
  </si>
  <si>
    <t>0d624031-8311-43f2-aa21-4652aef293e7</t>
  </si>
  <si>
    <t>2023-03-10T23:24:04.216000+00:00</t>
  </si>
  <si>
    <t>b4413ddd-9288-44fe-88df-977f7b2a7e1c</t>
  </si>
  <si>
    <t>2023-03-10T23:44:06.226000+00:00</t>
  </si>
  <si>
    <t>right_block_6_lane_3</t>
  </si>
  <si>
    <t>2023-03-11T02:22:59.857000+00:00</t>
  </si>
  <si>
    <t>5a0a63e7-4e72-4427-9f66-d807d7cfdef6</t>
  </si>
  <si>
    <t>2023-03-11T02:35:24.965000+00:00</t>
  </si>
  <si>
    <t>2023-03-11T06:50:39.529000+00:00</t>
  </si>
  <si>
    <t>87918df7-ec08-4f32-9295-597d89883e9b</t>
  </si>
  <si>
    <t>2023-03-11T08:48:49.897000+00:00</t>
  </si>
  <si>
    <t>1a1e87ef-8b51-4f9e-90f4-7607eb0d1b44</t>
  </si>
  <si>
    <t>4c184816-a86f-493c-ae49-cd39c8f01389</t>
  </si>
  <si>
    <t>2023-03-11T16:46:13.056000+00:00</t>
  </si>
  <si>
    <t>ed1cb445-1154-443c-9e4a-63be831f920e</t>
  </si>
  <si>
    <t>2023-03-11T17:26:47.227000+00:00</t>
  </si>
  <si>
    <t>left_block_3_lane_1</t>
  </si>
  <si>
    <t>67828b24-15dd-4bb8-9a3a-801ce59f3efa</t>
  </si>
  <si>
    <t>2023-03-11T17:32:27.833000+00:00</t>
  </si>
  <si>
    <t>32d559d6-9cb8-46cd-925e-67d16647f052</t>
  </si>
  <si>
    <t>2023-03-11T17:51:14.137000+00:00</t>
  </si>
  <si>
    <t>a7c146a5-f470-4f3e-8b2c-1e3744af566e</t>
  </si>
  <si>
    <t>2023-03-11T18:01:27.810000+00:00</t>
  </si>
  <si>
    <t>3d527505-73f9-4504-8b1c-4a2e855be28a</t>
  </si>
  <si>
    <t>2023-03-11T18:07:05.526000+00:00</t>
  </si>
  <si>
    <t>left_block_4_lane_2</t>
  </si>
  <si>
    <t>23b42de9-139d-4beb-bfda-4dc21398ded3</t>
  </si>
  <si>
    <t>c5ad86d4-4d30-4517-aeba-514fca162336</t>
  </si>
  <si>
    <t>2023-03-11T19:41:43.818000+00:00</t>
  </si>
  <si>
    <t>ac5b0bea-63ce-4635-85f9-ef3b9a61537f</t>
  </si>
  <si>
    <t>2023-03-11T20:05:35.113000+00:00</t>
  </si>
  <si>
    <t>left_block_8_lane_1</t>
  </si>
  <si>
    <t>d8268a1c-39b6-48bd-8d69-b9b95c7ddb98</t>
  </si>
  <si>
    <t>2023-03-11T20:37:24.946000+00:00</t>
  </si>
  <si>
    <t>5de36005-92cf-4731-b25b-fd8e1deed9e8</t>
  </si>
  <si>
    <t>2023-03-11T21:09:01.698000+00:00</t>
  </si>
  <si>
    <t>625343e5-0a0e-4390-985f-41398202f1ce</t>
  </si>
  <si>
    <t>2023-03-11T21:38:05.333000+00:00</t>
  </si>
  <si>
    <t>left_block_10_lane_7</t>
  </si>
  <si>
    <t>d1069129-de98-4782-a7a4-eee33c99d6b0</t>
  </si>
  <si>
    <t>2023-03-11T23:12:14.153000+00:00</t>
  </si>
  <si>
    <t>122d403f-6e3d-4bbe-b38d-14c20a24ac49</t>
  </si>
  <si>
    <t>2023-03-12T00:57:59.070000+00:00</t>
  </si>
  <si>
    <t>left_block_17_lane_4</t>
  </si>
  <si>
    <t>40795df2-ed55-4936-a1ea-8dc67ed1457b</t>
  </si>
  <si>
    <t>2023-03-12T01:53:36.715000+00:00</t>
  </si>
  <si>
    <t>left_block_19_lane_2</t>
  </si>
  <si>
    <t>7d5bc41c-a7e3-4b96-aebe-8d4b421d63f8</t>
  </si>
  <si>
    <t>2023-03-12T02:40:02.452000+00:00</t>
  </si>
  <si>
    <t>80fbca26-2975-4e61-bb44-2e29c29e595b</t>
  </si>
  <si>
    <t>2461ff4f-0af4-44f1-9f6c-5349c1a3286e</t>
  </si>
  <si>
    <t>2023-03-12T04:03:54.890000+00:00</t>
  </si>
  <si>
    <t>dc1b7831-5e3b-4c0b-9adf-9d764ea93c1c</t>
  </si>
  <si>
    <t>2023-03-12T04:24:38.039000+00:00</t>
  </si>
  <si>
    <t>left_block_24_lane_2</t>
  </si>
  <si>
    <t>4a20f7d6-7637-461f-8adf-a82bd75e4ac3</t>
  </si>
  <si>
    <t>2023-03-12T07:53:52.055000+00:00</t>
  </si>
  <si>
    <t>left_block_30_lane_8</t>
  </si>
  <si>
    <t>Robot lijkt vast te zitten</t>
  </si>
  <si>
    <t>f60d0ada-c26f-41bf-a572-c8658c9f7e21</t>
  </si>
  <si>
    <t>92e1490f-7c3c-4d52-a92d-abaefc497a04</t>
  </si>
  <si>
    <t>2023-03-12T16:57:10.720000+00:00</t>
  </si>
  <si>
    <t>c198357e-42d8-48f9-8937-b4f6727c503c</t>
  </si>
  <si>
    <t>2023-03-12T18:56:39.326000+00:00</t>
  </si>
  <si>
    <t>49e5902c-dac0-44ec-ad19-8eac98c1e302</t>
  </si>
  <si>
    <t>2023-03-12T20:07:43.611000+00:00</t>
  </si>
  <si>
    <t>block4_lane3_l</t>
  </si>
  <si>
    <t>559e4189-e690-44e4-b603-034c9722741b</t>
  </si>
  <si>
    <t>2023-03-12T21:13:19.122000+00:00</t>
  </si>
  <si>
    <t>left_block5_lane3</t>
  </si>
  <si>
    <t>2023-03-12T22:59:29.564000+00:00</t>
  </si>
  <si>
    <t>left_block9_lane4</t>
  </si>
  <si>
    <t>2023-03-12T23:19:34.283000+00:00</t>
  </si>
  <si>
    <t>left_block10_lane2</t>
  </si>
  <si>
    <t>2023-03-12T23:38:26.585000+00:00</t>
  </si>
  <si>
    <t>dc7cd09f-e731-4955-bf58-412b9cdb9aad</t>
  </si>
  <si>
    <t>2023-03-12T23:52:28.138000+00:00</t>
  </si>
  <si>
    <t>2023-03-13T00:56:39.125000+00:00</t>
  </si>
  <si>
    <t>block14_lane3_l</t>
  </si>
  <si>
    <t>76e8f883-cd7e-46bd-b047-94b4b7226b39</t>
  </si>
  <si>
    <t>2023-03-13T02:04:53.445000+00:00</t>
  </si>
  <si>
    <t>right_block_13_lane_4</t>
  </si>
  <si>
    <t>a01ea91d-8606-417a-9771-1e1a60f086d8</t>
  </si>
  <si>
    <t>1195c5f8-51f8-47c4-82c0-b3171b9a0561</t>
  </si>
  <si>
    <t>2023-03-13T09:32:13.474000+00:00</t>
  </si>
  <si>
    <t>3fa87e85-5425-44f8-8e0c-7f2b213a3934</t>
  </si>
  <si>
    <t>2023-03-13T09:40:36.972000+00:00</t>
  </si>
  <si>
    <t>33d0028d-8468-425f-a872-9eae0f982a05</t>
  </si>
  <si>
    <t>be2771e0-c706-40db-89b9-8822300857a0</t>
  </si>
  <si>
    <t>2023-03-13T09:44:03.306000+00:00</t>
  </si>
  <si>
    <t>92a218f9-298e-4d54-a04d-3b9e12dfd986</t>
  </si>
  <si>
    <t>30b12a2e-36bf-4fb8-aed8-c551133fe430</t>
  </si>
  <si>
    <t>2023-03-13T10:05:34.360000+00:00</t>
  </si>
  <si>
    <t>2023-03-13T10:12:26.485000+00:00</t>
  </si>
  <si>
    <t>4261af36-bead-4123-ad9d-c5c7d1294bcf</t>
  </si>
  <si>
    <t>2023-03-13T10:34:06.174000+00:00</t>
  </si>
  <si>
    <t>78300d62-c6a6-4c83-b221-c8edb613c652</t>
  </si>
  <si>
    <t>30886cf4-7871-4efc-85b5-d3f7a931a209</t>
  </si>
  <si>
    <t>2023-03-13T11:17:00.912000+00:00</t>
  </si>
  <si>
    <t>b7017283-fbfa-41d1-9e92-06e307523196</t>
  </si>
  <si>
    <t>2023-03-13T14:51:08.851000+00:00</t>
  </si>
  <si>
    <t>bd32a82f-88ea-46e3-93ad-dd6f46f84c8d</t>
  </si>
  <si>
    <t>2023-03-13T15:08:57.823000+00:00</t>
  </si>
  <si>
    <t>2181c71e-6df2-4cb8-b9e0-84174e8e9190</t>
  </si>
  <si>
    <t>665e7e6b-dc8b-4e38-8208-51529cb9cbc1</t>
  </si>
  <si>
    <t>2023-03-13T19:16:58.311000+00:00</t>
  </si>
  <si>
    <t>cb8b41bf-4008-416c-a65d-3e3f1824ae7d</t>
  </si>
  <si>
    <t>329e7075-9b2f-4531-8138-e0a29743494d</t>
  </si>
  <si>
    <t>2023-03-13T19:29:03.524000+00:00</t>
  </si>
  <si>
    <t>d81c1d8e-f19f-46cf-9375-4c40c3463cf2</t>
  </si>
  <si>
    <t>2023-03-13T19:35:17.997000+00:00</t>
  </si>
  <si>
    <t>4907989b-4161-4a7c-ad4e-3957390b3a75</t>
  </si>
  <si>
    <t>2023-03-13T19:44:03.161000+00:00</t>
  </si>
  <si>
    <t>7d954369-839a-4994-835f-7f0bcd903a54</t>
  </si>
  <si>
    <t>2023-03-13T19:46:21.322000+00:00</t>
  </si>
  <si>
    <t>left_block_2_lane_5</t>
  </si>
  <si>
    <t>eb89b38b-c1e1-4d51-abb0-00eb31090ec2</t>
  </si>
  <si>
    <t>2023-03-14T02:36:30.586000+00:00</t>
  </si>
  <si>
    <t>5f86b845-a443-4289-8af5-f0be5e9909ee</t>
  </si>
  <si>
    <t>slip: current node is not the lane (walkway_1 vs left_block_1_lane_5); inductive: inductive does not see rails</t>
  </si>
  <si>
    <t>2023-03-14T06:08:26.911000+00:00</t>
  </si>
  <si>
    <t>c24b8128-5b56-4aef-8c52-a6c91d458421</t>
  </si>
  <si>
    <t>2023-03-14T07:26:51.243000+00:00</t>
  </si>
  <si>
    <t>2023-03-14T07:52:32.034000+00:00</t>
  </si>
  <si>
    <t>f4bfebb9-fbf6-4128-bd9b-7ee30a583ef3</t>
  </si>
  <si>
    <t>2023-03-14T17:52:54.826000+00:00</t>
  </si>
  <si>
    <t>f164e0f5-6e39-4a5b-b8b6-52a668223bb8</t>
  </si>
  <si>
    <t>2023-03-14T17:54:13.111000+00:00</t>
  </si>
  <si>
    <t>2023-03-14T19:06:12.457000+00:00</t>
  </si>
  <si>
    <t>55237582-bb0a-4b9b-9e42-577d12052f8f</t>
  </si>
  <si>
    <t>2023-03-14T19:20:58.470000+00:00</t>
  </si>
  <si>
    <t>2023-03-14T19:45:52.716000+00:00</t>
  </si>
  <si>
    <t>2023-03-14T19:53:05.393000+00:00</t>
  </si>
  <si>
    <t>d3cffec0-d1ca-4a28-9f12-945e8536fa41</t>
  </si>
  <si>
    <t>2023-03-14T19:57:10.517000+00:00</t>
  </si>
  <si>
    <t>52f246f0-2922-45b6-9da1-188c8ddac5d5</t>
  </si>
  <si>
    <t>2023-03-14T20:45:02.026000+00:00</t>
  </si>
  <si>
    <t>faeedfc8-2e67-48be-9d13-d4f720a1a3ec</t>
  </si>
  <si>
    <t>2023-03-14T21:46:36.022000+00:00</t>
  </si>
  <si>
    <t>block7_lane7_l</t>
  </si>
  <si>
    <t>77121727-24b2-4917-9d76-321aaa47adcd</t>
  </si>
  <si>
    <t>450568bb-d0b2-45a9-bd04-c62564c17b0c</t>
  </si>
  <si>
    <t>2023-03-14T22:58:21.184000+00:00</t>
  </si>
  <si>
    <t>bb359d99-bbf0-4781-9695-b8d3216aa06f</t>
  </si>
  <si>
    <t>2023-03-15T03:42:51.085000+00:00</t>
  </si>
  <si>
    <t>63967fa6-8063-40b4-96c7-c290adcb264f</t>
  </si>
  <si>
    <t>2023-03-15T08:48:47.832000+00:00</t>
  </si>
  <si>
    <t>db31329c-84e3-4d7e-b329-406c27eaa788</t>
  </si>
  <si>
    <t>759beca0-b86d-46f5-ae49-609f4e375b1d</t>
  </si>
  <si>
    <t>2023-03-15T09:46:58.020000+00:00</t>
  </si>
  <si>
    <t>c0592a2e-4f84-4779-b349-3b05cf0d245d</t>
  </si>
  <si>
    <t>5ef7984c-449d-41a2-a40e-9fdbbc185c08</t>
  </si>
  <si>
    <t>2023-03-15T10:30:02.685000+00:00</t>
  </si>
  <si>
    <t>5a6b7971-c4b3-46ee-b1e9-ccba91843643</t>
  </si>
  <si>
    <t>069acdcd-c435-4620-ae50-f4f5cf0f21ad</t>
  </si>
  <si>
    <t>2023-03-15T10:46:52.300000+00:00</t>
  </si>
  <si>
    <t>node_1-43-0-4-4-8-6-3-6-71-1-9-63-4</t>
  </si>
  <si>
    <t>33358f26-3567-4485-9031-203a09bc9861</t>
  </si>
  <si>
    <t>2023-03-15T14:38:17.789000+00:00</t>
  </si>
  <si>
    <t>a59aa88e-93a6-4652-b19c-5908d8e3ff11</t>
  </si>
  <si>
    <t>856d8fc3-9a12-48bb-87b1-3287f9fe20db</t>
  </si>
  <si>
    <t>2023-03-15T16:54:35.573000+00:00</t>
  </si>
  <si>
    <t>right_block_21_lane_6</t>
  </si>
  <si>
    <t>2207d0b1-f8fb-4b85-9296-06f03c56c7bb</t>
  </si>
  <si>
    <t>slip: error code 0x1030004 is not supported; inductive: inductive does not see rails</t>
  </si>
  <si>
    <t>2023-03-15T18:57:12.325000+00:00</t>
  </si>
  <si>
    <t>block16_lane6_l</t>
  </si>
  <si>
    <t>0x01030004</t>
  </si>
  <si>
    <t>3d5d4286-564c-422f-b0ca-2f97e56f8a39</t>
  </si>
  <si>
    <t>2023-03-15T19:09:22.359000+00:00</t>
  </si>
  <si>
    <t>right_block_17_lane_2</t>
  </si>
  <si>
    <t>8d32048d-5245-4111-95b4-c46182c35f34</t>
  </si>
  <si>
    <t>38b76b03-b902-4172-bce6-4613cf16cdab</t>
  </si>
  <si>
    <t>2023-03-15T19:13:27.668000+00:00</t>
  </si>
  <si>
    <t>left_block14_lane5</t>
  </si>
  <si>
    <t>section2</t>
  </si>
  <si>
    <t>cd51455f-6772-4d80-9f8a-bc99c7b2bed3</t>
  </si>
  <si>
    <t>2023-03-15T19:30:49.943000+00:00</t>
  </si>
  <si>
    <t>2f1b529d-4509-40a8-b530-a4453f77d67e</t>
  </si>
  <si>
    <t>2023-03-15T19:40:01.631000+00:00</t>
  </si>
  <si>
    <t>864fca7f-b63e-4317-a3db-42c2f9fec63d</t>
  </si>
  <si>
    <t>2023-03-15T19:45:26.982000+00:00</t>
  </si>
  <si>
    <t>fd5aa367-0196-42e1-b806-bb56476bd0e2</t>
  </si>
  <si>
    <t>2023-03-15T20:20:27.451000+00:00</t>
  </si>
  <si>
    <t>right_block_14_lane_7</t>
  </si>
  <si>
    <t>2e7ea2f1-ec04-4c8e-b8a9-c847f311e43e</t>
  </si>
  <si>
    <t>2023-03-15T20:25:50.468000+00:00</t>
  </si>
  <si>
    <t>right_block_14_lane_6</t>
  </si>
  <si>
    <t>fe5b74a2-1eef-48ed-b698-ece663e63754</t>
  </si>
  <si>
    <t>2023-03-15T20:39:44.414000+00:00</t>
  </si>
  <si>
    <t>4719c66e-797b-4745-ab2a-b533219c40b8</t>
  </si>
  <si>
    <t>2023-03-15T20:45:08.436000+00:00</t>
  </si>
  <si>
    <t>7c027788-e03b-49fb-8b9b-7860c9c91e16</t>
  </si>
  <si>
    <t>2023-03-15T20:50:20.677000+00:00</t>
  </si>
  <si>
    <t>right_block_14_lane_1</t>
  </si>
  <si>
    <t>c541bc48-a8d6-4a2a-b006-17c217e1a39f</t>
  </si>
  <si>
    <t>2023-03-15T21:13:16.209000+00:00</t>
  </si>
  <si>
    <t>left_block18_lane7</t>
  </si>
  <si>
    <t>266f0e4c-ee16-4507-bfb0-b8fb58dbbf57</t>
  </si>
  <si>
    <t>2023-03-15T21:29:42.783000+00:00</t>
  </si>
  <si>
    <t>right_block_12_lane_6</t>
  </si>
  <si>
    <t>ba536abf-a2dc-4a83-aa94-11424917fb53</t>
  </si>
  <si>
    <t>2023-03-15T22:06:02.407000+00:00</t>
  </si>
  <si>
    <t>right_block_11_lane_5</t>
  </si>
  <si>
    <t>72a459ce-31bb-407d-80db-41945dca9510</t>
  </si>
  <si>
    <t>279febfe-8716-4d92-99fb-86faf713f183</t>
  </si>
  <si>
    <t>2023-03-15T22:17:36.864000+00:00</t>
  </si>
  <si>
    <t>089a04d4-895d-48f4-8158-e07505616495</t>
  </si>
  <si>
    <t>24ee6df1-006d-4fed-b27d-db84370ed66d</t>
  </si>
  <si>
    <t>2023-03-15T22:37:25.717000+00:00</t>
  </si>
  <si>
    <t>ac1710db-7718-44ce-889f-e11efc344f38</t>
  </si>
  <si>
    <t>4b970836-0150-46a8-a6fa-7ca9c99457e2</t>
  </si>
  <si>
    <t>2023-03-15T22:59:13.564000+00:00</t>
  </si>
  <si>
    <t>block8_lane3_l</t>
  </si>
  <si>
    <t>13db7272-7366-4c2f-ae1b-03789e36c444</t>
  </si>
  <si>
    <t>2023-03-15T23:38:25.582000+00:00</t>
  </si>
  <si>
    <t>3858fb5f-2e41-494d-8ec6-ce67c122713c</t>
  </si>
  <si>
    <t>712a80d2-ff20-445f-a2e3-e0e1fc41e6bb</t>
  </si>
  <si>
    <t>2023-03-15T23:42:11.837000+00:00</t>
  </si>
  <si>
    <t>9dc0b4b5-7c65-4f51-b6f8-8b140548bddf</t>
  </si>
  <si>
    <t>2023-03-16T01:57:20.417000+00:00</t>
  </si>
  <si>
    <t>block13_lane3_l</t>
  </si>
  <si>
    <t>f47e794e-3216-45a9-b3c9-ec88d1ded06f</t>
  </si>
  <si>
    <t>2023-03-16T02:20:41.366000+00:00</t>
  </si>
  <si>
    <t>right_3387</t>
  </si>
  <si>
    <t>98c9bd80-e236-45c9-82c1-92bd16e1e074</t>
  </si>
  <si>
    <t>2023-03-16T08:49:40.154000+00:00</t>
  </si>
  <si>
    <t>3dd1071b-d2c0-4f22-bb10-319cacbfc33c</t>
  </si>
  <si>
    <t>7720df0f-55e5-4f9b-acd1-2cd644db1907</t>
  </si>
  <si>
    <t>2023-03-16T10:53:17.784000+00:00</t>
  </si>
  <si>
    <t>node_1-43-0-4-4-8-6-3-6-71-1-9-63</t>
  </si>
  <si>
    <t>9a9384ae-8fd8-4d07-9aa9-116c4c96a95e</t>
  </si>
  <si>
    <t>2023-03-16T11:00:52.714000+00:00</t>
  </si>
  <si>
    <t>80ad3d28-df9b-4882-8dc3-8c6ec006d6a2</t>
  </si>
  <si>
    <t>2483c131-c17f-479a-b861-438328ed9d1e</t>
  </si>
  <si>
    <t>2023-03-16T11:25:23.359000+00:00</t>
  </si>
  <si>
    <t>803da153-924c-4f93-a648-c911ebc7e434</t>
  </si>
  <si>
    <t>2023-03-16T11:42:17.385000+00:00</t>
  </si>
  <si>
    <t>ac5fe68f-50d9-4c09-9500-074971099efc</t>
  </si>
  <si>
    <t>d6b28afa-2669-4a89-bf79-522d000effb2</t>
  </si>
  <si>
    <t>2023-03-16T11:46:37.737000+00:00</t>
  </si>
  <si>
    <t>3f917f0a-7edb-4a9e-8114-0820a1201ea7</t>
  </si>
  <si>
    <t>2023-03-16T12:08:07.122000+00:00</t>
  </si>
  <si>
    <t>ad0d9ef2-0d29-41cf-978a-9abfbed5b437</t>
  </si>
  <si>
    <t>2023-03-16T12:13:14.060000+00:00</t>
  </si>
  <si>
    <t>right_block_11_lane_4</t>
  </si>
  <si>
    <t>1c69b540-1cd1-426f-9d10-462180747da2</t>
  </si>
  <si>
    <t>d421167b-023c-40ea-bf8d-cfc43c3b2915</t>
  </si>
  <si>
    <t>2023-03-16T12:26:50.313000+00:00</t>
  </si>
  <si>
    <t>b9fc0fc2-1091-4382-a759-32bdaf109769</t>
  </si>
  <si>
    <t>2023-03-16T12:28:06.621000+00:00</t>
  </si>
  <si>
    <t>47730a2a-8e73-4275-9bb6-7fa20da3dc97</t>
  </si>
  <si>
    <t>2023-03-16T12:32:47.123000+00:00</t>
  </si>
  <si>
    <t>ec7c6939-5068-4b6f-bd6e-74c261c4dfef</t>
  </si>
  <si>
    <t>2023-03-16T12:39:28.727000+00:00</t>
  </si>
  <si>
    <t>948bcda6-1fb1-4ab0-8698-a6f49dccb56c</t>
  </si>
  <si>
    <t>2023-03-16T12:44:39.511000+00:00</t>
  </si>
  <si>
    <t>right_block_11_lane_7</t>
  </si>
  <si>
    <t>3e685c13-1374-43ed-bba0-af45d531ac4f</t>
  </si>
  <si>
    <t>2023-03-16T12:53:17.597000+00:00</t>
  </si>
  <si>
    <t>4c9328f1-eeb2-44c9-b147-32b5a92b1003</t>
  </si>
  <si>
    <t>2023-03-16T13:05:40.354000+00:00</t>
  </si>
  <si>
    <t>2023-03-16T13:06:32.349000+00:00</t>
  </si>
  <si>
    <t>right_block_11_lane_2</t>
  </si>
  <si>
    <t>ae77e2f4-1b87-417b-8245-3037d93bf93d</t>
  </si>
  <si>
    <t>d9fba119-014a-4d3c-9ef2-5df3d93164f6</t>
  </si>
  <si>
    <t>2023-03-16T13:13:34.311000+00:00</t>
  </si>
  <si>
    <t>19b26a63-e2f4-459e-abc1-51d3f3ab6d84</t>
  </si>
  <si>
    <t>bb08bef7-182d-4e90-b0be-b30291a92773</t>
  </si>
  <si>
    <t>2023-03-16T13:23:01.079000+00:00</t>
  </si>
  <si>
    <t>lane_R50</t>
  </si>
  <si>
    <t>6306d126-1e4b-4d49-b2fb-e7bf0eb69b9e</t>
  </si>
  <si>
    <t>d9494f83-1cc2-491c-88c2-ac8aff99ee61</t>
  </si>
  <si>
    <t>2023-03-16T13:27:49.877000+00:00</t>
  </si>
  <si>
    <t>9f063ad3-23ec-4fc2-b3f9-49fb14019d2f</t>
  </si>
  <si>
    <t>39f2a4e1-4659-4b47-8720-3b29d1ff795f</t>
  </si>
  <si>
    <t>2023-03-16T13:32:58.458000+00:00</t>
  </si>
  <si>
    <t>388e0b6b-bed0-4a08-bcbf-1cd3ddc606ab</t>
  </si>
  <si>
    <t>2023-03-16T14:13:40.163000+00:00</t>
  </si>
  <si>
    <t>a01d0706-718a-45ba-9158-fc42133c4835</t>
  </si>
  <si>
    <t>2023-03-16T15:06:24.502000+00:00</t>
  </si>
  <si>
    <t>949dab45-a2e8-44a6-801f-f04c9c526453</t>
  </si>
  <si>
    <t>2023-03-16T15:23:28.939000+00:00</t>
  </si>
  <si>
    <t>7c521968-76b3-4f9c-a057-9368f0411168</t>
  </si>
  <si>
    <t>2023-03-16T16:02:45.400000+00:00</t>
  </si>
  <si>
    <t>2465c15e-0733-432b-b8df-a4b5324937b6</t>
  </si>
  <si>
    <t>16ec26a9-c275-40b0-9e25-d848a266eb60</t>
  </si>
  <si>
    <t>2023-03-16T16:18:06.380000+00:00</t>
  </si>
  <si>
    <t>right_block_10_lane_7</t>
  </si>
  <si>
    <t>567aeec3-55cd-4086-a3cb-92eff5028329</t>
  </si>
  <si>
    <t>2023-03-16T17:12:26.811000+00:00</t>
  </si>
  <si>
    <t>e54faa92-a730-46d8-a403-d534a9ad6fc5</t>
  </si>
  <si>
    <t>c64f891e-e87c-4b2b-94d8-a8cc8ed93a86</t>
  </si>
  <si>
    <t>2023-03-16T19:52:42.517000+00:00</t>
  </si>
  <si>
    <t>0def331d-e42f-4e7e-9aa0-70a5c6298ef5</t>
  </si>
  <si>
    <t>2023-03-16T20:12:00.559000+00:00</t>
  </si>
  <si>
    <t>3f3fd511-7518-43a3-bfbc-bc5c6f2b1575</t>
  </si>
  <si>
    <t>2023-03-16T20:15:08.207000+00:00</t>
  </si>
  <si>
    <t>d0d2e321-9c2e-4e56-8431-454a4c245694</t>
  </si>
  <si>
    <t>2023-03-16T20:26:10.160000+00:00</t>
  </si>
  <si>
    <t>228ef81f-7d66-452b-b422-cc26bc2cf7b8</t>
  </si>
  <si>
    <t>2fc4315c-912f-4c2f-92f4-3d834a18e050</t>
  </si>
  <si>
    <t>2023-03-16T20:26:22.319000+00:00</t>
  </si>
  <si>
    <t>c35d464e-6507-462b-92df-c0f0a410d8bd</t>
  </si>
  <si>
    <t>2c192e32-fc30-403a-be1f-280f56ba4184</t>
  </si>
  <si>
    <t>2023-03-16T21:38:57.543000+00:00</t>
  </si>
  <si>
    <t>33b5fc50-e1e6-4fe4-9aab-debd4c8887ac</t>
  </si>
  <si>
    <t>2023-03-17T02:03:32.584000+00:00</t>
  </si>
  <si>
    <t>2023-03-17T04:06:48.022000+00:00</t>
  </si>
  <si>
    <t>a56ec829-9f0e-45a1-86ec-6b1312aa223c</t>
  </si>
  <si>
    <t>c6bf6f9c-73bc-4a87-99ec-6f9e4ee442b1</t>
  </si>
  <si>
    <t>2023-03-17T07:49:40.371000+00:00</t>
  </si>
  <si>
    <t>afea5d88-47fe-42d0-a04d-28619f993bf2</t>
  </si>
  <si>
    <t>bc2ffc1a-dbda-456b-b388-56460a8b567a</t>
  </si>
  <si>
    <t>db2019bc-f887-4a5a-84b5-9559a435679b</t>
  </si>
  <si>
    <t>2023-03-17T07:51:13.155000+00:00</t>
  </si>
  <si>
    <t>6abd5705-d55d-44a3-935e-f80823f49238</t>
  </si>
  <si>
    <t>2023-03-17T08:47:48.196000+00:00</t>
  </si>
  <si>
    <t>501a2fd7-5778-49ee-873d-155a7f56ab90</t>
  </si>
  <si>
    <t>2023-03-17T09:27:28.955000+00:00</t>
  </si>
  <si>
    <t>f52a4eef-43a7-4784-85e9-1ed6ef33447d</t>
  </si>
  <si>
    <t>2023-03-17T09:35:40.502000+00:00</t>
  </si>
  <si>
    <t>e9b3341a-39d0-43bd-b105-0a18d6a24605</t>
  </si>
  <si>
    <t>2023-03-17T09:47:20.218000+00:00</t>
  </si>
  <si>
    <t>6fe8a672-0c10-47cd-8e58-cfeb38d2a460</t>
  </si>
  <si>
    <t>2023-03-17T09:51:46.229000+00:00</t>
  </si>
  <si>
    <t>ee228315-72fe-4722-bf8c-0b12185d8cd7</t>
  </si>
  <si>
    <t>2023-03-17T10:03:02.622000+00:00</t>
  </si>
  <si>
    <t>b2eac74a-4b92-4953-a669-abdfc562dc4a</t>
  </si>
  <si>
    <t>2023-03-17T10:28:14.856000+00:00</t>
  </si>
  <si>
    <t>1e007802-1bfe-4edd-bd0b-09580463f6c4</t>
  </si>
  <si>
    <t>86f3dfd8-3ac2-423b-a0da-eb91500e83a7</t>
  </si>
  <si>
    <t>2023-03-17T12:00:13.006000+00:00</t>
  </si>
  <si>
    <t>connection_L7</t>
  </si>
  <si>
    <t>3b940f49-d3ad-465b-a2a3-beae416a66b3</t>
  </si>
  <si>
    <t>2023-03-17T12:41:13.279000+00:00</t>
  </si>
  <si>
    <t>6df0b621-78ae-477c-8df4-5c5dfdb5c47e</t>
  </si>
  <si>
    <t>c1512732-79db-4739-abea-34d0af63ef8b</t>
  </si>
  <si>
    <t>2023-03-17T13:21:07.144000+00:00</t>
  </si>
  <si>
    <t>lane_L12</t>
  </si>
  <si>
    <t>db29021c-095d-4bde-be2a-b48a99507310</t>
  </si>
  <si>
    <t>f18f583f-84cd-43ec-9b02-b78ee92dbd44</t>
  </si>
  <si>
    <t>2023-03-17T13:37:29.614000+00:00</t>
  </si>
  <si>
    <t>right_block4_lane3</t>
  </si>
  <si>
    <t>3cc66128-e93b-424e-b53e-3fd7cfebec5c</t>
  </si>
  <si>
    <t>2023-03-17T13:39:06.752000+00:00</t>
  </si>
  <si>
    <t>lane_L11</t>
  </si>
  <si>
    <t>fca0f6d6-28d2-4780-a34b-8e0d7c17d9db</t>
  </si>
  <si>
    <t>2023-03-17T13:44:05.513000+00:00</t>
  </si>
  <si>
    <t>761e601d-e577-400d-a23b-0d352c081ec4</t>
  </si>
  <si>
    <t>2023-03-17T13:46:00.240000+00:00</t>
  </si>
  <si>
    <t>ff242f3d-0178-48b9-af92-6f6158d6dcae</t>
  </si>
  <si>
    <t>39b59bcd-f98d-495a-b5b7-c4a052304902</t>
  </si>
  <si>
    <t>2023-03-17T14:05:56.519000+00:00</t>
  </si>
  <si>
    <t>aec88051-3d8d-4785-a821-0995d3ae66e2</t>
  </si>
  <si>
    <t>b15d0d5d-79dc-43c0-9109-48210da9d4d0</t>
  </si>
  <si>
    <t>2023-03-17T14:37:49.577000+00:00</t>
  </si>
  <si>
    <t>Rechts</t>
  </si>
  <si>
    <t>ed7a2c08-5d16-45cc-8924-d6149964d643</t>
  </si>
  <si>
    <t>2023-03-17T16:01:43.643000+00:00</t>
  </si>
  <si>
    <t>c1386cc2-8abf-4fe9-b3fa-df1ecca7ff1a</t>
  </si>
  <si>
    <t>2023-03-17T19:21:13.044000+00:00</t>
  </si>
  <si>
    <t>8899a4f0-1f10-47f2-93cd-fff70da0e7d7</t>
  </si>
  <si>
    <t>2023-03-17T19:43:13.454000+00:00</t>
  </si>
  <si>
    <t>bdbf6aac-50bc-4da6-8d4a-62e16eaebf13</t>
  </si>
  <si>
    <t>2023-03-17T20:10:32.939000+00:00</t>
  </si>
  <si>
    <t>93856682-5e10-4f1d-9951-32a1118e4b3a</t>
  </si>
  <si>
    <t>f55eadfa-ed85-48ce-8884-8925a9f7f4af</t>
  </si>
  <si>
    <t>2023-03-17T20:23:23.677000+00:00</t>
  </si>
  <si>
    <t>92177223-b01f-47a5-ab7a-67522831d5d5</t>
  </si>
  <si>
    <t>2023-03-17T20:44:55.449000+00:00</t>
  </si>
  <si>
    <t>left_block_1_lane_7</t>
  </si>
  <si>
    <t>2023-03-17T20:59:10.702000+00:00</t>
  </si>
  <si>
    <t>2bf14e02-7bc8-4963-a5bb-6b6560375116</t>
  </si>
  <si>
    <t>421ccab6-f354-4714-a479-51f8c1b57322</t>
  </si>
  <si>
    <t>2023-03-17T23:43:43.528000+00:00</t>
  </si>
  <si>
    <t>e54b5962-0a23-40c5-96f5-4bfbe283839a</t>
  </si>
  <si>
    <t>2023-03-18T00:32:44.816000+00:00</t>
  </si>
  <si>
    <t>c7790c47-0114-4af9-9a84-e07d97bbec92</t>
  </si>
  <si>
    <t>93a47d52-58dc-4309-be7d-0e1c7510c2ed</t>
  </si>
  <si>
    <t>slip: error code 0x106000b is not supported; inductive: error code 0x106000b is not supported</t>
  </si>
  <si>
    <t>2023-03-18T01:25:24.992000+00:00</t>
  </si>
  <si>
    <t>right_block26_lane7</t>
  </si>
  <si>
    <t>d0caeb5c-df94-4912-ba5e-9a6b1e3b3480</t>
  </si>
  <si>
    <t>2023-03-18T01:36:10.078000+00:00</t>
  </si>
  <si>
    <t>0457980b-790e-4c09-8330-ff283cb564c8</t>
  </si>
  <si>
    <t>2023-03-18T08:40:02.783000+00:00</t>
  </si>
  <si>
    <t>001294fc-3610-4c82-9d2d-8c0e79f29916</t>
  </si>
  <si>
    <t>c8f1c9bd-b037-42ec-a9c0-97521fd82eba</t>
  </si>
  <si>
    <t>2023-03-18T20:34:11.220000+00:00</t>
  </si>
  <si>
    <t>830ce1ba-953f-46dc-87e3-4ada6604e09b</t>
  </si>
  <si>
    <t>2023-03-18T20:40:20.580000+00:00</t>
  </si>
  <si>
    <t>35df8011-e3bc-4802-b612-dc4c124cdd01</t>
  </si>
  <si>
    <t>2023-03-18T20:41:39.398000+00:00</t>
  </si>
  <si>
    <t>662b300e-1bc5-4750-ac52-a4a56db743e2</t>
  </si>
  <si>
    <t>8c5e56b5-b022-4722-94b8-754f970f469a</t>
  </si>
  <si>
    <t>2023-03-18T20:42:58.373000+00:00</t>
  </si>
  <si>
    <t>de347854-a272-4960-9879-e3f4c2278a93</t>
  </si>
  <si>
    <t>3de12a59-814f-48bf-a1cd-6cdbc4a2974b</t>
  </si>
  <si>
    <t>2023-03-18T21:58:28.375000+00:00</t>
  </si>
  <si>
    <t>right_block7_lane2</t>
  </si>
  <si>
    <t>871f8ca2-8836-48cb-b384-4c0a2c682acf</t>
  </si>
  <si>
    <t>2023-03-18T22:09:01.942000+00:00</t>
  </si>
  <si>
    <t>right_block19_lane7</t>
  </si>
  <si>
    <t>3cc0158f-1980-4cf4-afd7-f548fedb94f1</t>
  </si>
  <si>
    <t>slip: error code 0x2040069 is not supported; inductive: error code 0x2040069 is not supported</t>
  </si>
  <si>
    <t>2023-03-19T00:27:12.118000+00:00</t>
  </si>
  <si>
    <t>block12_lane2_l</t>
  </si>
  <si>
    <t>0x02040069</t>
  </si>
  <si>
    <t>2023-03-19T00:41:33.491000+00:00</t>
  </si>
  <si>
    <t>2023-03-19T00:44:07.796000+00:00</t>
  </si>
  <si>
    <t>c2300415-4c92-41e0-9e04-d5d989d4b0a9</t>
  </si>
  <si>
    <t>2023-03-19T10:16:58.615000+00:00</t>
  </si>
  <si>
    <t>12312e47-0dd0-4ad1-a0e7-915716e87d86</t>
  </si>
  <si>
    <t>2023-03-19T10:45:15.101000+00:00</t>
  </si>
  <si>
    <t>f4e4c901-3b68-4baa-ba7f-ef2915493dc9</t>
  </si>
  <si>
    <t>d1a7ea3b-a2f7-4f85-9df0-1234ebd5665f</t>
  </si>
  <si>
    <t>2023-03-19T20:32:57.081000+00:00</t>
  </si>
  <si>
    <t>de8f9760-2306-4b98-b477-0d4999e8a7fd</t>
  </si>
  <si>
    <t>2023-03-19T21:05:05.035000+00:00</t>
  </si>
  <si>
    <t>f52f53b5-ea13-4059-8e61-174ec9b79290</t>
  </si>
  <si>
    <t>2023-03-19T22:35:59.810000+00:00</t>
  </si>
  <si>
    <t>left_block6_lane5</t>
  </si>
  <si>
    <t>43022773-1cda-4c08-85cf-5fe6f5e54f0c</t>
  </si>
  <si>
    <t>2023-03-20T00:10:30.513000+00:00</t>
  </si>
  <si>
    <t>9a5331d6-e808-4626-83ac-1a8d69e60b45</t>
  </si>
  <si>
    <t>2023-03-20T00:28:04.122000+00:00</t>
  </si>
  <si>
    <t>left_block10_lane7</t>
  </si>
  <si>
    <t>b38431a7-62db-488c-998e-18547bbda89a</t>
  </si>
  <si>
    <t>2023-03-20T00:53:43.186000+00:00</t>
  </si>
  <si>
    <t>left_block11_lane6</t>
  </si>
  <si>
    <t>2023-03-20T02:54:26.962000+00:00</t>
  </si>
  <si>
    <t>f5f51e86-62ec-4428-88ad-2b12575765f2</t>
  </si>
  <si>
    <t>2023-03-20T03:29:44.302000+00:00</t>
  </si>
  <si>
    <t>867127f1-79ec-4626-a0bc-fa7c339e6b97</t>
  </si>
  <si>
    <t>b7d8e944-4bb0-408b-be24-c79277053482</t>
  </si>
  <si>
    <t>2023-03-20T03:52:04.692000+00:00</t>
  </si>
  <si>
    <t>lane_3904</t>
  </si>
  <si>
    <t>ae03a04c-e3ed-49ea-a6c5-db038020ab66</t>
  </si>
  <si>
    <t>2023-03-27T03:23:52.598000+00:00</t>
  </si>
  <si>
    <t>b3c8ef96-7266-4ae2-9bb6-cbb9035eb4c6</t>
  </si>
  <si>
    <t>2023-03-26T10:17:51.682000+00:00</t>
  </si>
  <si>
    <t>6b6cbe3a-a516-4116-bc1a-bd471a0d1d10</t>
  </si>
  <si>
    <t>b8e6dc4c-9f7e-4907-944d-c95a06243f91</t>
  </si>
  <si>
    <t>2023-03-25T18:52:00.851000+00:00</t>
  </si>
  <si>
    <t>right_block_31_lane_7</t>
  </si>
  <si>
    <t>cf9092d3-0204-420c-ba7a-c835fdd81e83</t>
  </si>
  <si>
    <t>2023-03-25T18:58:10.494000+00:00</t>
  </si>
  <si>
    <t>right_block_31_lane_6</t>
  </si>
  <si>
    <t>d2c49ca4-cb8f-43ac-bec1-13994fbc12f9</t>
  </si>
  <si>
    <t>50777ff4-4464-4b07-b5df-a176c5b005e6</t>
  </si>
  <si>
    <t>2023-03-25T18:41:09.380000+00:00</t>
  </si>
  <si>
    <t>9c75aa1a-e0c5-4643-9832-dfea7f516c47</t>
  </si>
  <si>
    <t>2023-03-25T18:47:13.019000+00:00</t>
  </si>
  <si>
    <t>b72036fa-7e22-4870-bf50-7aab97c43b09</t>
  </si>
  <si>
    <t>c7e52a0e-ab86-4d70-ac28-16d5b2721897</t>
  </si>
  <si>
    <t>2023-03-25T00:15:47.312000+00:00</t>
  </si>
  <si>
    <t>1d2c07b3-51b4-49ef-9e47-445bd7bdb23c</t>
  </si>
  <si>
    <t>2023-03-25T00:24:56.017000+00:00</t>
  </si>
  <si>
    <t>left_block_18_lane_6</t>
  </si>
  <si>
    <t>2023-03-25T06:31:17.030000+00:00</t>
  </si>
  <si>
    <t>0813388e-d6f9-4bc2-8a8e-80099ba7812e</t>
  </si>
  <si>
    <t>2023-03-24T07:35:02.195000+00:00</t>
  </si>
  <si>
    <t>7dc39471-73c5-44f1-86d9-54e4c2b472a3</t>
  </si>
  <si>
    <t>2023-03-24T07:07:04.618000+00:00</t>
  </si>
  <si>
    <t>a671bf66-0c66-4d87-8adf-a735c509bcfc</t>
  </si>
  <si>
    <t>1af48478-a13f-4097-9a83-b185b5b49111</t>
  </si>
  <si>
    <t>2023-03-24T02:57:24.876000+00:00</t>
  </si>
  <si>
    <t>cd602725-97c9-48e4-8cc6-4d4dbbba6b95</t>
  </si>
  <si>
    <t>2023-03-23T07:12:09.424000+00:00</t>
  </si>
  <si>
    <t>331791c1-79bd-42fb-aeff-9e7e27a74b1b</t>
  </si>
  <si>
    <t>2023-03-21T19:44:27.154000+00:00</t>
  </si>
  <si>
    <t>2023-03-22T03:27:38.578000+00:00</t>
  </si>
  <si>
    <t>222017ae-0e7f-485d-a730-b5d23bf66de5</t>
  </si>
  <si>
    <t>2023-03-21T16:43:55.499000+00:00</t>
  </si>
  <si>
    <t>right_block_22_lane_5</t>
  </si>
  <si>
    <t>9b3fe349-f01f-4bed-934e-b47cca68f45a</t>
  </si>
  <si>
    <t>1b267127-5b27-4d70-ae4a-9a61550c8161</t>
  </si>
  <si>
    <t>2023-03-21T12:08:24.724000+00:00</t>
  </si>
  <si>
    <t>f4254f59-cd42-4042-aefe-f6c36737410a</t>
  </si>
  <si>
    <t>6a15a872-5ad7-4737-9cce-003267ed0d66</t>
  </si>
  <si>
    <t>2023-03-21T03:19:42.309000+00:00</t>
  </si>
  <si>
    <t>3943a546-0f3e-44f2-8e72-55ce335a6b06</t>
  </si>
  <si>
    <t>2023-03-21T03:20:36.565000+00:00</t>
  </si>
  <si>
    <t>aedb8a6c-1ea1-4797-ab2d-dc1821cdd59c</t>
  </si>
  <si>
    <t>fda16314-1741-4859-991b-fc80546d58dd</t>
  </si>
  <si>
    <t>2023-03-20T19:23:32.290000+00:00</t>
  </si>
  <si>
    <t>0b050996-1627-4ad7-a18f-39353ce81bb6</t>
  </si>
  <si>
    <t>2023-03-20T20:48:08.421000+00:00</t>
  </si>
  <si>
    <t>right_3375</t>
  </si>
  <si>
    <t>3cf348dd-2566-47af-b56b-352107042dae</t>
  </si>
  <si>
    <t>2023-03-21T07:14:35.201000+00:00</t>
  </si>
  <si>
    <t>77c4b93b-1c39-4351-a452-a6f070340f7d</t>
  </si>
  <si>
    <t>478b3ca1-110d-443f-8b81-5e7e83dcfe81</t>
  </si>
  <si>
    <t>2023-03-21T17:07:10.846000+00:00</t>
  </si>
  <si>
    <t>200ba0f1-0cf8-4370-9a4f-6cdf53abe5cf</t>
  </si>
  <si>
    <t>2023-03-21T17:07:48.822000+00:00</t>
  </si>
  <si>
    <t>78002411-1e03-4ea1-96fc-1ddfaa0ffc5f</t>
  </si>
  <si>
    <t>062d96e9-0737-4b39-be4c-f2997bd6eb82</t>
  </si>
  <si>
    <t>2023-03-21T17:10:48.279000+00:00</t>
  </si>
  <si>
    <t>c8bb5060-6727-4ef5-97fc-c59200cbc0af</t>
  </si>
  <si>
    <t>a1bc51fd-0544-48f9-8481-10d380f7f81b</t>
  </si>
  <si>
    <t>2023-03-21T17:12:36.995000+00:00</t>
  </si>
  <si>
    <t>069271ab-a60a-4725-bc40-b329feffb0a3</t>
  </si>
  <si>
    <t>9c4ee1b2-b07d-462e-9f41-48008b81ca1d</t>
  </si>
  <si>
    <t>2023-03-21T19:02:58.095000+00:00</t>
  </si>
  <si>
    <t>bc9eb86f-f86f-4a3f-b840-85995fccb8bb</t>
  </si>
  <si>
    <t>2023-03-21T19:03:45.116000+00:00</t>
  </si>
  <si>
    <t>7e3caffa-3036-4ade-a3a5-23779adf9198</t>
  </si>
  <si>
    <t>8af03b15-2814-461d-9c93-a08321b8179c</t>
  </si>
  <si>
    <t>2023-03-21T19:15:47.788000+00:00</t>
  </si>
  <si>
    <t>48855c8e-6e82-400f-94c4-061ebaa3f884</t>
  </si>
  <si>
    <t>2023-03-22T08:27:18.708000+00:00</t>
  </si>
  <si>
    <t>f42bd547-559d-438b-8849-5ab5f89f81f9</t>
  </si>
  <si>
    <t>c0fab1a5-7688-4506-a073-aa83008e7a74</t>
  </si>
  <si>
    <t>2023-03-22T16:31:14.863000+00:00</t>
  </si>
  <si>
    <t>2023-03-22T16:42:56.865000+00:00</t>
  </si>
  <si>
    <t>dd73a758-32bc-4f91-ab9f-fe1973dc2c18</t>
  </si>
  <si>
    <t>2023-03-23T07:17:04.850000+00:00</t>
  </si>
  <si>
    <t>left_lane3514</t>
  </si>
  <si>
    <t>2023-03-23T07:22:08.964000+00:00</t>
  </si>
  <si>
    <t>left_lane3516</t>
  </si>
  <si>
    <t>2023-03-23T07:31:50.441000+00:00</t>
  </si>
  <si>
    <t>2023-03-23T07:36:51.619000+00:00</t>
  </si>
  <si>
    <t>left_lane3522</t>
  </si>
  <si>
    <t>2023-03-23T07:41:52.443000+00:00</t>
  </si>
  <si>
    <t>left_lane3524</t>
  </si>
  <si>
    <t>2023-03-23T07:46:48.987000+00:00</t>
  </si>
  <si>
    <t>left_lane3526</t>
  </si>
  <si>
    <t>2023-03-23T07:51:54.662000+00:00</t>
  </si>
  <si>
    <t>left_lane3530</t>
  </si>
  <si>
    <t>2023-03-23T07:56:54.941000+00:00</t>
  </si>
  <si>
    <t>2023-03-23T08:06:31.841000+00:00</t>
  </si>
  <si>
    <t>left_lane3536</t>
  </si>
  <si>
    <t>2023-03-23T08:11:33.976000+00:00</t>
  </si>
  <si>
    <t>left_lane3538</t>
  </si>
  <si>
    <t>2023-03-23T08:16:35.661000+00:00</t>
  </si>
  <si>
    <t>left_lane3540</t>
  </si>
  <si>
    <t>2023-03-23T08:21:32.248000+00:00</t>
  </si>
  <si>
    <t>2023-03-23T08:26:38.943000+00:00</t>
  </si>
  <si>
    <t>left_lane3546</t>
  </si>
  <si>
    <t>2023-03-23T08:40:56.047000+00:00</t>
  </si>
  <si>
    <t>2023-03-23T08:45:58.171000+00:00</t>
  </si>
  <si>
    <t>left_lane3554</t>
  </si>
  <si>
    <t>2023-03-23T08:50:58.388000+00:00</t>
  </si>
  <si>
    <t>left_lane3556</t>
  </si>
  <si>
    <t>2023-03-23T08:55:53.776000+00:00</t>
  </si>
  <si>
    <t>left_lane3558</t>
  </si>
  <si>
    <t>2023-03-23T09:01:00.551000+00:00</t>
  </si>
  <si>
    <t>2023-03-23T09:05:58.408000+00:00</t>
  </si>
  <si>
    <t>left_lane3564</t>
  </si>
  <si>
    <t>2023-03-23T09:15:33.494000+00:00</t>
  </si>
  <si>
    <t>2023-03-23T09:48:38.255000+00:00</t>
  </si>
  <si>
    <t>2023-03-23T09:53:34.108000+00:00</t>
  </si>
  <si>
    <t>left_lane3586</t>
  </si>
  <si>
    <t>2023-03-23T09:58:28.628000+00:00</t>
  </si>
  <si>
    <t>left_lane3588</t>
  </si>
  <si>
    <t>2023-03-23T10:08:08.329000+00:00</t>
  </si>
  <si>
    <t>2023-03-23T10:22:10.503000+00:00</t>
  </si>
  <si>
    <t>2023-03-23T10:26:52.311000+00:00</t>
  </si>
  <si>
    <t>left_lane3602</t>
  </si>
  <si>
    <t>2023-03-23T10:31:45.484000+00:00</t>
  </si>
  <si>
    <t>2023-03-23T10:41:21.161000+00:00</t>
  </si>
  <si>
    <t>left_lane3610</t>
  </si>
  <si>
    <t>2023-03-23T10:46:16.113000+00:00</t>
  </si>
  <si>
    <t>left_lane3612</t>
  </si>
  <si>
    <t>2023-03-23T10:55:48.439000+00:00</t>
  </si>
  <si>
    <t>2023-03-23T11:00:41.421000+00:00</t>
  </si>
  <si>
    <t>2023-03-23T11:05:33.132000+00:00</t>
  </si>
  <si>
    <t>left_lane3620</t>
  </si>
  <si>
    <t>d091538c-6802-433f-af87-b2047d444f9c</t>
  </si>
  <si>
    <t>2023-03-23T16:19:30.182000+00:00</t>
  </si>
  <si>
    <t>right_3509</t>
  </si>
  <si>
    <t>2023-03-23T17:15:08.554000+00:00</t>
  </si>
  <si>
    <t>2023-03-23T17:25:02.382000+00:00</t>
  </si>
  <si>
    <t>2023-03-23T17:34:55.093000+00:00</t>
  </si>
  <si>
    <t>right_3547</t>
  </si>
  <si>
    <t>2023-03-23T17:40:02.199000+00:00</t>
  </si>
  <si>
    <t>right_3549</t>
  </si>
  <si>
    <t>2023-03-23T17:49:49.902000+00:00</t>
  </si>
  <si>
    <t>2023-03-23T17:54:58.411000+00:00</t>
  </si>
  <si>
    <t>right_3555</t>
  </si>
  <si>
    <t>2023-03-23T18:00:07.345000+00:00</t>
  </si>
  <si>
    <t>right_3557</t>
  </si>
  <si>
    <t>2023-03-23T18:05:10.922000+00:00</t>
  </si>
  <si>
    <t>right_3559</t>
  </si>
  <si>
    <t>2023-03-23T18:10:13.377000+00:00</t>
  </si>
  <si>
    <t>right_3563</t>
  </si>
  <si>
    <t>2023-03-23T18:15:21.857000+00:00</t>
  </si>
  <si>
    <t>right_3565</t>
  </si>
  <si>
    <t>2023-03-23T18:24:56.566000+00:00</t>
  </si>
  <si>
    <t>right_3569</t>
  </si>
  <si>
    <t>2023-03-23T18:30:06.873000+00:00</t>
  </si>
  <si>
    <t>right_3571</t>
  </si>
  <si>
    <t>2023-03-23T18:35:06.472000+00:00</t>
  </si>
  <si>
    <t>2023-03-23T18:45:00.856000+00:00</t>
  </si>
  <si>
    <t>right_3579</t>
  </si>
  <si>
    <t>2023-03-23T18:50:08.773000+00:00</t>
  </si>
  <si>
    <t>right_3581</t>
  </si>
  <si>
    <t>2023-03-23T18:59:45.336000+00:00</t>
  </si>
  <si>
    <t>right_3585</t>
  </si>
  <si>
    <t>2023-03-23T19:04:38.445000+00:00</t>
  </si>
  <si>
    <t>right_3587</t>
  </si>
  <si>
    <t>2023-03-23T19:09:34.342000+00:00</t>
  </si>
  <si>
    <t>2023-03-23T19:14:40.261000+00:00</t>
  </si>
  <si>
    <t>2023-03-23T19:19:52.852000+00:00</t>
  </si>
  <si>
    <t>right_3595</t>
  </si>
  <si>
    <t>2023-03-23T19:24:51.296000+00:00</t>
  </si>
  <si>
    <t>2023-03-23T19:34:42.041000+00:00</t>
  </si>
  <si>
    <t>2023-03-23T19:36:45.514000+00:00</t>
  </si>
  <si>
    <t>2023-03-23T19:41:46.581000+00:00</t>
  </si>
  <si>
    <t>2023-03-23T19:46:41.828000+00:00</t>
  </si>
  <si>
    <t>2023-03-23T19:51:58.079000+00:00</t>
  </si>
  <si>
    <t>2023-03-23T19:57:06.873000+00:00</t>
  </si>
  <si>
    <t>right_3613</t>
  </si>
  <si>
    <t>2023-03-23T20:06:43.067000+00:00</t>
  </si>
  <si>
    <t>right_3617</t>
  </si>
  <si>
    <t>2023-03-23T20:11:52.220000+00:00</t>
  </si>
  <si>
    <t>right_3619</t>
  </si>
  <si>
    <t>2023-03-23T20:16:58.418000+00:00</t>
  </si>
  <si>
    <t>right_3621</t>
  </si>
  <si>
    <t>2023-03-23T20:22:06.300000+00:00</t>
  </si>
  <si>
    <t>right_3623</t>
  </si>
  <si>
    <t>2023-03-23T20:27:07.058000+00:00</t>
  </si>
  <si>
    <t>right_3627</t>
  </si>
  <si>
    <t>2023-03-23T20:29:02.559000+00:00</t>
  </si>
  <si>
    <t>right_3629</t>
  </si>
  <si>
    <t>2023-03-23T20:38:23.958000+00:00</t>
  </si>
  <si>
    <t>2023-03-23T20:43:31.658000+00:00</t>
  </si>
  <si>
    <t>2023-03-23T20:48:40.418000+00:00</t>
  </si>
  <si>
    <t>right_3637</t>
  </si>
  <si>
    <t>2023-03-23T20:53:44.368000+00:00</t>
  </si>
  <si>
    <t>right_3639</t>
  </si>
  <si>
    <t>2023-03-23T20:58:57.072000+00:00</t>
  </si>
  <si>
    <t>right_3643</t>
  </si>
  <si>
    <t>2023-03-23T21:04:05.221000+00:00</t>
  </si>
  <si>
    <t>right_3645</t>
  </si>
  <si>
    <t>2023-03-23T21:13:29.292000+00:00</t>
  </si>
  <si>
    <t>right_3649</t>
  </si>
  <si>
    <t>2023-03-23T21:18:37.138000+00:00</t>
  </si>
  <si>
    <t>2023-03-23T21:23:46.158000+00:00</t>
  </si>
  <si>
    <t>right_3653</t>
  </si>
  <si>
    <t>2023-03-23T21:33:00.476000+00:00</t>
  </si>
  <si>
    <t>2023-03-23T21:38:09.616000+00:00</t>
  </si>
  <si>
    <t>right_3661</t>
  </si>
  <si>
    <t>2023-03-23T21:47:45.938000+00:00</t>
  </si>
  <si>
    <t>right_3665</t>
  </si>
  <si>
    <t>2023-03-23T21:52:41.802000+00:00</t>
  </si>
  <si>
    <t>right_3667</t>
  </si>
  <si>
    <t>2023-03-23T21:57:36.534000+00:00</t>
  </si>
  <si>
    <t>right_3669</t>
  </si>
  <si>
    <t>2023-03-23T22:02:42.273000+00:00</t>
  </si>
  <si>
    <t>right_3671</t>
  </si>
  <si>
    <t>2023-03-23T22:07:42.042000+00:00</t>
  </si>
  <si>
    <t>right_3675</t>
  </si>
  <si>
    <t>2023-03-23T22:09:39.776000+00:00</t>
  </si>
  <si>
    <t>2023-03-23T22:19:06.291000+00:00</t>
  </si>
  <si>
    <t>right_3681</t>
  </si>
  <si>
    <t>2023-03-23T22:24:13.170000+00:00</t>
  </si>
  <si>
    <t>right_3683</t>
  </si>
  <si>
    <t>2023-03-23T22:29:22.473000+00:00</t>
  </si>
  <si>
    <t>right_3685</t>
  </si>
  <si>
    <t>2023-03-23T22:34:27.079000+00:00</t>
  </si>
  <si>
    <t>right_3687</t>
  </si>
  <si>
    <t>2023-03-23T22:39:42.122000+00:00</t>
  </si>
  <si>
    <t>2023-03-23T22:44:36.196000+00:00</t>
  </si>
  <si>
    <t>2023-03-23T22:54:24.018000+00:00</t>
  </si>
  <si>
    <t>right_3697</t>
  </si>
  <si>
    <t>2023-03-23T22:59:30.199000+00:00</t>
  </si>
  <si>
    <t>right_3699</t>
  </si>
  <si>
    <t>2023-03-23T23:04:23.489000+00:00</t>
  </si>
  <si>
    <t>right_3701</t>
  </si>
  <si>
    <t>2023-03-23T23:09:26.416000+00:00</t>
  </si>
  <si>
    <t>right_3703</t>
  </si>
  <si>
    <t>2023-03-23T23:14:26.286000+00:00</t>
  </si>
  <si>
    <t>2023-03-23T23:19:30.796000+00:00</t>
  </si>
  <si>
    <t>2023-03-23T23:29:03.521000+00:00</t>
  </si>
  <si>
    <t>right_3713</t>
  </si>
  <si>
    <t>2023-03-23T23:33:58.103000+00:00</t>
  </si>
  <si>
    <t>right_3715</t>
  </si>
  <si>
    <t>2023-03-23T23:39:02.092000+00:00</t>
  </si>
  <si>
    <t>right_3717</t>
  </si>
  <si>
    <t>2023-03-23T23:44:05.452000+00:00</t>
  </si>
  <si>
    <t>right_3719</t>
  </si>
  <si>
    <t>2023-03-23T23:49:02.859000+00:00</t>
  </si>
  <si>
    <t>right_3723</t>
  </si>
  <si>
    <t>2023-03-23T23:53:54.076000+00:00</t>
  </si>
  <si>
    <t>2023-03-24T00:03:39.614000+00:00</t>
  </si>
  <si>
    <t>right_3729</t>
  </si>
  <si>
    <t>2023-03-24T00:08:43.954000+00:00</t>
  </si>
  <si>
    <t>2023-03-24T00:13:47.493000+00:00</t>
  </si>
  <si>
    <t>right_3733</t>
  </si>
  <si>
    <t>2023-03-24T00:23:26.408000+00:00</t>
  </si>
  <si>
    <t>right_3739</t>
  </si>
  <si>
    <t>2023-03-24T00:28:30.825000+00:00</t>
  </si>
  <si>
    <t>right_3741</t>
  </si>
  <si>
    <t>2023-03-24T00:38:05.029000+00:00</t>
  </si>
  <si>
    <t>right_3745</t>
  </si>
  <si>
    <t>2023-03-24T00:40:07.576000+00:00</t>
  </si>
  <si>
    <t>2023-03-24T00:44:50.672000+00:00</t>
  </si>
  <si>
    <t>2023-03-24T00:49:52.110000+00:00</t>
  </si>
  <si>
    <t>right_3751</t>
  </si>
  <si>
    <t>2023-03-24T00:55:03.453000+00:00</t>
  </si>
  <si>
    <t>right_3755</t>
  </si>
  <si>
    <t>2023-03-24T01:00:07.585000+00:00</t>
  </si>
  <si>
    <t>2023-03-24T01:09:27.123000+00:00</t>
  </si>
  <si>
    <t>2023-03-24T01:14:19.909000+00:00</t>
  </si>
  <si>
    <t>right_3763</t>
  </si>
  <si>
    <t>2023-03-24T01:19:23.501000+00:00</t>
  </si>
  <si>
    <t>right_3765</t>
  </si>
  <si>
    <t>2023-03-24T01:24:25.813000+00:00</t>
  </si>
  <si>
    <t>right_3767</t>
  </si>
  <si>
    <t>2023-03-24T01:29:33.877000+00:00</t>
  </si>
  <si>
    <t>right_3771</t>
  </si>
  <si>
    <t>2023-03-24T01:34:23.144000+00:00</t>
  </si>
  <si>
    <t>right_3773</t>
  </si>
  <si>
    <t>2023-03-24T01:44:04.276000+00:00</t>
  </si>
  <si>
    <t>right_3777</t>
  </si>
  <si>
    <t>2023-03-24T01:48:53.388000+00:00</t>
  </si>
  <si>
    <t>right_3779</t>
  </si>
  <si>
    <t>2023-03-24T01:53:57.133000+00:00</t>
  </si>
  <si>
    <t>right_3781</t>
  </si>
  <si>
    <t>2023-03-24T01:58:45.866000+00:00</t>
  </si>
  <si>
    <t>right_3783</t>
  </si>
  <si>
    <t>2023-03-24T02:03:53.288000+00:00</t>
  </si>
  <si>
    <t>right_3787</t>
  </si>
  <si>
    <t>2023-03-24T02:08:42.482000+00:00</t>
  </si>
  <si>
    <t>right_3789</t>
  </si>
  <si>
    <t>2023-03-24T02:18:16.221000+00:00</t>
  </si>
  <si>
    <t>right_3793</t>
  </si>
  <si>
    <t>2023-03-24T02:23:04.226000+00:00</t>
  </si>
  <si>
    <t>right_3795</t>
  </si>
  <si>
    <t>2023-03-24T02:28:04.306000+00:00</t>
  </si>
  <si>
    <t>right_3797</t>
  </si>
  <si>
    <t>2023-03-24T02:33:02.678000+00:00</t>
  </si>
  <si>
    <t>2023-03-24T02:38:09.345000+00:00</t>
  </si>
  <si>
    <t>right_3803</t>
  </si>
  <si>
    <t>2023-03-24T02:43:12.748000+00:00</t>
  </si>
  <si>
    <t>right_3805</t>
  </si>
  <si>
    <t>2023-03-24T02:52:39.005000+00:00</t>
  </si>
  <si>
    <t>right_3809</t>
  </si>
  <si>
    <t>2023-03-24T02:57:41.263000+00:00</t>
  </si>
  <si>
    <t>2023-03-24T03:02:41.798000+00:00</t>
  </si>
  <si>
    <t>right_3813</t>
  </si>
  <si>
    <t>2023-03-24T03:07:27.638000+00:00</t>
  </si>
  <si>
    <t>right_3815</t>
  </si>
  <si>
    <t>2023-03-24T03:12:33.352000+00:00</t>
  </si>
  <si>
    <t>right_3819</t>
  </si>
  <si>
    <t>2023-03-24T03:17:20.841000+00:00</t>
  </si>
  <si>
    <t>right_3821</t>
  </si>
  <si>
    <t>2023-03-24T03:22:17.772000+00:00</t>
  </si>
  <si>
    <t>right_3823</t>
  </si>
  <si>
    <t>2023-03-24T03:27:04.539000+00:00</t>
  </si>
  <si>
    <t>right_3825</t>
  </si>
  <si>
    <t>2023-03-24T03:32:03.449000+00:00</t>
  </si>
  <si>
    <t>2023-03-24T03:37:00.891000+00:00</t>
  </si>
  <si>
    <t>2023-03-24T03:42:18.985000+00:00</t>
  </si>
  <si>
    <t>44591bcc-cfc3-4f2d-a374-4a285f003222</t>
  </si>
  <si>
    <t>7a28e75e-0a7f-49a0-bae4-cb07f2c27795</t>
  </si>
  <si>
    <t>2023-03-24T18:30:04.906000+00:00</t>
  </si>
  <si>
    <t>1de7fa91-c980-48c2-88cc-6f5e91c1c07b</t>
  </si>
  <si>
    <t>slip: error code 0x1060007 is not supported; inductive: error code 0x1060007 is not supported</t>
  </si>
  <si>
    <t>2023-03-24T19:50:25.545000+00:00</t>
  </si>
  <si>
    <t>right_3103</t>
  </si>
  <si>
    <t>0x01060007</t>
  </si>
  <si>
    <t>7bea4189-c390-4c89-a8aa-389d3ff768c1</t>
  </si>
  <si>
    <t>2023-03-25T07:47:39.664000+00:00</t>
  </si>
  <si>
    <t>5b7367d9-b2a7-4581-9788-0c6770cc77de</t>
  </si>
  <si>
    <t>94436e79-9ec7-4246-945b-82b7aa2a3d06</t>
  </si>
  <si>
    <t>2023-03-25T19:13:31.710000+00:00</t>
  </si>
  <si>
    <t>right_3181</t>
  </si>
  <si>
    <t>72482e73-cd61-420d-8306-5abca2ec7c6b</t>
  </si>
  <si>
    <t>2023-03-25T20:53:00.009000+00:00</t>
  </si>
  <si>
    <t>right_block_13_lane_5</t>
  </si>
  <si>
    <t>right_block_12_lane_7</t>
  </si>
  <si>
    <t>right_block_12_lane_4</t>
  </si>
  <si>
    <t>right_block_12_lane_1</t>
  </si>
  <si>
    <t>right_block_11_lane_1</t>
  </si>
  <si>
    <t>right_block_10_lane_6</t>
  </si>
  <si>
    <t>right_block_10_lane_5</t>
  </si>
  <si>
    <t>right_block_10_lane_3</t>
  </si>
  <si>
    <t>right_block_10_lane_2</t>
  </si>
  <si>
    <t>right_block_9_lane_6</t>
  </si>
  <si>
    <t>right_block_9_lane_5</t>
  </si>
  <si>
    <t>right_block_9_lane_4</t>
  </si>
  <si>
    <t>eb425a3f-c780-49d4-bd33-b9de8ff206b8</t>
  </si>
  <si>
    <t>2023-03-25T20:55:27.317000+00:00</t>
  </si>
  <si>
    <t>29b75944-ed98-4a7c-98b9-3056713872d8</t>
  </si>
  <si>
    <t>2023-03-25T21:03:31.324000+00:00</t>
  </si>
  <si>
    <t>right_block_21_lane_5</t>
  </si>
  <si>
    <t>6fc9a762-0eca-40a5-bf8e-4244880d8092</t>
  </si>
  <si>
    <t>2023-03-25T21:11:34.159000+00:00</t>
  </si>
  <si>
    <t>right_block_21_lane_4</t>
  </si>
  <si>
    <t>366e5f2e-d9db-4e99-9074-631df7b5d655</t>
  </si>
  <si>
    <t>2023-03-25T21:19:47.627000+00:00</t>
  </si>
  <si>
    <t>right_block_21_lane_3</t>
  </si>
  <si>
    <t>cdcff032-f9da-415d-8083-8d53b76719f9</t>
  </si>
  <si>
    <t>2023-03-25T21:27:50.270000+00:00</t>
  </si>
  <si>
    <t>28388b33-c214-4fc6-aaf9-0a411aecb0b4</t>
  </si>
  <si>
    <t>2023-03-25T21:35:56.386000+00:00</t>
  </si>
  <si>
    <t>de12abdb-8898-4d25-bcc0-d8752b336713</t>
  </si>
  <si>
    <t>2023-03-25T21:44:09.860000+00:00</t>
  </si>
  <si>
    <t>fcbc2506-8b07-4e7f-a357-c14f9ded3be9</t>
  </si>
  <si>
    <t>2023-03-25T21:52:11.533000+00:00</t>
  </si>
  <si>
    <t>right_block_20_lane_6</t>
  </si>
  <si>
    <t>303d0e21-b754-4b5d-93e1-63b602ca8616</t>
  </si>
  <si>
    <t>2023-03-25T22:00:14.661000+00:00</t>
  </si>
  <si>
    <t>right_block_20_lane_5</t>
  </si>
  <si>
    <t>6f829d68-e44f-43da-bc0b-ddc3454fa552</t>
  </si>
  <si>
    <t>2023-03-25T22:08:18.975000+00:00</t>
  </si>
  <si>
    <t>right_block_20_lane_4</t>
  </si>
  <si>
    <t>a19420e0-6cfd-42ea-839e-3ca359f7cf03</t>
  </si>
  <si>
    <t>2023-03-25T22:16:23.159000+00:00</t>
  </si>
  <si>
    <t>right_block_20_lane_3</t>
  </si>
  <si>
    <t>2683b6d9-2898-49da-a091-7768b92ce253</t>
  </si>
  <si>
    <t>2023-03-25T22:24:25.195000+00:00</t>
  </si>
  <si>
    <t>8bfb3707-4adb-4edd-ac38-f9efa0177a76</t>
  </si>
  <si>
    <t>2023-03-25T22:32:27.945000+00:00</t>
  </si>
  <si>
    <t>right_block_20_lane_1</t>
  </si>
  <si>
    <t>397b3c9a-c089-461e-8897-a4c40d4912d4</t>
  </si>
  <si>
    <t>2023-03-25T22:40:38.126000+00:00</t>
  </si>
  <si>
    <t>right_block_19_lane_7</t>
  </si>
  <si>
    <t>e34943a8-84c5-4874-9780-25f9324b4bc6</t>
  </si>
  <si>
    <t>2023-03-25T22:48:43.066000+00:00</t>
  </si>
  <si>
    <t>right_block_19_lane_6</t>
  </si>
  <si>
    <t>0640df65-3ee7-4f5d-a890-11fa240f00fc</t>
  </si>
  <si>
    <t>2023-03-25T22:56:48.890000+00:00</t>
  </si>
  <si>
    <t>right_block_19_lane_5</t>
  </si>
  <si>
    <t>cdb2f608-7aa8-4cdd-9a7f-a3f376e61bc0</t>
  </si>
  <si>
    <t>2023-03-25T23:04:51.162000+00:00</t>
  </si>
  <si>
    <t>right_block_19_lane_4</t>
  </si>
  <si>
    <t>df48f3dc-b791-439c-b357-895b2a6c97f9</t>
  </si>
  <si>
    <t>2023-03-25T23:12:53.541000+00:00</t>
  </si>
  <si>
    <t>right_block_19_lane_3</t>
  </si>
  <si>
    <t>dcfa3805-94aa-408b-b695-2d4c0908b30e</t>
  </si>
  <si>
    <t>2023-03-25T23:20:55.435000+00:00</t>
  </si>
  <si>
    <t>right_block_19_lane_2</t>
  </si>
  <si>
    <t>d616dacc-1917-4fca-816b-8ac63ac4fe3a</t>
  </si>
  <si>
    <t>2023-03-25T23:29:00.431000+00:00</t>
  </si>
  <si>
    <t>right_block_19_lane_1</t>
  </si>
  <si>
    <t>10a03c28-605c-4cd0-b1df-1e19ff44cc02</t>
  </si>
  <si>
    <t>2023-03-25T23:37:11.343000+00:00</t>
  </si>
  <si>
    <t>right_block_18_lane_7</t>
  </si>
  <si>
    <t>35b42c08-816e-4fb2-96d5-e74520f00439</t>
  </si>
  <si>
    <t>2023-03-25T23:45:15.105000+00:00</t>
  </si>
  <si>
    <t>right_block_18_lane_6</t>
  </si>
  <si>
    <t>274e9815-cca9-4305-a371-3e610d5f5f7c</t>
  </si>
  <si>
    <t>2023-03-25T23:53:16.467000+00:00</t>
  </si>
  <si>
    <t>right_block_18_lane_5</t>
  </si>
  <si>
    <t>e1c4e68d-fa61-4f4b-8da4-bcbc201a6ee2</t>
  </si>
  <si>
    <t>2023-03-26T00:01:22.678000+00:00</t>
  </si>
  <si>
    <t>right_block_18_lane_4</t>
  </si>
  <si>
    <t>b7d79a6b-d45b-4b01-8229-e842e6452d15</t>
  </si>
  <si>
    <t>2023-03-26T00:09:35.064000+00:00</t>
  </si>
  <si>
    <t>right_block_18_lane_3</t>
  </si>
  <si>
    <t>1512d21d-e1aa-4828-843b-b1cf7af567b5</t>
  </si>
  <si>
    <t>2023-03-26T00:17:38.092000+00:00</t>
  </si>
  <si>
    <t>30eebcca-96e0-48d9-8cb0-456b6bddffbf</t>
  </si>
  <si>
    <t>2023-03-26T00:25:42.152000+00:00</t>
  </si>
  <si>
    <t>a304e7b7-5d08-45ac-8b58-67b3ab58e8f5</t>
  </si>
  <si>
    <t>2023-03-26T00:33:49.025000+00:00</t>
  </si>
  <si>
    <t>right_block_17_lane_7</t>
  </si>
  <si>
    <t>a40032a6-9d07-4b60-9672-bc27c851de14</t>
  </si>
  <si>
    <t>2023-03-26T00:41:53.375000+00:00</t>
  </si>
  <si>
    <t>6d7811cf-d562-4dea-9221-6f2afe7da2d6</t>
  </si>
  <si>
    <t>2023-03-26T00:49:56.370000+00:00</t>
  </si>
  <si>
    <t>right_block_17_lane_5</t>
  </si>
  <si>
    <t>28bb39a6-610c-47dd-a057-78edaa9415ad</t>
  </si>
  <si>
    <t>2023-03-26T00:57:58.944000+00:00</t>
  </si>
  <si>
    <t>right_block_17_lane_4</t>
  </si>
  <si>
    <t>96ceed52-de36-4e37-ae29-434bd0380118</t>
  </si>
  <si>
    <t>2023-03-26T01:06:02.029000+00:00</t>
  </si>
  <si>
    <t>right_block_17_lane_3</t>
  </si>
  <si>
    <t>d88bef20-8051-4723-a238-b87d6829f07d</t>
  </si>
  <si>
    <t>2023-03-26T01:14:02.990000+00:00</t>
  </si>
  <si>
    <t>2ee9c506-425d-4686-ba83-86845ed5aee8</t>
  </si>
  <si>
    <t>2023-03-26T01:22:00.329000+00:00</t>
  </si>
  <si>
    <t>right_block_17_lane_1</t>
  </si>
  <si>
    <t>5a62258f-ff2f-456f-a8b1-82100a99feb8</t>
  </si>
  <si>
    <t>2023-03-26T01:30:11.033000+00:00</t>
  </si>
  <si>
    <t>right_block_16_lane_7</t>
  </si>
  <si>
    <t>ff1138e0-9e24-4c66-8494-42979f18aa03</t>
  </si>
  <si>
    <t>2023-03-26T01:38:13.809000+00:00</t>
  </si>
  <si>
    <t>right_block_16_lane_6</t>
  </si>
  <si>
    <t>228054bd-e939-4687-a5dd-f2f553aa5904</t>
  </si>
  <si>
    <t>2023-03-26T01:46:14.811000+00:00</t>
  </si>
  <si>
    <t>right_block_16_lane_5</t>
  </si>
  <si>
    <t>eaa4309b-71bc-4aae-8506-daf791c4bd7e</t>
  </si>
  <si>
    <t>2023-03-26T01:54:27.735000+00:00</t>
  </si>
  <si>
    <t>right_block_16_lane_4</t>
  </si>
  <si>
    <t>651ac244-dcc7-4b21-b4c3-58e445aa27b1</t>
  </si>
  <si>
    <t>2023-03-26T02:02:30.007000+00:00</t>
  </si>
  <si>
    <t>right_block_16_lane_3</t>
  </si>
  <si>
    <t>54ce9bfa-49e0-4a57-b6dd-9de17c16ae56</t>
  </si>
  <si>
    <t>2023-03-26T02:10:31.894000+00:00</t>
  </si>
  <si>
    <t>774b7d98-6a36-43a9-be76-cf6665b18f98</t>
  </si>
  <si>
    <t>2023-03-26T02:18:33.789000+00:00</t>
  </si>
  <si>
    <t>4a85b8eb-39bd-461e-8f2c-7c293e12fafe</t>
  </si>
  <si>
    <t>2023-03-26T02:26:45.777000+00:00</t>
  </si>
  <si>
    <t>right_block_15_lane_7</t>
  </si>
  <si>
    <t>577b520f-3b25-48df-8bf8-4f325a844345</t>
  </si>
  <si>
    <t>2023-03-26T02:34:49.154000+00:00</t>
  </si>
  <si>
    <t>right_block_15_lane_6</t>
  </si>
  <si>
    <t>cef6e8fb-eb42-4942-8a89-2e0a62ad0505</t>
  </si>
  <si>
    <t>2023-03-26T02:42:51.426000+00:00</t>
  </si>
  <si>
    <t>right_block_15_lane_5</t>
  </si>
  <si>
    <t>3332e04b-5167-48bd-bfdd-e711f8acbe79</t>
  </si>
  <si>
    <t>2023-03-26T02:50:49.355000+00:00</t>
  </si>
  <si>
    <t>right_block_15_lane_4</t>
  </si>
  <si>
    <t>ae9234b4-f587-4894-99b3-22b4ba6c91e3</t>
  </si>
  <si>
    <t>2023-03-26T02:58:51.998000+00:00</t>
  </si>
  <si>
    <t>right_block_15_lane_3</t>
  </si>
  <si>
    <t>7a08f760-7168-40fb-a888-18b583b97d54</t>
  </si>
  <si>
    <t>2023-03-26T03:06:52.831000+00:00</t>
  </si>
  <si>
    <t>right_block_15_lane_2</t>
  </si>
  <si>
    <t>eeab035f-cd79-4891-9c8c-db523b5f68f2</t>
  </si>
  <si>
    <t>2023-03-26T03:14:55.591000+00:00</t>
  </si>
  <si>
    <t>right_block_15_lane_1</t>
  </si>
  <si>
    <t>9cd58d85-ed93-4e64-8177-572788a8609f</t>
  </si>
  <si>
    <t>2023-03-26T03:23:05.600000+00:00</t>
  </si>
  <si>
    <t>fe3bf169-d82a-4354-9916-4c84bd85bf96</t>
  </si>
  <si>
    <t>2023-03-26T03:31:07.510000+00:00</t>
  </si>
  <si>
    <t>b6edecc0-01e8-4202-adb7-a6205185d935</t>
  </si>
  <si>
    <t>2023-03-26T03:39:19.997000+00:00</t>
  </si>
  <si>
    <t>right_block_14_lane_5</t>
  </si>
  <si>
    <t>ae0eec25-7e2e-4855-867f-14e8412e5f4f</t>
  </si>
  <si>
    <t>2023-03-26T03:47:22.806000+00:00</t>
  </si>
  <si>
    <t>6177cd63-e8da-423d-8121-af3109b46fd8</t>
  </si>
  <si>
    <t>2023-03-26T04:03:20.097000+00:00</t>
  </si>
  <si>
    <t>4554f44b-8ed5-4a11-9b46-a1df7e4a3137</t>
  </si>
  <si>
    <t>2023-03-26T04:11:23.234000+00:00</t>
  </si>
  <si>
    <t>d63387e0-ec05-4798-8bca-54af315ca92e</t>
  </si>
  <si>
    <t>2023-03-26T04:19:31.751000+00:00</t>
  </si>
  <si>
    <t>right_block_13_lane_7</t>
  </si>
  <si>
    <t>88e191fa-e62f-46d2-a128-323bbb36a3ed</t>
  </si>
  <si>
    <t>2023-03-26T04:27:35.175000+00:00</t>
  </si>
  <si>
    <t>right_block_13_lane_6</t>
  </si>
  <si>
    <t>c74b00c2-93eb-4419-9843-0b618e3766d1</t>
  </si>
  <si>
    <t>2023-03-26T04:51:37.859000+00:00</t>
  </si>
  <si>
    <t>right_block_13_lane_3</t>
  </si>
  <si>
    <t>0824b4ca-7d95-4817-8abe-450381786ca3</t>
  </si>
  <si>
    <t>2023-03-26T05:07:41.814000+00:00</t>
  </si>
  <si>
    <t>right_block_13_lane_2</t>
  </si>
  <si>
    <t>right_block_13_lane_1</t>
  </si>
  <si>
    <t>31fd5e06-7acb-4409-9ee3-7ccecebe487e</t>
  </si>
  <si>
    <t>2023-03-26T05:23:51.552000+00:00</t>
  </si>
  <si>
    <t>2023-03-26T05:47:23.226000+00:00</t>
  </si>
  <si>
    <t>right_block_12_lane_3</t>
  </si>
  <si>
    <t>2023-03-26T05:55:24.905000+00:00</t>
  </si>
  <si>
    <t>right_block_12_lane_2</t>
  </si>
  <si>
    <t>4312f5fa-852e-4287-ad2f-58111542fee4</t>
  </si>
  <si>
    <t>2023-03-26T06:20:08.718000+00:00</t>
  </si>
  <si>
    <t>right_block_11_lane_6</t>
  </si>
  <si>
    <t>9d5810e8-cfb3-4db0-a5df-908c5536a053</t>
  </si>
  <si>
    <t>2023-03-26T06:36:20.994000+00:00</t>
  </si>
  <si>
    <t>4337c0c5-301c-4a4b-847b-7f7f3873da6d</t>
  </si>
  <si>
    <t>2023-03-26T07:32:27.097000+00:00</t>
  </si>
  <si>
    <t>right_block_10_lane_4</t>
  </si>
  <si>
    <t>eee0b618-09dc-4905-994f-7ee3e6ba7933</t>
  </si>
  <si>
    <t>2023-03-26T07:56:21.142000+00:00</t>
  </si>
  <si>
    <t>f6ae0a35-26a5-4667-aee1-55b9edca67d1</t>
  </si>
  <si>
    <t>2023-03-26T08:04:29.370000+00:00</t>
  </si>
  <si>
    <t>right_block_9_lane_7</t>
  </si>
  <si>
    <t>8850312c-f797-4d5e-84de-33b09f1048c5</t>
  </si>
  <si>
    <t>2023-03-26T08:36:35.115000+00:00</t>
  </si>
  <si>
    <t>right_block_9_lane_3</t>
  </si>
  <si>
    <t>5845f120-174c-42e6-bb95-62011819c58d</t>
  </si>
  <si>
    <t>2023-03-26T08:44:35.358000+00:00</t>
  </si>
  <si>
    <t>f1b98838-55d6-4408-b9c9-482f85feef52</t>
  </si>
  <si>
    <t>2023-03-26T08:52:31.885000+00:00</t>
  </si>
  <si>
    <t>right_block_9_lane_1</t>
  </si>
  <si>
    <t>3a8d99d4-6e2c-4517-8d5d-ec17478add76</t>
  </si>
  <si>
    <t>2023-03-26T09:00:42.090000+00:00</t>
  </si>
  <si>
    <t>right_block_8_lane_7</t>
  </si>
  <si>
    <t>d413817b-db5c-4019-bc2e-2cc9643da72e</t>
  </si>
  <si>
    <t>2023-03-26T09:08:35.380000+00:00</t>
  </si>
  <si>
    <t>89688c3d-8c94-41d5-a3f5-6b85b4be196e</t>
  </si>
  <si>
    <t>2023-03-26T09:16:33.128000+00:00</t>
  </si>
  <si>
    <t>right_block_8_lane_5</t>
  </si>
  <si>
    <t>d794f445-fddb-477e-baf8-2b10167b4cba</t>
  </si>
  <si>
    <t>2023-03-26T09:24:31.606000+00:00</t>
  </si>
  <si>
    <t>right_block_8_lane_4</t>
  </si>
  <si>
    <t>c908fff9-d42a-4041-97a3-818c76410083</t>
  </si>
  <si>
    <t>2023-03-26T09:32:28.428000+00:00</t>
  </si>
  <si>
    <t>right_block_8_lane_3</t>
  </si>
  <si>
    <t>9e6fbfd8-6cbf-4142-b994-ac897b035b01</t>
  </si>
  <si>
    <t>2023-03-26T09:40:25.787000+00:00</t>
  </si>
  <si>
    <t>ee8271cf-62e1-465d-b8be-2ff1c1ab11dd</t>
  </si>
  <si>
    <t>2023-03-26T09:48:25.365000+00:00</t>
  </si>
  <si>
    <t>83b435a0-abf2-4a98-ab26-dcf3f2fb9e4d</t>
  </si>
  <si>
    <t>2023-03-26T09:56:32.246000+00:00</t>
  </si>
  <si>
    <t>right_block_7_lane_7</t>
  </si>
  <si>
    <t>76592990-9548-4a01-b65a-c659eef8135c</t>
  </si>
  <si>
    <t>2023-03-26T10:04:31.304000+00:00</t>
  </si>
  <si>
    <t>65d0244b-a0e1-4b24-92ca-5eb34da30190</t>
  </si>
  <si>
    <t>slip: not at least one job is completed; inductive: error code 0x1060007 is not supported</t>
  </si>
  <si>
    <t>2023-03-26T16:04:14.443000+00:00</t>
  </si>
  <si>
    <t>right_3405</t>
  </si>
  <si>
    <t>036c159c-26ed-480c-bea4-efd8c87419b4</t>
  </si>
  <si>
    <t>2023-03-26T18:47:26.808000+00:00</t>
  </si>
  <si>
    <t>right_3345</t>
  </si>
  <si>
    <t>slip: not at least one job is completed; inductive: error code 0x106000b is not supported</t>
  </si>
  <si>
    <t>2023-03-26T21:16:46.658000+00:00</t>
  </si>
  <si>
    <t>1da391c8-2312-4c51-8927-3e924751788e</t>
  </si>
  <si>
    <t>2023-03-26T22:58:18.393000+00:00</t>
  </si>
  <si>
    <t>right_3303</t>
  </si>
  <si>
    <t>cd923b6b-0854-4452-be79-393a7abe75f5</t>
  </si>
  <si>
    <t>5e6484be-1c9c-4c6f-8bb9-92c9d8bd32e9</t>
  </si>
  <si>
    <t>2023-03-27T15:28:35.146000+00:00</t>
  </si>
  <si>
    <t>24a7c73d-642d-4b68-9d62-3c024c4e3136</t>
  </si>
  <si>
    <t>2023-03-27T22:46:41.535000+00:00</t>
  </si>
  <si>
    <t>b99517b0-f0a8-4fb2-96e5-6542e1d7d0b7</t>
  </si>
  <si>
    <t>2023-03-28T04:34:03.663000+00:00</t>
  </si>
  <si>
    <t>2b584b16-4009-4437-a541-ad5b17b00cff</t>
  </si>
  <si>
    <t>2023-03-28T05:11:03.243000+00:00</t>
  </si>
  <si>
    <t>right_block_5_lane_6</t>
  </si>
  <si>
    <t>07b5e98f-13be-46a4-893d-0611ee6f2945</t>
  </si>
  <si>
    <t>9b9af46d-e96f-4e78-a31e-2b33d3a9c549</t>
  </si>
  <si>
    <t>2023-03-28T07:52:37.015000+00:00</t>
  </si>
  <si>
    <t>aff579a8-b803-4c58-80f0-bfed45bda63c</t>
  </si>
  <si>
    <t>9715d22d-d6f5-478b-859f-eeda2957ea01</t>
  </si>
  <si>
    <t>2023-03-28T16:29:32.068000+00:00</t>
  </si>
  <si>
    <t>left_block_21_lane_6</t>
  </si>
  <si>
    <t>de6e9e3e-bcaf-4b79-a754-1990e06c3b9c</t>
  </si>
  <si>
    <t>2023-03-28T16:51:51.588000+00:00</t>
  </si>
  <si>
    <t>left_block_21_lane_2</t>
  </si>
  <si>
    <t>2afdc5b3-3c4d-462e-a33a-30d42610b19c</t>
  </si>
  <si>
    <t>2023-03-28T17:00:09.091000+00:00</t>
  </si>
  <si>
    <t>left_block_21_lane_1</t>
  </si>
  <si>
    <t>e82052a5-6e19-4f22-8306-a335f2a62664</t>
  </si>
  <si>
    <t>2023-03-28T17:13:11.749000+00:00</t>
  </si>
  <si>
    <t>left_block_20_lane_6</t>
  </si>
  <si>
    <t>3e20da07-927c-4d7a-bfdb-9c4101be0368</t>
  </si>
  <si>
    <t>2023-03-28T18:30:36.728000+00:00</t>
  </si>
  <si>
    <t>9d4c0a0a-1a8d-4c4f-911e-24cf484a3afe</t>
  </si>
  <si>
    <t>2023-03-28T18:33:46.069000+00:00</t>
  </si>
  <si>
    <t>21880e18-d8bf-4557-ae37-452a0dff616b</t>
  </si>
  <si>
    <t>2023-03-28T19:29:23.969000+00:00</t>
  </si>
  <si>
    <t>left_block_16_lane_6</t>
  </si>
  <si>
    <t>89403e6f-4c8d-4c83-9c3a-2aebc8e79d8d</t>
  </si>
  <si>
    <t>2023-03-28T19:52:00.513000+00:00</t>
  </si>
  <si>
    <t>left_block_16_lane_1</t>
  </si>
  <si>
    <t>a05e9f2e-1a11-48d2-83f0-87c3fab8973c</t>
  </si>
  <si>
    <t>2023-03-28T20:32:25.249000+00:00</t>
  </si>
  <si>
    <t>left_block_15_lane_2</t>
  </si>
  <si>
    <t>4dfdf824-5242-4356-8c5c-d4b3476c03a5</t>
  </si>
  <si>
    <t>2023-03-28T20:40:42.486000+00:00</t>
  </si>
  <si>
    <t>87905fdd-754e-4315-a2ed-5e70eb74ceb6</t>
  </si>
  <si>
    <t>2023-03-28T21:17:45.203000+00:00</t>
  </si>
  <si>
    <t>b531300f-fe18-40f6-8592-20cb16c5ad41</t>
  </si>
  <si>
    <t>2023-03-28T21:54:53.838000+00:00</t>
  </si>
  <si>
    <t>left_block_13_lane_1</t>
  </si>
  <si>
    <t>bfb78278-0a2b-44e3-8078-ad23994dcade</t>
  </si>
  <si>
    <t>2023-03-28T22:15:52.009000+00:00</t>
  </si>
  <si>
    <t>10cef35e-e8f2-4f38-b207-318480c482d4</t>
  </si>
  <si>
    <t>2023-03-28T22:23:39.888000+00:00</t>
  </si>
  <si>
    <t>left_block_12_lane_2</t>
  </si>
  <si>
    <t>aa95a84b-2f1d-47aa-87ed-e0140ab7a573</t>
  </si>
  <si>
    <t>2023-03-28T22:59:59.059000+00:00</t>
  </si>
  <si>
    <t>1271fa90-77f1-4d26-8ade-3163677a1067</t>
  </si>
  <si>
    <t>2023-03-28T23:08:10.823000+00:00</t>
  </si>
  <si>
    <t>116c7b1f-2ee9-4325-bdde-141a8ee2288d</t>
  </si>
  <si>
    <t>2023-03-28T23:16:32.628000+00:00</t>
  </si>
  <si>
    <t>22bb26ca-2c5d-4cda-9437-90c047f1c697</t>
  </si>
  <si>
    <t>2023-03-28T23:48:26.325000+00:00</t>
  </si>
  <si>
    <t>a2c14857-fe90-48fc-b151-3d9a3e92bc14</t>
  </si>
  <si>
    <t>2023-03-29T00:19:50.198000+00:00</t>
  </si>
  <si>
    <t>7389745e-7a65-4293-88c1-74edd37b8558</t>
  </si>
  <si>
    <t>2023-03-29T00:32:54.819000+00:00</t>
  </si>
  <si>
    <t>793b2993-98b5-4db8-8191-f61cfd8799d7</t>
  </si>
  <si>
    <t>2023-03-29T01:00:00.151000+00:00</t>
  </si>
  <si>
    <t>4b2b98f6-425f-49fb-a04d-6e41d2c5b01a</t>
  </si>
  <si>
    <t>2023-03-29T01:17:53.694000+00:00</t>
  </si>
  <si>
    <t>93fc1b66-0eca-49cc-b43c-db668e8e9d5c</t>
  </si>
  <si>
    <t>2023-03-29T01:40:11.877000+00:00</t>
  </si>
  <si>
    <t>left_block_7_lane_2</t>
  </si>
  <si>
    <t>b2d5b11b-d563-4e58-89fd-b532e681ccaa</t>
  </si>
  <si>
    <t>2023-03-29T01:53:00.432000+00:00</t>
  </si>
  <si>
    <t>2a7d617c-5774-4427-9fff-62249fa5dfa9</t>
  </si>
  <si>
    <t>47cb422d-5359-4a17-a36a-80282d5970ef</t>
  </si>
  <si>
    <t>2023-03-28T18:12:41.095000+00:00</t>
  </si>
  <si>
    <t>waiting - 19895.0</t>
  </si>
  <si>
    <t>fcde685f-9abd-4fd1-9954-652d2a1b8123</t>
  </si>
  <si>
    <t>8d7f7bf0-5446-4ce6-8ddb-27eddff7a084</t>
  </si>
  <si>
    <t>2023-03-27T20:05:39.012000+00:00</t>
  </si>
  <si>
    <t>section3</t>
  </si>
  <si>
    <t>511cbec2-a837-4127-8a30-907f471ca5e4</t>
  </si>
  <si>
    <t>2023-03-28T02:42:47.927000+00:00</t>
  </si>
  <si>
    <t>50306d38-602c-4bec-bcd0-20b6b81e1102</t>
  </si>
  <si>
    <t>e1fc5938-f131-4faa-bc3e-aa10acc97279</t>
  </si>
  <si>
    <t>2023-03-26T19:25:40.220000+00:00</t>
  </si>
  <si>
    <t>a8712757-7473-4ac1-9f09-91fc0c2d0e15</t>
  </si>
  <si>
    <t>2023-03-26T19:34:45.459000+00:00</t>
  </si>
  <si>
    <t>right_block15_lane5</t>
  </si>
  <si>
    <t>dfbec2ac-ae73-42c9-ba63-afa16e968ff2</t>
  </si>
  <si>
    <t>2023-03-26T20:34:26.812000+00:00</t>
  </si>
  <si>
    <t>right_block17_lane6</t>
  </si>
  <si>
    <t>2023-03-27T00:43:58.680000+00:00</t>
  </si>
  <si>
    <t>c9f354ee-dc90-4003-abf4-2b5f4b630e2d</t>
  </si>
  <si>
    <t>126950c2-124d-4bad-82af-b4811ebafdfe</t>
  </si>
  <si>
    <t>2023-03-24T20:36:15.476000+00:00</t>
  </si>
  <si>
    <t>left_block29_lane3</t>
  </si>
  <si>
    <t>a1819627-dc10-41d3-bcbe-ea83276a32e7</t>
  </si>
  <si>
    <t>2023-03-24T20:40:13.388000+00:00</t>
  </si>
  <si>
    <t>43816322-3a28-48db-95a9-f82dcbef4eee</t>
  </si>
  <si>
    <t>2023-03-24T21:48:09.093000+00:00</t>
  </si>
  <si>
    <t>left_block31_lane8</t>
  </si>
  <si>
    <t>2023-03-25T01:30:54.872000+00:00</t>
  </si>
  <si>
    <t>0fd1e4de-c8ac-44e9-a533-4f3fcf53ca66</t>
  </si>
  <si>
    <t>96994c55-61e3-42b5-b83e-28f425dd127e</t>
  </si>
  <si>
    <t>2023-03-21T20:32:57.410000+00:00</t>
  </si>
  <si>
    <t>e28b154e-01d9-45b6-ba52-93be2968f72b</t>
  </si>
  <si>
    <t>2023-03-21T21:57:32.269000+00:00</t>
  </si>
  <si>
    <t>8ce08fa5-135c-4a90-b68d-59437fd92fb7</t>
  </si>
  <si>
    <t>2023-03-21T22:35:46.573000+00:00</t>
  </si>
  <si>
    <t>92e3d006-9e86-4410-9183-2ab91c7bca4d</t>
  </si>
  <si>
    <t>2023-03-21T23:19:52.050000+00:00</t>
  </si>
  <si>
    <t>left_block8_lane4</t>
  </si>
  <si>
    <t>b6774ece-8f3f-4612-91f2-56f6fbe3586f</t>
  </si>
  <si>
    <t>49b884e6-9ec9-4b22-b725-94f970d18d6d</t>
  </si>
  <si>
    <t>2023-03-20T22:42:19.119000+00:00</t>
  </si>
  <si>
    <t>left_block6_lane4</t>
  </si>
  <si>
    <t>2f93bf3a-0413-42f0-93d8-023889613e58</t>
  </si>
  <si>
    <t>2023-03-20T23:29:32.393000+00:00</t>
  </si>
  <si>
    <t>2e8174a4-3492-49f5-bfa6-84b39745805d</t>
  </si>
  <si>
    <t>2296b4f5-4bd7-4fb0-83ea-f2475693a4f7</t>
  </si>
  <si>
    <t>2023-03-28T23:41:48.067000+00:00</t>
  </si>
  <si>
    <t>right_block35_lane5</t>
  </si>
  <si>
    <t>29bd7196-882c-4702-9a47-140371f5f3c6</t>
  </si>
  <si>
    <t>1cc96481-9091-47b4-b0bd-5ed3ce34c0cc</t>
  </si>
  <si>
    <t>2023-03-27T23:33:39.434000+00:00</t>
  </si>
  <si>
    <t>left_block21_lane7</t>
  </si>
  <si>
    <t>8c031f56-3d39-4c91-a30a-2a1712ad0a97</t>
  </si>
  <si>
    <t>2023-03-28T04:32:41.699000+00:00</t>
  </si>
  <si>
    <t>3bff5e1b-6234-4bf4-9a31-3b5a2a57eb13</t>
  </si>
  <si>
    <t>2023-03-28T04:57:47.764000+00:00</t>
  </si>
  <si>
    <t>left_block23_lane4</t>
  </si>
  <si>
    <t>c0fe1872-fe49-4e9d-8c49-85227fb68421</t>
  </si>
  <si>
    <t>2023-03-28T05:40:43.647000+00:00</t>
  </si>
  <si>
    <t>left_block24_lane7</t>
  </si>
  <si>
    <t>06ea4c31-2b68-4f4b-8a22-ab604e843241</t>
  </si>
  <si>
    <t>2023-03-28T05:45:12.411000+00:00</t>
  </si>
  <si>
    <t>left_block24_lane8</t>
  </si>
  <si>
    <t>bba7316a-d22e-4071-9c0b-20a6c6cf9d80</t>
  </si>
  <si>
    <t>87df7281-4ccb-4698-9c60-d2f01cb8ef8a</t>
  </si>
  <si>
    <t>2023-03-26T18:59:21.993000+00:00</t>
  </si>
  <si>
    <t>right_block27_lane5</t>
  </si>
  <si>
    <t>2023-03-27T00:30:56.747000+00:00</t>
  </si>
  <si>
    <t>e6e1b4ce-dba8-4bf7-a798-7ebcd345bb55</t>
  </si>
  <si>
    <t>2023-03-25T09:53:51.022000+00:00</t>
  </si>
  <si>
    <t>043486d4-0aa6-45cc-8475-2e6ff871e49f</t>
  </si>
  <si>
    <t>2023-03-25T04:32:54.376000+00:00</t>
  </si>
  <si>
    <t>ee3384a1-9b72-4a0d-83f1-9eea5ad084ee</t>
  </si>
  <si>
    <t>2023-03-25T04:53:06.235000+00:00</t>
  </si>
  <si>
    <t>f214be1d-dce1-4069-b28a-a200ef470370</t>
  </si>
  <si>
    <t>2023-03-24T14:54:32.008000+00:00</t>
  </si>
  <si>
    <t>480a8d67-f257-46cf-a0c0-2a77bc1b03e3</t>
  </si>
  <si>
    <t>a71c6cde-bae0-419d-9930-8f0b8517bff7</t>
  </si>
  <si>
    <t>2023-03-24T05:25:37.275000+00:00</t>
  </si>
  <si>
    <t>right_block19_lane3</t>
  </si>
  <si>
    <t>bd63b3cc-220d-480b-8045-034256860c96</t>
  </si>
  <si>
    <t>2023-03-24T05:45:45.074000+00:00</t>
  </si>
  <si>
    <t>right_block18_lane5</t>
  </si>
  <si>
    <t>14279cc8-d796-4f82-9923-9d3619755192</t>
  </si>
  <si>
    <t>2023-03-24T05:49:28.996000+00:00</t>
  </si>
  <si>
    <t>right_block18_lane4</t>
  </si>
  <si>
    <t>2023-03-24T07:46:04.633000+00:00</t>
  </si>
  <si>
    <t>a6b695a6-88f8-4953-8833-1b4a125a58f2</t>
  </si>
  <si>
    <t>05e7fe1d-7b70-4d93-bf57-b4f6249c5cd3</t>
  </si>
  <si>
    <t>2023-03-21T23:48:51.971000+00:00</t>
  </si>
  <si>
    <t>c875ad08-94b0-4ed5-b03e-a6633bf7a45f</t>
  </si>
  <si>
    <t>2023-03-22T00:36:08.235000+00:00</t>
  </si>
  <si>
    <t>left_block24_lane3</t>
  </si>
  <si>
    <t>1994adb1-ebd2-4f18-8352-47a7303ef7db</t>
  </si>
  <si>
    <t>e9dc01b9-29f0-4535-a433-9c76a2e563da</t>
  </si>
  <si>
    <t>2023-03-21T00:02:52.810000+00:00</t>
  </si>
  <si>
    <t>eb3ea2ae-486d-40c3-9af0-c910b1f6694b</t>
  </si>
  <si>
    <t>2023-03-21T02:09:49.823000+00:00</t>
  </si>
  <si>
    <t>a5ff5bf9-20af-4d5e-a1e5-2bb239b5d93c</t>
  </si>
  <si>
    <t>c5793a91-c1b9-4ead-a057-8229a8858c97</t>
  </si>
  <si>
    <t>2023-03-27T18:11:40.588000+00:00</t>
  </si>
  <si>
    <t>e9f92ee1-8a61-49cf-9238-34cfc5ba2737</t>
  </si>
  <si>
    <t>2023-03-27T18:34:32.340000+00:00</t>
  </si>
  <si>
    <t>433ff9fa-dbac-4656-af84-46797aae0dfa</t>
  </si>
  <si>
    <t>2023-03-27T19:05:24.329000+00:00</t>
  </si>
  <si>
    <t>block_4_lane_1</t>
  </si>
  <si>
    <t>2023-03-27T20:02:37.127000+00:00</t>
  </si>
  <si>
    <t>94180264-6481-4abf-a2ef-ff7026ba7508</t>
  </si>
  <si>
    <t>2023-03-24T17:42:42.639000+00:00</t>
  </si>
  <si>
    <t>2023-03-24T20:02:04.869000+00:00</t>
  </si>
  <si>
    <t>f220a1c0-6784-4dea-957c-e75bdc8633da</t>
  </si>
  <si>
    <t>eb19bd5b-dfcc-4d11-b2c6-5889629fc6f8</t>
  </si>
  <si>
    <t>2023-03-20T17:42:01.954000+00:00</t>
  </si>
  <si>
    <t>88711984-8559-4df2-84a1-20cb3546a0de</t>
  </si>
  <si>
    <t>2023-03-20T18:51:52.827000+00:00</t>
  </si>
  <si>
    <t>992defeb-f203-47ef-a9c1-61902bf98073</t>
  </si>
  <si>
    <t>2023-03-28T19:00:45.891000+00:00</t>
  </si>
  <si>
    <t>9754b839-7e29-415c-9bee-9e7db688c402</t>
  </si>
  <si>
    <t>2023-03-28T13:36:34.614000+00:00</t>
  </si>
  <si>
    <t>d1a3d362-24f6-4673-bf40-96162209a440</t>
  </si>
  <si>
    <t>2023-03-27T19:51:36.302000+00:00</t>
  </si>
  <si>
    <t>c0893b93-ff53-4fda-ac22-46fd21d7a4d8</t>
  </si>
  <si>
    <t>cbd2938f-3b51-42a4-a946-dbaa1a31292a</t>
  </si>
  <si>
    <t>2023-03-26T19:16:49.666000+00:00</t>
  </si>
  <si>
    <t>dce343ef-d7e8-4321-a80d-b2140609a8f6</t>
  </si>
  <si>
    <t>0736be7d-35ad-440b-9d28-5d6ccfb45e82</t>
  </si>
  <si>
    <t>2023-03-24T19:43:58.198000+00:00</t>
  </si>
  <si>
    <t>2023-03-24T19:50:24.377000+00:00</t>
  </si>
  <si>
    <t>a1c6f1da-9ba0-4d5b-b669-95d1cce23155</t>
  </si>
  <si>
    <t>dfad04dd-a41f-49cf-9c36-f85dbe3f86c2</t>
  </si>
  <si>
    <t>2023-03-23T19:53:35.784000+00:00</t>
  </si>
  <si>
    <t>f797e9e3-ea04-4258-a2c9-1d8a6560cb6f</t>
  </si>
  <si>
    <t>2023-03-23T19:59:49.773000+00:00</t>
  </si>
  <si>
    <t>2023-03-23T20:08:23.823000+00:00</t>
  </si>
  <si>
    <t>e479bc7c-e03d-4c00-bcbe-d25fe933f58a</t>
  </si>
  <si>
    <t>2023-03-22T19:21:49.276000+00:00</t>
  </si>
  <si>
    <t>8084a62d-ce06-4891-8acd-7852d191db5d</t>
  </si>
  <si>
    <t>2023-03-21T19:21:02.054000+00:00</t>
  </si>
  <si>
    <t>c4c5f9f1-0a95-4a1a-83bc-44ee0df007b0</t>
  </si>
  <si>
    <t>715a6e45-0f75-4c93-9124-5cfff01ad532</t>
  </si>
  <si>
    <t>2023-03-20T19:37:59.046000+00:00</t>
  </si>
  <si>
    <t>7bacd616-2284-41ec-a137-5478c8bcdc2e</t>
  </si>
  <si>
    <t>2023-03-20T20:10:20.336000+00:00</t>
  </si>
  <si>
    <t>586c8f94-3beb-4e52-bc95-96ada40e5f3b</t>
  </si>
  <si>
    <t>2023-03-26T21:08:23.122000+00:00</t>
  </si>
  <si>
    <t>82946b37-aa15-40bb-8bcc-bf9ad86fd312</t>
  </si>
  <si>
    <t>2023-03-27T23:38:50.617000+00:00</t>
  </si>
  <si>
    <t>38110ce5-add6-4b6f-b30c-d65ef3bfb45c</t>
  </si>
  <si>
    <t>2023-03-29T01:34:24.426000+00:00</t>
  </si>
  <si>
    <t>bedf28dc-a985-4593-a0d1-d3424038d94b</t>
  </si>
  <si>
    <t>2023-03-25T21:45:26.378000+00:00</t>
  </si>
  <si>
    <t>block7_lane4_r</t>
  </si>
  <si>
    <t>2023-03-25T21:50:04.070000+00:00</t>
  </si>
  <si>
    <t>block7_lane5_r</t>
  </si>
  <si>
    <t>2023-03-25T21:51:36.305000+00:00</t>
  </si>
  <si>
    <t>block7_lane6_r</t>
  </si>
  <si>
    <t>2023-03-25T21:53:24.793000+00:00</t>
  </si>
  <si>
    <t>block7_lane7_r</t>
  </si>
  <si>
    <t>2023-03-25T21:54:01.197000+00:00</t>
  </si>
  <si>
    <t>2023-03-25T21:55:35.168000+00:00</t>
  </si>
  <si>
    <t>block8_lane2_r</t>
  </si>
  <si>
    <t>2023-03-25T21:57:08.123000+00:00</t>
  </si>
  <si>
    <t>block8_lane3_r</t>
  </si>
  <si>
    <t>2023-03-25T21:58:39.101000+00:00</t>
  </si>
  <si>
    <t>block8_lane4_r</t>
  </si>
  <si>
    <t>2023-03-25T22:00:11.506000+00:00</t>
  </si>
  <si>
    <t>block8_lane5_r</t>
  </si>
  <si>
    <t>2023-03-25T22:01:42.203000+00:00</t>
  </si>
  <si>
    <t>block8_lane6_r</t>
  </si>
  <si>
    <t>635f25d0-1e1d-473b-b4ca-24da738a5080</t>
  </si>
  <si>
    <t>2023-03-25T01:52:36.895000+00:00</t>
  </si>
  <si>
    <t>block16_lane2_l</t>
  </si>
  <si>
    <t>2023-03-25T02:38:09.777000+00:00</t>
  </si>
  <si>
    <t>8cfb94d2-6298-4047-a5c9-47b9a4c9f949</t>
  </si>
  <si>
    <t>2023-03-24T03:21:19.727000+00:00</t>
  </si>
  <si>
    <t>1390cd39-123f-47af-b569-1235fb9145ff</t>
  </si>
  <si>
    <t>2023-03-23T21:59:46.852000+00:00</t>
  </si>
  <si>
    <t>4722ecbb-5336-4983-9972-6872f7ea45aa</t>
  </si>
  <si>
    <t>c39aebf0-73a3-4306-8cdb-c045d445e2f9</t>
  </si>
  <si>
    <t>2023-03-23T00:21:51.805000+00:00</t>
  </si>
  <si>
    <t>block13_lane2_l</t>
  </si>
  <si>
    <t>2023-03-23T02:31:54.832000+00:00</t>
  </si>
  <si>
    <t>217fbf34-f0b5-4bed-bad9-8f722e15aefc</t>
  </si>
  <si>
    <t>c24999dc-a5d3-4af2-a62a-a7e15096f62c</t>
  </si>
  <si>
    <t>2023-03-21T23:06:12.455000+00:00</t>
  </si>
  <si>
    <t>f8ddfa04-94bf-4933-8f40-ad78db4cf999</t>
  </si>
  <si>
    <t>13080f20-90b3-406a-a6ab-dc448757c6f6</t>
  </si>
  <si>
    <t>2023-03-21T21:35:14.274000+00:00</t>
  </si>
  <si>
    <t>block5_lane6_l</t>
  </si>
  <si>
    <t>195b44df-9551-4bde-84a3-714456e3744c</t>
  </si>
  <si>
    <t>f02eb6d8-af69-4513-bf5e-7ed82b547e8c</t>
  </si>
  <si>
    <t>2023-03-21T20:44:38.837000+00:00</t>
  </si>
  <si>
    <t>block5_lane5_l</t>
  </si>
  <si>
    <t>9a744aa6-acdb-4181-aa3a-f056d37524ed</t>
  </si>
  <si>
    <t>2023-03-21T02:38:46.282000+00:00</t>
  </si>
  <si>
    <t>84256fb4-6480-4a9e-b92b-013f2b2a9c4a</t>
  </si>
  <si>
    <t>2023-03-20T15:42:13.668000+00:00</t>
  </si>
  <si>
    <t>b14627e0-a07d-43d3-bae0-c71cafa96a05</t>
  </si>
  <si>
    <t>2023-03-20T13:58:49.150000+00:00</t>
  </si>
  <si>
    <t>3eba749b-c040-4355-93da-4c8de532e1d7</t>
  </si>
  <si>
    <t>2fdf6220-25ef-4e52-a296-16c9b4d573d6</t>
  </si>
  <si>
    <t>not enough measurements came in from vision: 4/4</t>
  </si>
  <si>
    <t>2023-03-29T03:10:06.303000+00:00</t>
  </si>
  <si>
    <t>lane_4007</t>
  </si>
  <si>
    <t>22316612-9243-4a17-97e4-ea684e0de833</t>
  </si>
  <si>
    <t>60f76a7c-3c1f-4460-93e9-51aca4a5d3fc</t>
  </si>
  <si>
    <t>2023-03-28T06:59:33.155000+00:00</t>
  </si>
  <si>
    <t>lane_3710</t>
  </si>
  <si>
    <t>e5141467-ff7d-4543-b99a-897cf1b2fdb0</t>
  </si>
  <si>
    <t>24745e26-4723-4440-9127-146eaa357bab</t>
  </si>
  <si>
    <t>2023-03-27T22:11:18.260000+00:00</t>
  </si>
  <si>
    <t>waiting - 21864.0</t>
  </si>
  <si>
    <t>735a6882-5990-4ce0-beac-7e69203e1052</t>
  </si>
  <si>
    <t>2023-03-27T10:32:51.495000+00:00</t>
  </si>
  <si>
    <t>5107b432-9b09-4ce4-b73f-d36c05f809b7</t>
  </si>
  <si>
    <t>2023-03-25T08:48:58.273000+00:00</t>
  </si>
  <si>
    <t>3493568e-7317-448c-b3a6-ba345b7b9714</t>
  </si>
  <si>
    <t>2023-03-24T08:47:48.948000+00:00</t>
  </si>
  <si>
    <t>ecc1ad75-e8c9-41af-b960-6e23030b5f87</t>
  </si>
  <si>
    <t>2023-03-23T08:48:50.712000+00:00</t>
  </si>
  <si>
    <t>3f5f33ee-b895-4af2-b72c-c10e559839dc</t>
  </si>
  <si>
    <t>2023-03-22T08:50:05.496000+00:00</t>
  </si>
  <si>
    <t>9aa7154c-b4c2-4080-908f-5d5a279ad377</t>
  </si>
  <si>
    <t>ce112717-98b9-43a1-b9ad-46a63ca6f2a7</t>
  </si>
  <si>
    <t>2023-03-29T19:08:47.501000+00:00</t>
  </si>
  <si>
    <t>59f5a883-06a1-4e5e-90aa-9b12d8ffe0e4</t>
  </si>
  <si>
    <t>2023-03-29T16:18:41.501000+00:00</t>
  </si>
  <si>
    <t>2023-03-29T16:23:52.835000+00:00</t>
  </si>
  <si>
    <t>right_3507</t>
  </si>
  <si>
    <t>2023-03-29T16:29:01.977000+00:00</t>
  </si>
  <si>
    <t>2023-03-29T16:38:53.772000+00:00</t>
  </si>
  <si>
    <t>right_3515</t>
  </si>
  <si>
    <t>2023-03-29T16:43:49.040000+00:00</t>
  </si>
  <si>
    <t>2023-03-29T16:53:38.147000+00:00</t>
  </si>
  <si>
    <t>right_3521</t>
  </si>
  <si>
    <t>2023-03-29T16:58:43.980000+00:00</t>
  </si>
  <si>
    <t>2023-03-29T17:03:52.849000+00:00</t>
  </si>
  <si>
    <t>right_3525</t>
  </si>
  <si>
    <t>2023-03-29T17:08:56.064000+00:00</t>
  </si>
  <si>
    <t>right_3527</t>
  </si>
  <si>
    <t>2023-03-29T17:14:13.124000+00:00</t>
  </si>
  <si>
    <t>2023-03-29T17:28:32.394000+00:00</t>
  </si>
  <si>
    <t>2023-03-29T17:33:41.505000+00:00</t>
  </si>
  <si>
    <t>2023-03-29T17:38:49.328000+00:00</t>
  </si>
  <si>
    <t>2023-03-29T17:43:54.853000+00:00</t>
  </si>
  <si>
    <t>2023-03-29T17:49:10.940000+00:00</t>
  </si>
  <si>
    <t>2023-03-29T17:54:19.206000+00:00</t>
  </si>
  <si>
    <t>2023-03-29T18:04:09.987000+00:00</t>
  </si>
  <si>
    <t>2023-03-29T18:09:20.560000+00:00</t>
  </si>
  <si>
    <t>2023-03-29T18:14:31.081000+00:00</t>
  </si>
  <si>
    <t>2023-03-29T18:19:36.272000+00:00</t>
  </si>
  <si>
    <t>2023-03-29T18:24:51.545000+00:00</t>
  </si>
  <si>
    <t>2023-03-29T18:29:49.062000+00:00</t>
  </si>
  <si>
    <t>2023-03-29T18:34:57.359000+00:00</t>
  </si>
  <si>
    <t>right_3567</t>
  </si>
  <si>
    <t>2023-03-29T18:40:06.499000+00:00</t>
  </si>
  <si>
    <t>2023-03-29T18:45:14.534000+00:00</t>
  </si>
  <si>
    <t>2023-03-29T18:50:23.558000+00:00</t>
  </si>
  <si>
    <t>2023-03-29T19:00:12.826000+00:00</t>
  </si>
  <si>
    <t>2023-03-29T19:05:21.667000+00:00</t>
  </si>
  <si>
    <t>2023-03-29T19:15:02.621000+00:00</t>
  </si>
  <si>
    <t>2023-03-29T19:20:09.597000+00:00</t>
  </si>
  <si>
    <t>2023-03-29T19:25:16.215000+00:00</t>
  </si>
  <si>
    <t>2023-03-29T19:27:24.224000+00:00</t>
  </si>
  <si>
    <t>2023-03-29T19:32:29.354000+00:00</t>
  </si>
  <si>
    <t>2023-03-29T19:37:26.049000+00:00</t>
  </si>
  <si>
    <t>2023-03-29T19:47:16.949000+00:00</t>
  </si>
  <si>
    <t>2023-03-29T19:49:25.525000+00:00</t>
  </si>
  <si>
    <t>2023-03-29T19:54:27.155000+00:00</t>
  </si>
  <si>
    <t>2023-03-29T19:59:35.424000+00:00</t>
  </si>
  <si>
    <t>2023-03-29T20:04:51.432000+00:00</t>
  </si>
  <si>
    <t>2023-03-29T20:10:02.075000+00:00</t>
  </si>
  <si>
    <t>2023-03-29T20:19:51.522000+00:00</t>
  </si>
  <si>
    <t>2023-03-29T20:25:01.318000+00:00</t>
  </si>
  <si>
    <t>2023-03-29T20:30:10.705000+00:00</t>
  </si>
  <si>
    <t>2023-03-29T20:35:16.335000+00:00</t>
  </si>
  <si>
    <t>2023-03-29T20:40:14.833000+00:00</t>
  </si>
  <si>
    <t>2023-03-29T20:42:21.948000+00:00</t>
  </si>
  <si>
    <t>2023-03-29T20:51:55.186000+00:00</t>
  </si>
  <si>
    <t>2023-03-29T20:57:07.426000+00:00</t>
  </si>
  <si>
    <t>2023-03-29T21:02:16.256000+00:00</t>
  </si>
  <si>
    <t>2023-03-29T21:07:21.737000+00:00</t>
  </si>
  <si>
    <t>2023-03-29T21:12:35.471000+00:00</t>
  </si>
  <si>
    <t>2023-03-29T21:17:41.992000+00:00</t>
  </si>
  <si>
    <t>2023-03-29T21:27:34.989000+00:00</t>
  </si>
  <si>
    <t>2023-03-29T21:32:43.645000+00:00</t>
  </si>
  <si>
    <t>2023-03-29T21:37:51.650000+00:00</t>
  </si>
  <si>
    <t>2023-03-29T21:47:19.669000+00:00</t>
  </si>
  <si>
    <t>2023-03-29T21:52:26.903000+00:00</t>
  </si>
  <si>
    <t>2023-03-29T22:02:03.526000+00:00</t>
  </si>
  <si>
    <t>2023-03-29T22:07:10.887000+00:00</t>
  </si>
  <si>
    <t>2023-03-29T22:12:18.737000+00:00</t>
  </si>
  <si>
    <t>2023-03-29T22:17:22.711000+00:00</t>
  </si>
  <si>
    <t>2023-03-29T22:22:37.845000+00:00</t>
  </si>
  <si>
    <t>2023-03-29T22:27:44.869000+00:00</t>
  </si>
  <si>
    <t>2023-03-29T22:37:13.676000+00:00</t>
  </si>
  <si>
    <t>2023-03-29T22:42:20.549000+00:00</t>
  </si>
  <si>
    <t>2023-03-29T22:47:26.834000+00:00</t>
  </si>
  <si>
    <t>2023-03-29T22:52:32.868000+00:00</t>
  </si>
  <si>
    <t>2023-03-29T22:57:48.548000+00:00</t>
  </si>
  <si>
    <t>2023-03-29T23:02:56.463000+00:00</t>
  </si>
  <si>
    <t>right_3693</t>
  </si>
  <si>
    <t>2023-03-29T23:12:44.687000+00:00</t>
  </si>
  <si>
    <t>2023-03-29T23:17:51.078000+00:00</t>
  </si>
  <si>
    <t>2023-03-29T23:22:58.567000+00:00</t>
  </si>
  <si>
    <t>2023-03-29T23:28:01.379000+00:00</t>
  </si>
  <si>
    <t>2023-03-29T23:33:12.148000+00:00</t>
  </si>
  <si>
    <t>2023-03-29T23:38:14.928000+00:00</t>
  </si>
  <si>
    <t>2023-03-29T23:47:49.118000+00:00</t>
  </si>
  <si>
    <t>2023-03-29T23:52:54.251000+00:00</t>
  </si>
  <si>
    <t>2023-03-29T23:57:58.396000+00:00</t>
  </si>
  <si>
    <t>2023-03-30T00:03:01.195000+00:00</t>
  </si>
  <si>
    <t>2023-03-30T00:08:12.611000+00:00</t>
  </si>
  <si>
    <t>2023-03-30T00:13:13.869000+00:00</t>
  </si>
  <si>
    <t>2023-03-30T00:22:58.141000+00:00</t>
  </si>
  <si>
    <t>2023-03-30T00:28:02.161000+00:00</t>
  </si>
  <si>
    <t>2023-03-30T00:33:04.277000+00:00</t>
  </si>
  <si>
    <t>2023-03-30T00:42:52.873000+00:00</t>
  </si>
  <si>
    <t>2023-03-30T00:47:56.210000+00:00</t>
  </si>
  <si>
    <t>2023-03-30T00:57:31.995000+00:00</t>
  </si>
  <si>
    <t>2023-03-30T00:59:14.815000+00:00</t>
  </si>
  <si>
    <t>1cc87fc1-9ecc-41d9-89bb-97da68bda310</t>
  </si>
  <si>
    <t>2023-03-30T02:07:29.520000+00:00</t>
  </si>
  <si>
    <t>286bf76b-6be3-4153-82cf-e1bced24d065</t>
  </si>
  <si>
    <t>2023-03-30T01:38:03.572000+00:00</t>
  </si>
  <si>
    <t>6c782399-64c0-40fa-91c2-fe25e8a7b0fc</t>
  </si>
  <si>
    <t>de8a002d-690e-4a74-a7d5-bc62d6fd9ade</t>
  </si>
  <si>
    <t>2023-03-29T20:44:17.948000+00:00</t>
  </si>
  <si>
    <t>61f39cd4-1c30-4277-a956-1d50c1e7face</t>
  </si>
  <si>
    <t>2023-03-29T20:50:32.525000+00:00</t>
  </si>
  <si>
    <t>block_7_lane_1</t>
  </si>
  <si>
    <t>de94926e-a168-444f-be6c-f015c11a66a0</t>
  </si>
  <si>
    <t>745129ec-fac5-40d9-bf1c-46ced935212e</t>
  </si>
  <si>
    <t>2023-03-29T18:22:30.614000+00:00</t>
  </si>
  <si>
    <t>5e45146f-7104-48c8-a1e9-040d630f852b</t>
  </si>
  <si>
    <t>2023-03-29T18:53:42.897000+00:00</t>
  </si>
  <si>
    <t>20fefde7-438a-4099-b510-1a80c9e632ed</t>
  </si>
  <si>
    <t>2023-03-29T19:28:04.484000+00:00</t>
  </si>
  <si>
    <t>block_4_lane_2</t>
  </si>
  <si>
    <t>72f85aa0-7c0b-47cd-ae0f-8d07b5ab55d8</t>
  </si>
  <si>
    <t>2023-03-29T20:20:10.559000+00:00</t>
  </si>
  <si>
    <t>e861823a-1418-4f78-a013-e01efddbfcaf</t>
  </si>
  <si>
    <t>b5757214-c8d9-42ba-af76-e05d41dcc8ac</t>
  </si>
  <si>
    <t>2023-03-29T18:13:52.893000+00:00</t>
  </si>
  <si>
    <t>5c8f741a-0ead-4c5f-b042-e270a38dce78</t>
  </si>
  <si>
    <t>2023-03-29T18:15:49.620000+00:00</t>
  </si>
  <si>
    <t>40b6a09c-fa4a-42ce-bb08-31d1a330afa9</t>
  </si>
  <si>
    <t>dd047b24-0f98-4a38-9d07-8a8e966a2982</t>
  </si>
  <si>
    <t>2023-03-29T17:51:08.895000+00:00</t>
  </si>
  <si>
    <t>46c33332-4dcb-4667-a252-5e88fa119e11</t>
  </si>
  <si>
    <t>2023-03-30T00:26:13.734000+00:00</t>
  </si>
  <si>
    <t>block15_lane4_l</t>
  </si>
  <si>
    <t>2023-03-30T01:27:17.317000+00:00</t>
  </si>
  <si>
    <t>a62e5ab4-2b74-44fb-b04a-96b0f0c76b04</t>
  </si>
  <si>
    <t>2023-03-29T16:21:43.179000+00:00</t>
  </si>
  <si>
    <t>d4dc4f36-7bd7-4404-8ac7-596ee20c808a</t>
  </si>
  <si>
    <t>5d2f1b67-fa6a-45b4-bc98-9f5fc8516034</t>
  </si>
  <si>
    <t>2023-04-02T03:47:31.190000+00:00</t>
  </si>
  <si>
    <t>2023-04-02T04:15:23.273000+00:00</t>
  </si>
  <si>
    <t>ef6b166c-085a-4213-8020-997f43302061</t>
  </si>
  <si>
    <t>2023-03-31T17:56:47.210000+00:00</t>
  </si>
  <si>
    <t>041c63f5-86a2-48b2-9353-4b9173e26807</t>
  </si>
  <si>
    <t>2023-03-31T06:44:46.601000+00:00</t>
  </si>
  <si>
    <t>879de83b-028d-4fd7-810f-cb41e2c16f5e</t>
  </si>
  <si>
    <t>02f7d6e7-55b9-4720-ae0e-b4ad198b40a3</t>
  </si>
  <si>
    <t>2023-03-30T19:57:11.635000+00:00</t>
  </si>
  <si>
    <t>cc17019a-a696-4dce-b5bc-965e1bc8c5ad</t>
  </si>
  <si>
    <t>2023-03-30T23:40:46.726000+00:00</t>
  </si>
  <si>
    <t>4bd02799-897e-45f6-8330-9a50da256505</t>
  </si>
  <si>
    <t>41a6f2e9-085f-4035-89b8-279c6b8b7aae</t>
  </si>
  <si>
    <t>2023-03-31T21:32:45.761000+00:00</t>
  </si>
  <si>
    <t>left_lane3284</t>
  </si>
  <si>
    <t>bb0d08b2-26c6-409c-b2fc-42b742843718</t>
  </si>
  <si>
    <t>2023-04-01T00:33:11.197000+00:00</t>
  </si>
  <si>
    <t>2023-04-01T01:13:23.493000+00:00</t>
  </si>
  <si>
    <t>9084e085-0e7c-46ff-9c03-beb58de34c67</t>
  </si>
  <si>
    <t>b219ee5e-33cc-4594-825d-22a1c22376f2</t>
  </si>
  <si>
    <t>2023-03-31T12:18:02.777000+00:00</t>
  </si>
  <si>
    <t>left_lane3508</t>
  </si>
  <si>
    <t>c3b3036f-8293-4c9b-a21d-1bc3cda39cab</t>
  </si>
  <si>
    <t>2023-03-31T12:27:30.369000+00:00</t>
  </si>
  <si>
    <t>2023-03-31T12:36:35.225000+00:00</t>
  </si>
  <si>
    <t>fd371242-29c5-48dd-b1b2-8fbfa2b3e55a</t>
  </si>
  <si>
    <t>4a9d5834-6ebf-4001-a4ac-6607bb6bd19c</t>
  </si>
  <si>
    <t>2023-03-30T15:55:43.363000+00:00</t>
  </si>
  <si>
    <t>left_lane3818</t>
  </si>
  <si>
    <t>6f8deb03-c6be-4ccd-85e5-a55ea077406b</t>
  </si>
  <si>
    <t>2023-03-30T16:00:55.740000+00:00</t>
  </si>
  <si>
    <t>left_lane3814</t>
  </si>
  <si>
    <t>184dd97a-8d16-47f3-aac9-e2935920b6bf</t>
  </si>
  <si>
    <t>2023-03-30T16:06:04.911000+00:00</t>
  </si>
  <si>
    <t>left_lane3812</t>
  </si>
  <si>
    <t>69dc27e0-3c07-4854-9e56-b05e9c613e29</t>
  </si>
  <si>
    <t>2023-03-30T16:16:15.774000+00:00</t>
  </si>
  <si>
    <t>left_lane3808</t>
  </si>
  <si>
    <t>eb517f6a-a4d9-4439-a090-75225129ba15</t>
  </si>
  <si>
    <t>2023-03-30T16:26:09.231000+00:00</t>
  </si>
  <si>
    <t>left_lane3804</t>
  </si>
  <si>
    <t>413d7cfd-5e36-4758-b171-e0878af11450</t>
  </si>
  <si>
    <t>2023-03-30T16:31:19.653000+00:00</t>
  </si>
  <si>
    <t>left_lane3802</t>
  </si>
  <si>
    <t>4a487eba-4ca4-4efb-a5c9-16d344f16c37</t>
  </si>
  <si>
    <t>2023-03-30T16:36:34.535000+00:00</t>
  </si>
  <si>
    <t>left_lane3798</t>
  </si>
  <si>
    <t>c24911a0-33fe-4e6a-814e-e272d5ee9eff</t>
  </si>
  <si>
    <t>2023-03-30T16:41:44.898000+00:00</t>
  </si>
  <si>
    <t>left_lane3796</t>
  </si>
  <si>
    <t>b3ee1a90-eee8-4653-a559-a00ac65a733c</t>
  </si>
  <si>
    <t>2023-03-30T16:46:53.936000+00:00</t>
  </si>
  <si>
    <t>left_lane3794</t>
  </si>
  <si>
    <t>76b8fa73-835b-4906-8112-bb086e81ceee</t>
  </si>
  <si>
    <t>2023-03-30T16:51:53.422000+00:00</t>
  </si>
  <si>
    <t>left_lane3792</t>
  </si>
  <si>
    <t>8b9401ae-fefc-4937-aab2-785f04bbc7dc</t>
  </si>
  <si>
    <t>2023-03-30T17:01:43.221000+00:00</t>
  </si>
  <si>
    <t>left_lane3788</t>
  </si>
  <si>
    <t>12f7f15d-a4d2-4699-8ac0-8e4524f3cdc0</t>
  </si>
  <si>
    <t>2023-03-30T17:06:48.990000+00:00</t>
  </si>
  <si>
    <t>left_lane3786</t>
  </si>
  <si>
    <t>55619154-16e2-4134-9cee-28bd6c23f9cd</t>
  </si>
  <si>
    <t>2023-03-30T17:12:03.707000+00:00</t>
  </si>
  <si>
    <t>left_lane3782</t>
  </si>
  <si>
    <t>77e657b8-07b2-4200-a580-8b83023b5913</t>
  </si>
  <si>
    <t>2023-03-30T17:17:15.815000+00:00</t>
  </si>
  <si>
    <t>left_lane3780</t>
  </si>
  <si>
    <t>4149c647-6412-4677-aa60-380c177fb05f</t>
  </si>
  <si>
    <t>2023-03-30T17:22:25.245000+00:00</t>
  </si>
  <si>
    <t>left_lane3778</t>
  </si>
  <si>
    <t>e9d8ef7e-07cf-46ae-a625-c1e8a0858666</t>
  </si>
  <si>
    <t>2023-03-30T17:27:24.603000+00:00</t>
  </si>
  <si>
    <t>left_lane3776</t>
  </si>
  <si>
    <t>c74ddb29-13e3-4107-b0e3-808c9f3bf63b</t>
  </si>
  <si>
    <t>2023-03-30T17:37:16.148000+00:00</t>
  </si>
  <si>
    <t>left_lane3772</t>
  </si>
  <si>
    <t>30fe9f54-968e-4cc3-a199-c95d3b9b11d8</t>
  </si>
  <si>
    <t>2023-03-30T17:42:24.864000+00:00</t>
  </si>
  <si>
    <t>left_lane3770</t>
  </si>
  <si>
    <t>8d916de7-12ea-47e8-ac2f-40057559c6bf</t>
  </si>
  <si>
    <t>2023-03-30T17:47:41.933000+00:00</t>
  </si>
  <si>
    <t>left_lane3766</t>
  </si>
  <si>
    <t>481914cd-b517-435e-97e2-f26b4f78fbbf</t>
  </si>
  <si>
    <t>2023-03-30T17:52:54.111000+00:00</t>
  </si>
  <si>
    <t>61d8f9d1-301b-47f1-ba23-decf560ac6ec</t>
  </si>
  <si>
    <t>2023-03-30T17:58:06.057000+00:00</t>
  </si>
  <si>
    <t>left_lane3762</t>
  </si>
  <si>
    <t>4d4a4bb0-bdea-4ba9-8035-8f4406b0a61b</t>
  </si>
  <si>
    <t>2023-03-30T18:03:12.062000+00:00</t>
  </si>
  <si>
    <t>left_lane3760</t>
  </si>
  <si>
    <t>bff5edeb-cd11-4889-bca5-27a14bbce9de</t>
  </si>
  <si>
    <t>2023-03-30T18:12:58.058000+00:00</t>
  </si>
  <si>
    <t>left_lane3756</t>
  </si>
  <si>
    <t>69a6ed93-ab11-40e3-a8de-4b0b55fe39ac</t>
  </si>
  <si>
    <t>2023-03-30T18:18:12.305000+00:00</t>
  </si>
  <si>
    <t>left_lane3754</t>
  </si>
  <si>
    <t>80d92a6d-86eb-4ea5-ad06-5a1414f469c7</t>
  </si>
  <si>
    <t>2023-03-30T18:23:28.511000+00:00</t>
  </si>
  <si>
    <t>left_lane3750</t>
  </si>
  <si>
    <t>70efd57b-7733-4fbf-83c6-040fa33d0ef2</t>
  </si>
  <si>
    <t>2023-03-30T18:28:41.291000+00:00</t>
  </si>
  <si>
    <t>5f2e8fd7-b115-4331-b028-58c765284972</t>
  </si>
  <si>
    <t>2023-03-30T18:33:53.095000+00:00</t>
  </si>
  <si>
    <t>left_lane3746</t>
  </si>
  <si>
    <t>0f3b4af5-3bc0-4fa7-9223-ccfccea196a7</t>
  </si>
  <si>
    <t>2023-03-30T18:39:02.973000+00:00</t>
  </si>
  <si>
    <t>left_lane3744</t>
  </si>
  <si>
    <t>f0ef97bb-1cfa-4028-99eb-ec1e167da370</t>
  </si>
  <si>
    <t>2023-03-30T18:48:55.351000+00:00</t>
  </si>
  <si>
    <t>left_lane3740</t>
  </si>
  <si>
    <t>ad5a5f58-4218-464b-8eba-b8a3539931ea</t>
  </si>
  <si>
    <t>2023-03-30T18:54:06.165000+00:00</t>
  </si>
  <si>
    <t>left_lane3738</t>
  </si>
  <si>
    <t>71a50844-c807-4c8f-a5eb-913f59d79670</t>
  </si>
  <si>
    <t>2023-03-30T18:59:25.262000+00:00</t>
  </si>
  <si>
    <t>left_lane3734</t>
  </si>
  <si>
    <t>dc2eec66-9e43-4a92-8d85-1816db9515a6</t>
  </si>
  <si>
    <t>2023-03-30T19:04:33.780000+00:00</t>
  </si>
  <si>
    <t>left_lane3732</t>
  </si>
  <si>
    <t>6eb13205-e048-4069-8c35-eb695b971878</t>
  </si>
  <si>
    <t>2023-03-30T19:09:42.794000+00:00</t>
  </si>
  <si>
    <t>left_lane3730</t>
  </si>
  <si>
    <t>06f7015d-9a38-4578-abd3-b30f9d760ee9</t>
  </si>
  <si>
    <t>2023-03-30T19:12:57.274000+00:00</t>
  </si>
  <si>
    <t>left_lane3728</t>
  </si>
  <si>
    <t>e200c4ef-2bdd-4373-b8f3-e89f88b6ffe7</t>
  </si>
  <si>
    <t>2023-03-30T19:27:52.065000+00:00</t>
  </si>
  <si>
    <t>left_lane3724</t>
  </si>
  <si>
    <t>0d99974c-d655-4af5-877d-dabb3132c40d</t>
  </si>
  <si>
    <t>2023-03-30T19:33:02.193000+00:00</t>
  </si>
  <si>
    <t>b7291290-48bb-4303-9f43-828e56b2adb2</t>
  </si>
  <si>
    <t>2023-03-30T19:38:15.165000+00:00</t>
  </si>
  <si>
    <t>left_lane3718</t>
  </si>
  <si>
    <t>cbcbf900-b0d2-450b-9846-af84c906ef95</t>
  </si>
  <si>
    <t>2023-03-30T19:43:26.886000+00:00</t>
  </si>
  <si>
    <t>18d1c260-1b97-485e-a4c2-bff328c0e179</t>
  </si>
  <si>
    <t>2023-03-30T19:48:24.441000+00:00</t>
  </si>
  <si>
    <t>d7efbdf3-78a4-43e8-a132-021131e23c72</t>
  </si>
  <si>
    <t>2023-03-30T19:53:33.686000+00:00</t>
  </si>
  <si>
    <t>left_lane3712</t>
  </si>
  <si>
    <t>e3521ea5-9468-4a7d-9c6a-252081f4998e</t>
  </si>
  <si>
    <t>2023-03-30T20:03:25.869000+00:00</t>
  </si>
  <si>
    <t>left_lane3708</t>
  </si>
  <si>
    <t>56e94229-4a09-44f5-b2e2-1feb4a2f49a9</t>
  </si>
  <si>
    <t>2023-03-30T20:08:37.125000+00:00</t>
  </si>
  <si>
    <t>left_lane3706</t>
  </si>
  <si>
    <t>96da170a-df98-4776-b434-e0baedea97cf</t>
  </si>
  <si>
    <t>2023-03-30T20:13:52.127000+00:00</t>
  </si>
  <si>
    <t>a97bbcab-0c15-411a-a58b-54d317113a72</t>
  </si>
  <si>
    <t>2023-03-30T20:19:01.015000+00:00</t>
  </si>
  <si>
    <t>left_lane3700</t>
  </si>
  <si>
    <t>916ecfaa-9555-4386-906b-529931a12a0e</t>
  </si>
  <si>
    <t>2023-03-30T20:24:10.161000+00:00</t>
  </si>
  <si>
    <t>left_lane3698</t>
  </si>
  <si>
    <t>0788d7ab-779f-4656-9826-6e684efe88c7</t>
  </si>
  <si>
    <t>2023-03-30T20:27:28.250000+00:00</t>
  </si>
  <si>
    <t>left_lane3696</t>
  </si>
  <si>
    <t>58db0bf6-6f75-44c8-bd1a-84d8de87ddb6</t>
  </si>
  <si>
    <t>2023-03-30T20:42:25.031000+00:00</t>
  </si>
  <si>
    <t>left_lane3692</t>
  </si>
  <si>
    <t>75cec76a-b4b5-42ac-a450-d327a9c11685</t>
  </si>
  <si>
    <t>2023-03-30T20:47:21.506000+00:00</t>
  </si>
  <si>
    <t>left_lane3690</t>
  </si>
  <si>
    <t>5d96320f-44c3-4cfc-b6ca-39ab6323bf59</t>
  </si>
  <si>
    <t>2023-03-30T20:52:35.922000+00:00</t>
  </si>
  <si>
    <t>left_lane3686</t>
  </si>
  <si>
    <t>665c53c0-5111-42ce-b8f1-2a3d2f0f26e5</t>
  </si>
  <si>
    <t>2023-03-30T20:57:49.490000+00:00</t>
  </si>
  <si>
    <t>left_lane3684</t>
  </si>
  <si>
    <t>d92c0275-1046-4243-8dc6-460777529555</t>
  </si>
  <si>
    <t>2023-03-30T21:01:04.769000+00:00</t>
  </si>
  <si>
    <t>left_lane3682</t>
  </si>
  <si>
    <t>6487922c-ccb4-4ba2-b8af-8da06bd63da7</t>
  </si>
  <si>
    <t>2023-03-30T21:11:20.630000+00:00</t>
  </si>
  <si>
    <t>left_lane3680</t>
  </si>
  <si>
    <t>ee47cc4f-490e-4437-ac20-02373390929a</t>
  </si>
  <si>
    <t>2023-03-30T21:21:02.235000+00:00</t>
  </si>
  <si>
    <t>8391eb61-feb5-43cf-b8d7-296cc4f4a71f</t>
  </si>
  <si>
    <t>2023-03-30T21:26:09.282000+00:00</t>
  </si>
  <si>
    <t>left_lane3674</t>
  </si>
  <si>
    <t>f49adb0c-becf-45f9-b6a4-cc55953d05d7</t>
  </si>
  <si>
    <t>2023-03-30T21:31:26.611000+00:00</t>
  </si>
  <si>
    <t>left_lane3670</t>
  </si>
  <si>
    <t>94e652c4-2cdb-4d5b-bc7f-2a7a09d54bc4</t>
  </si>
  <si>
    <t>2023-03-30T21:36:36.691000+00:00</t>
  </si>
  <si>
    <t>left_lane3668</t>
  </si>
  <si>
    <t>2ce03ff0-214b-4690-a2b4-9bc1eb06451e</t>
  </si>
  <si>
    <t>2023-03-30T21:41:48.494000+00:00</t>
  </si>
  <si>
    <t>49c18dc0-96e0-4d9f-abb3-d97a1d724170</t>
  </si>
  <si>
    <t>2023-03-30T21:45:04.798000+00:00</t>
  </si>
  <si>
    <t>5814f2bd-318b-424b-a6ac-1393469d1e9e</t>
  </si>
  <si>
    <t>2023-03-30T21:59:49.775000+00:00</t>
  </si>
  <si>
    <t>392a31e1-0ef1-4ad6-80fb-b45b19271962</t>
  </si>
  <si>
    <t>2023-03-30T22:04:58.820000+00:00</t>
  </si>
  <si>
    <t>bf29bcb4-28c7-481f-ac41-7baa9a7a90ae</t>
  </si>
  <si>
    <t>2023-03-30T22:14:29.775000+00:00</t>
  </si>
  <si>
    <t>left_lane3652</t>
  </si>
  <si>
    <t>7a75eb67-9d70-41ef-b622-1c2de476d57f</t>
  </si>
  <si>
    <t>2023-03-30T22:19:38.350000+00:00</t>
  </si>
  <si>
    <t>left_lane3650</t>
  </si>
  <si>
    <t>4fe446d4-b22b-4e5d-b636-2bc1c26c885f</t>
  </si>
  <si>
    <t>2023-03-30T22:22:53.206000+00:00</t>
  </si>
  <si>
    <t>left_lane3648</t>
  </si>
  <si>
    <t>2bf2b52b-d02a-4f84-8e9f-6d59e8595a76</t>
  </si>
  <si>
    <t>2023-03-30T22:37:49.091000+00:00</t>
  </si>
  <si>
    <t>left_lane3644</t>
  </si>
  <si>
    <t>4a2fbf39-f8f6-44dd-8bf6-005668ae019f</t>
  </si>
  <si>
    <t>2023-03-30T22:42:52.791000+00:00</t>
  </si>
  <si>
    <t>left_lane3642</t>
  </si>
  <si>
    <t>05d4f021-a1af-482c-b878-2bd631b7a528</t>
  </si>
  <si>
    <t>2023-03-30T22:48:07.187000+00:00</t>
  </si>
  <si>
    <t>left_lane3638</t>
  </si>
  <si>
    <t>0263a783-15af-4b99-8d41-c551412e31bf</t>
  </si>
  <si>
    <t>2023-03-30T22:53:16.166000+00:00</t>
  </si>
  <si>
    <t>left_lane3636</t>
  </si>
  <si>
    <t>ce63298e-2e2e-40e1-afb2-969b01bd8cc5</t>
  </si>
  <si>
    <t>2023-03-30T22:54:59.596000+00:00</t>
  </si>
  <si>
    <t>98a73fa1-0257-4d44-a867-131e917a1559</t>
  </si>
  <si>
    <t>2023-03-30T23:00:08.843000+00:00</t>
  </si>
  <si>
    <t>left_lane3632</t>
  </si>
  <si>
    <t>8a8b4c1a-e199-4c9c-bcf4-cca4afaa1689</t>
  </si>
  <si>
    <t>2023-03-30T23:14:39.267000+00:00</t>
  </si>
  <si>
    <t>left_lane3626</t>
  </si>
  <si>
    <t>3540cf66-235b-4584-9e76-146b6e532c69</t>
  </si>
  <si>
    <t>2023-03-30T23:19:50.968000+00:00</t>
  </si>
  <si>
    <t>left_lane3622</t>
  </si>
  <si>
    <t>a6eb5bf6-739b-40f3-ac85-e6e38c34dede</t>
  </si>
  <si>
    <t>2023-03-30T23:24:25.913000+00:00</t>
  </si>
  <si>
    <t>058c3a91-2f4d-4f96-9d0d-29c51077a86d</t>
  </si>
  <si>
    <t>2023-03-30T23:35:50.888000+00:00</t>
  </si>
  <si>
    <t>87fa21fa-f223-4a36-aaeb-369164215815</t>
  </si>
  <si>
    <t>2023-03-30T23:40:53.736000+00:00</t>
  </si>
  <si>
    <t>left_lane3614</t>
  </si>
  <si>
    <t>36a314be-761e-4ab2-ac0e-802b09d91787</t>
  </si>
  <si>
    <t>2023-03-30T23:45:59.530000+00:00</t>
  </si>
  <si>
    <t>5fca2a39-9bc0-40d3-88db-d41651ef413f</t>
  </si>
  <si>
    <t>2023-03-30T23:49:13.108000+00:00</t>
  </si>
  <si>
    <t>6f5a2171-3e33-44d8-9247-998f961a9e79</t>
  </si>
  <si>
    <t>2023-03-30T23:59:02.950000+00:00</t>
  </si>
  <si>
    <t>left_lane3606</t>
  </si>
  <si>
    <t>5b1e3392-19c8-47e9-8e38-240ae726d778</t>
  </si>
  <si>
    <t>2023-03-31T00:04:11.694000+00:00</t>
  </si>
  <si>
    <t>4472549b-240a-412a-80ac-ac90ab1b61ff</t>
  </si>
  <si>
    <t>2023-03-31T00:09:19.035000+00:00</t>
  </si>
  <si>
    <t>d7017736-aaf4-4ce4-a89d-2f00451185fc</t>
  </si>
  <si>
    <t>2023-03-31T00:23:51.691000+00:00</t>
  </si>
  <si>
    <t>left_lane3596</t>
  </si>
  <si>
    <t>3a6c0cbf-d7ad-47d7-90a0-9b144b7cd97a</t>
  </si>
  <si>
    <t>2023-03-31T00:28:58.720000+00:00</t>
  </si>
  <si>
    <t>3a95ef74-cdea-4634-aed7-64f1c94c797c</t>
  </si>
  <si>
    <t>2023-03-31T00:34:10.740000+00:00</t>
  </si>
  <si>
    <t>8095b424-ce23-485b-9ec9-a24847ceb4d5</t>
  </si>
  <si>
    <t>2023-03-31T00:39:18.037000+00:00</t>
  </si>
  <si>
    <t>2a1acb61-ddaf-432f-8b9b-a67c6e5d573a</t>
  </si>
  <si>
    <t>2023-03-31T00:42:29.134000+00:00</t>
  </si>
  <si>
    <t>2b29d705-3ed0-4ad8-8ded-53a7076ff72a</t>
  </si>
  <si>
    <t>2023-03-31T00:50:47.394000+00:00</t>
  </si>
  <si>
    <t>f017efa5-7948-4158-b1c5-3793a7e36657</t>
  </si>
  <si>
    <t>2023-03-31T00:59:48.834000+00:00</t>
  </si>
  <si>
    <t>left_lane3580</t>
  </si>
  <si>
    <t>5fee81cc-af73-4234-966c-920dc2366bae</t>
  </si>
  <si>
    <t>2023-03-31T01:09:57.585000+00:00</t>
  </si>
  <si>
    <t>left_lane3578</t>
  </si>
  <si>
    <t>e88767f1-2319-4f9e-9b0f-48963bf25376</t>
  </si>
  <si>
    <t>2023-03-31T01:15:04.649000+00:00</t>
  </si>
  <si>
    <t>left_lane3574</t>
  </si>
  <si>
    <t>2bc7564c-5434-4caf-9d27-d3a024776c3d</t>
  </si>
  <si>
    <t>2023-03-31T01:20:09.985000+00:00</t>
  </si>
  <si>
    <t>left_lane3572</t>
  </si>
  <si>
    <t>5e0610ac-97a8-43e9-b343-55ea3a36c927</t>
  </si>
  <si>
    <t>2023-03-31T01:23:20.410000+00:00</t>
  </si>
  <si>
    <t>48b55892-1a07-4d14-8ec1-9186bc54e015</t>
  </si>
  <si>
    <t>2023-03-31T01:33:30.473000+00:00</t>
  </si>
  <si>
    <t>09768558-ee2c-45ec-8485-23da18d46ba7</t>
  </si>
  <si>
    <t>2023-03-31T01:45:52.660000+00:00</t>
  </si>
  <si>
    <t>c437c442-2df7-4c3f-a1b5-4377866758d6</t>
  </si>
  <si>
    <t>2023-03-31T01:56:03.205000+00:00</t>
  </si>
  <si>
    <t>ff56725e-b185-4a91-897c-3b6ef5c6489c</t>
  </si>
  <si>
    <t>2023-03-31T01:59:09.392000+00:00</t>
  </si>
  <si>
    <t>6297f997-585c-42a5-8de5-08030dcbddbb</t>
  </si>
  <si>
    <t>2023-03-31T02:07:22.111000+00:00</t>
  </si>
  <si>
    <t>b109589a-0445-43e5-9daf-ef8c9e602de9</t>
  </si>
  <si>
    <t>2023-03-31T02:17:18.787000+00:00</t>
  </si>
  <si>
    <t>a5448495-1362-4c0a-9105-d7cc7578111c</t>
  </si>
  <si>
    <t>2023-03-31T02:27:05.699000+00:00</t>
  </si>
  <si>
    <t>left_lane3548</t>
  </si>
  <si>
    <t>7d1d20c4-b2ed-4a9b-a1c8-99a928fd45ae</t>
  </si>
  <si>
    <t>2023-03-31T02:30:11.339000+00:00</t>
  </si>
  <si>
    <t>ee23b8a7-f6d5-4963-bf1d-de296b809b77</t>
  </si>
  <si>
    <t>2023-03-31T02:40:22.347000+00:00</t>
  </si>
  <si>
    <t>021e1c19-830a-4c2c-bdf8-9e035a8caf3d</t>
  </si>
  <si>
    <t>2023-03-31T02:43:26.630000+00:00</t>
  </si>
  <si>
    <t>cae20f0f-823d-4169-a7e1-8c8dcca48712</t>
  </si>
  <si>
    <t>2023-03-31T02:51:38.864000+00:00</t>
  </si>
  <si>
    <t>4aab453d-8298-44c7-8da4-1561326e13ff</t>
  </si>
  <si>
    <t>2023-03-31T03:01:45.115000+00:00</t>
  </si>
  <si>
    <t>0c6c683b-8f55-4f0c-b0e8-455c53b33470</t>
  </si>
  <si>
    <t>2023-03-31T03:07:57.755000+00:00</t>
  </si>
  <si>
    <t>decabd74-8f1c-4e0a-8105-6b55f19ada8a</t>
  </si>
  <si>
    <t>2023-03-31T03:12:43.029000+00:00</t>
  </si>
  <si>
    <t>3cabb18e-3123-4cf3-81cf-afe1c3e9cc36</t>
  </si>
  <si>
    <t>2023-03-31T03:17:50.505000+00:00</t>
  </si>
  <si>
    <t>f44cc160-cd22-4725-9203-404d30b4e9d8</t>
  </si>
  <si>
    <t>2023-03-31T03:20:56.914000+00:00</t>
  </si>
  <si>
    <t>d055a441-4bec-4744-bc0e-928e47d11745</t>
  </si>
  <si>
    <t>2023-03-31T03:31:04.514000+00:00</t>
  </si>
  <si>
    <t>1ecdc207-3f78-485c-9081-4c2ea6fe41a7</t>
  </si>
  <si>
    <t>2023-03-31T03:36:07.078000+00:00</t>
  </si>
  <si>
    <t>c865c8f9-0bb1-40d3-89e0-6fb928f8f231</t>
  </si>
  <si>
    <t>2023-03-31T03:45:49.578000+00:00</t>
  </si>
  <si>
    <t>3f505952-497b-4e5a-b5ca-165897c02e2e</t>
  </si>
  <si>
    <t>2023-03-31T03:48:54.971000+00:00</t>
  </si>
  <si>
    <t>864c2f57-f44e-476a-88f4-79b6b92b76f3</t>
  </si>
  <si>
    <t>2023-03-31T03:57:25.045000+00:00</t>
  </si>
  <si>
    <t>e23ac41b-37fe-46aa-ba8f-3223b352faf8</t>
  </si>
  <si>
    <t>75141704-9a85-4b93-bbdf-f1abd29e3d35</t>
  </si>
  <si>
    <t>2023-03-30T10:46:33.734000+00:00</t>
  </si>
  <si>
    <t>9531d304-f193-4558-9f4d-fdf53ccb1a07</t>
  </si>
  <si>
    <t>2023-03-30T10:54:34.671000+00:00</t>
  </si>
  <si>
    <t>5b5e1250-76bb-44f0-8e02-68d3f5c790b8</t>
  </si>
  <si>
    <t>2023-03-30T10:59:29.770000+00:00</t>
  </si>
  <si>
    <t>daa7c985-d7cb-4393-b038-d111ebf818d9</t>
  </si>
  <si>
    <t>2023-03-30T11:04:38.041000+00:00</t>
  </si>
  <si>
    <t>441dd31b-aeba-47cd-8ac5-688dc28d3943</t>
  </si>
  <si>
    <t>2023-03-30T11:09:37.931000+00:00</t>
  </si>
  <si>
    <t>ae2f257b-6e5f-4771-afdb-aa6c0b02e83d</t>
  </si>
  <si>
    <t>2023-03-30T11:23:26.866000+00:00</t>
  </si>
  <si>
    <t>5617964f-cd9d-466a-b509-a91b47769c2d</t>
  </si>
  <si>
    <t>2023-03-30T11:28:29.061000+00:00</t>
  </si>
  <si>
    <t>e0a9c544-db4b-4979-90f9-b63922a9e519</t>
  </si>
  <si>
    <t>slip: error code 0x1060007 is not supported; inductive: inductive does not see rails</t>
  </si>
  <si>
    <t>2023-03-30T11:34:06.544000+00:00</t>
  </si>
  <si>
    <t>b378c8cb-8e3d-4e47-adb4-ce12457e71d7</t>
  </si>
  <si>
    <t>2023-04-01T20:51:13.934000+00:00</t>
  </si>
  <si>
    <t>left_block15_lane7</t>
  </si>
  <si>
    <t>f513bc6a-1585-4477-bfc9-1895c87cbf72</t>
  </si>
  <si>
    <t>9258e5d1-3c3c-4d87-aa81-17731f0b789d</t>
  </si>
  <si>
    <t>2023-03-31T22:40:18.633000+00:00</t>
  </si>
  <si>
    <t>f717894c-6099-4ca2-a275-51022ad3a6b7</t>
  </si>
  <si>
    <t>c324e81d-85df-4575-8d19-e146d0fe467c</t>
  </si>
  <si>
    <t>2023-03-31T21:59:53.357000+00:00</t>
  </si>
  <si>
    <t>left_block44_lane3</t>
  </si>
  <si>
    <t>8013adc6-4e40-4bc0-ad5c-dc1391b6a15a</t>
  </si>
  <si>
    <t>5588fed5-bab5-4d93-a39a-7311d9fbb2a2</t>
  </si>
  <si>
    <t>2023-03-30T22:54:14.301000+00:00</t>
  </si>
  <si>
    <t>left_block7_lane3</t>
  </si>
  <si>
    <t>cf784d4c-401f-4b4e-b342-3d7726448aab</t>
  </si>
  <si>
    <t>8003d522-0b93-4559-af59-5bb98b2f733f</t>
  </si>
  <si>
    <t>2023-04-02T18:57:31.720000+00:00</t>
  </si>
  <si>
    <t>2023-04-02T19:06:12.460000+00:00</t>
  </si>
  <si>
    <t>b9ad54c1-d324-473b-8505-a0eed38b908c</t>
  </si>
  <si>
    <t>5af0ac1a-b952-459e-888f-7661326367ad</t>
  </si>
  <si>
    <t>2023-04-01T19:08:25.084000+00:00</t>
  </si>
  <si>
    <t>2023-04-01T19:25:35.426000+00:00</t>
  </si>
  <si>
    <t>3a01a856-2fea-42da-ac28-673111b1678f</t>
  </si>
  <si>
    <t>2023-04-01T11:02:43.284000+00:00</t>
  </si>
  <si>
    <t>97747997-b863-4906-8b07-62679b793d17</t>
  </si>
  <si>
    <t>9e404f1a-3ed1-4790-bbb2-b4f56ddf8e56</t>
  </si>
  <si>
    <t>2023-04-01T10:41:31.390000+00:00</t>
  </si>
  <si>
    <t>259ad7b0-849c-4a1d-a649-2227b27da993</t>
  </si>
  <si>
    <t>2023-03-31T19:22:08.488000+00:00</t>
  </si>
  <si>
    <t>775accf4-5ebc-49e7-b4f5-a0068ffa25fe</t>
  </si>
  <si>
    <t>636f6a10-a0db-4717-b10d-ee492bbef4b7</t>
  </si>
  <si>
    <t>2023-03-30T18:53:44.702000+00:00</t>
  </si>
  <si>
    <t>3e861d5e-55ec-43b4-a693-464793f1617a</t>
  </si>
  <si>
    <t>2023-03-30T18:55:19.844000+00:00</t>
  </si>
  <si>
    <t>2023-03-30T19:10:03.536000+00:00</t>
  </si>
  <si>
    <t>383aa1ef-b01d-40fa-8c54-d60b80b783a9</t>
  </si>
  <si>
    <t>2023-03-30T13:01:36.169000+00:00</t>
  </si>
  <si>
    <t>c7de0b4a-55d8-468f-8e4e-cb3ac8d369d1</t>
  </si>
  <si>
    <t>2023-03-30T13:08:37.243000+00:00</t>
  </si>
  <si>
    <t>Links</t>
  </si>
  <si>
    <t>2caef6da-f9a4-4a91-8d70-40685bb6f2f9</t>
  </si>
  <si>
    <t>2023-03-30T13:15:43.207000+00:00</t>
  </si>
  <si>
    <t>a941a601-7950-4b4b-b784-7957d6b3d33c</t>
  </si>
  <si>
    <t>2023-03-30T14:26:57.760000+00:00</t>
  </si>
  <si>
    <t>33e1d96d-8f53-4aab-ab01-3046fef79ca8</t>
  </si>
  <si>
    <t>fe4726ac-f7b5-432c-bb42-1a1dd283a002</t>
  </si>
  <si>
    <t>2023-03-30T22:09:02.020000+00:00</t>
  </si>
  <si>
    <t>lane_R49</t>
  </si>
  <si>
    <t>b5453b00-55c6-4fde-a793-820c1eb2d139</t>
  </si>
  <si>
    <t>194ac8b6-f040-4170-903a-078d7ce41c62</t>
  </si>
  <si>
    <t>2023-03-31T20:12:15.816000+00:00</t>
  </si>
  <si>
    <t>lane_R24</t>
  </si>
  <si>
    <t>a57bbb73-92e8-4261-82df-ef75f6702960</t>
  </si>
  <si>
    <t>20be8033-dfd2-4627-b528-092c8d4d2004</t>
  </si>
  <si>
    <t>2023-04-03T05:00:22.013000+00:00</t>
  </si>
  <si>
    <t>2e0eae28-d24b-4aa2-b4ae-616a417029f0</t>
  </si>
  <si>
    <t>2023-04-01T01:27:22.521000+00:00</t>
  </si>
  <si>
    <t>d79b0a5a-d675-4f71-8fad-fd523343eafb</t>
  </si>
  <si>
    <t>2023-03-31T01:33:53.857000+00:00</t>
  </si>
  <si>
    <t>668efdc0-0333-4411-9b5c-f8f3ccf839bc</t>
  </si>
  <si>
    <t>2023-03-30T14:24:54.988000+00:00</t>
  </si>
  <si>
    <t>5c7bc1bb-b0c4-4ab4-84c7-f0aa410fc879</t>
  </si>
  <si>
    <t>2023-04-02T09:03:53.935000+00:00</t>
  </si>
  <si>
    <t>e73e17c6-42de-4b8c-b77c-a67d2fa7fd29</t>
  </si>
  <si>
    <t>2023-04-01T16:05:46.877000+00:00</t>
  </si>
  <si>
    <t>fa3b934d-00ee-4703-b022-7c3bcc8ba18d</t>
  </si>
  <si>
    <t>feb6cf3b-46da-49ba-9aeb-8b6474fd1418</t>
  </si>
  <si>
    <t>2023-04-01T16:02:22.196000+00:00</t>
  </si>
  <si>
    <t>534b5028-20f6-4883-acb4-fa20b0ad308b</t>
  </si>
  <si>
    <t>66438757-5abd-4c54-bf4d-c1b30dd04851</t>
  </si>
  <si>
    <t>b51fb2f2-2f5c-47c5-a90d-3b8ffec93d9e</t>
  </si>
  <si>
    <t>2023-04-01T03:02:47.098000+00:00</t>
  </si>
  <si>
    <t>e5d711a5-6870-4ce9-83e4-e354bdccc20f</t>
  </si>
  <si>
    <t>2023-03-31T09:46:51.029000+00:00</t>
  </si>
  <si>
    <t>Count of error code</t>
  </si>
  <si>
    <t>Count of Diagnose</t>
  </si>
  <si>
    <t>0x01030003 Total</t>
  </si>
  <si>
    <t>Back wheel - cant get on rail Total</t>
  </si>
  <si>
    <t>Collision with infrastructure  Total</t>
  </si>
  <si>
    <t>Collision with obstacle in row Total</t>
  </si>
  <si>
    <t>0x01040004 Total</t>
  </si>
  <si>
    <t>EOL open issue Total</t>
  </si>
  <si>
    <t>0x01040102 Total</t>
  </si>
  <si>
    <t>EOL wall timeout - bad prediction Total</t>
  </si>
  <si>
    <t>Front wheel slip - bad prediction Total</t>
  </si>
  <si>
    <t>0x01040103 Total</t>
  </si>
  <si>
    <t>0x01040105 Total</t>
  </si>
  <si>
    <t>Front wheel slip - can't get on rail Total</t>
  </si>
  <si>
    <t>0x01050005 Total</t>
  </si>
  <si>
    <t>Inductive sensor received during laneswitch Total</t>
  </si>
  <si>
    <t>0x01060009 Total</t>
  </si>
  <si>
    <t>No vision heartbeat Total</t>
  </si>
  <si>
    <t>0x0106004a Total</t>
  </si>
  <si>
    <t>Slip recovery fails - bad LS Total</t>
  </si>
  <si>
    <t>0x01060101 Total</t>
  </si>
  <si>
    <t>Steering motor/drive issue Total</t>
  </si>
  <si>
    <t>0x01060165 Total</t>
  </si>
  <si>
    <t>Vision error Total</t>
  </si>
  <si>
    <t>bad LS - xtheta thrown away Total</t>
  </si>
  <si>
    <t>0x01080001 Total</t>
  </si>
  <si>
    <t>Collision with obstacle in walkway Total</t>
  </si>
  <si>
    <t>0x01060065 Total</t>
  </si>
  <si>
    <t>Steering motor/drive - No feedback error Total</t>
  </si>
  <si>
    <t>Rail infrastructure issue Total</t>
  </si>
  <si>
    <t>Front wheel - can't get on rail Total</t>
  </si>
  <si>
    <t>Count of failed_path</t>
  </si>
  <si>
    <t>(blank)</t>
  </si>
  <si>
    <t>unknown Total</t>
  </si>
  <si>
    <t>right_3255 Total</t>
  </si>
  <si>
    <t>right_3415 Total</t>
  </si>
  <si>
    <t>right_3261 Total</t>
  </si>
  <si>
    <t>right_3211 Total</t>
  </si>
  <si>
    <t>right_3015 Total</t>
  </si>
  <si>
    <t>right_block_32_lane_1 Total</t>
  </si>
  <si>
    <t>right_block_7_lane_1 Total</t>
  </si>
  <si>
    <t>left_block_18_lane_4 Total</t>
  </si>
  <si>
    <t>left_lane3176 Total</t>
  </si>
  <si>
    <t>right_3537 Total</t>
  </si>
  <si>
    <t>right_3491 Total</t>
  </si>
  <si>
    <t>left_lane3490 Total</t>
  </si>
  <si>
    <t>left_lane3402 Total</t>
  </si>
  <si>
    <t>right_block_16_lane_1 Total</t>
  </si>
  <si>
    <t>right_block_18_lane_1 Total</t>
  </si>
  <si>
    <t>left_block_9_lane_1 Total</t>
  </si>
  <si>
    <t>right_block_14_lane_3 Total</t>
  </si>
  <si>
    <t>right_block_14_lane_2 Total</t>
  </si>
  <si>
    <t>left_block_4_lane_1 Total</t>
  </si>
  <si>
    <t>right_3143 Total</t>
  </si>
  <si>
    <t>right_block_1_lane_3 Total</t>
  </si>
  <si>
    <t>left_block_14_lane_1 Total</t>
  </si>
  <si>
    <t>right_block_16_lane_2 Total</t>
  </si>
  <si>
    <t>right_3539 Total</t>
  </si>
  <si>
    <t>left_block_1_lane_4 Total</t>
  </si>
  <si>
    <t>right_3603 Total</t>
  </si>
  <si>
    <t>right_3083 Total</t>
  </si>
  <si>
    <t>right_3651 Total</t>
  </si>
  <si>
    <t>left_block_10_lane_1 Total</t>
  </si>
  <si>
    <t>right_3659 Total</t>
  </si>
  <si>
    <t>right_3427 Total</t>
  </si>
  <si>
    <t>right_3747 Total</t>
  </si>
  <si>
    <t>right_3007 Total</t>
  </si>
  <si>
    <t>right_3355 Total</t>
  </si>
  <si>
    <t>right_block_11_lane_5 Total</t>
  </si>
  <si>
    <t>right_3691 Total</t>
  </si>
  <si>
    <t>right_3581 Total</t>
  </si>
  <si>
    <t>left_lane3610 Total</t>
  </si>
  <si>
    <t>right_3489 Total</t>
  </si>
  <si>
    <t>right_3629 Total</t>
  </si>
  <si>
    <t>left_lane3584 Total</t>
  </si>
  <si>
    <t>left_lane3554 Total</t>
  </si>
  <si>
    <t>right_3531 Total</t>
  </si>
  <si>
    <t>right_3557 Total</t>
  </si>
  <si>
    <t>left_lane3594 Total</t>
  </si>
  <si>
    <t>right_3607 Total</t>
  </si>
  <si>
    <t>left_lane3616 Total</t>
  </si>
  <si>
    <t>right_3665 Total</t>
  </si>
  <si>
    <t>right_3553 Total</t>
  </si>
  <si>
    <t>right_3715 Total</t>
  </si>
  <si>
    <t>right_3591 Total</t>
  </si>
  <si>
    <t>left_lane3586 Total</t>
  </si>
  <si>
    <t>left_lane3196 Total</t>
  </si>
  <si>
    <t>right_3541 Total</t>
  </si>
  <si>
    <t>right_3633 Total</t>
  </si>
  <si>
    <t>right_3569 Total</t>
  </si>
  <si>
    <t>left_lane3328 Total</t>
  </si>
  <si>
    <t>right_3595 Total</t>
  </si>
  <si>
    <t>left_block_12_lane_4 Total</t>
  </si>
  <si>
    <t>right_3619 Total</t>
  </si>
  <si>
    <t>right_3677 Total</t>
  </si>
  <si>
    <t>right_3645 Total</t>
  </si>
  <si>
    <t>left_lane3450 Total</t>
  </si>
  <si>
    <t>right_3681 Total</t>
  </si>
  <si>
    <t>right_block_1_lane_2 Total</t>
  </si>
  <si>
    <t>right_3703 Total</t>
  </si>
  <si>
    <t>right_block_11_lane_3 Total</t>
  </si>
  <si>
    <t>right_3725 Total</t>
  </si>
  <si>
    <t>right_block_17_lane_6 Total</t>
  </si>
  <si>
    <t>left_lane3558 Total</t>
  </si>
  <si>
    <t>right_block_2_lane_1 Total</t>
  </si>
  <si>
    <t>left_lane3602 Total</t>
  </si>
  <si>
    <t>right_block_20_lane_7 Total</t>
  </si>
  <si>
    <t>left_lane3620 Total</t>
  </si>
  <si>
    <t>right_block_21_lane_1 Total</t>
  </si>
  <si>
    <t>right_3549 Total</t>
  </si>
  <si>
    <t>right_block_21_lane_2 Total</t>
  </si>
  <si>
    <t>right_3563 Total</t>
  </si>
  <si>
    <t>right_block_22_lane_6 Total</t>
  </si>
  <si>
    <t>right_3573 Total</t>
  </si>
  <si>
    <t>left_lane3488 Total</t>
  </si>
  <si>
    <t>right_3587 Total</t>
  </si>
  <si>
    <t>right_3169 Total</t>
  </si>
  <si>
    <t>right_3601 Total</t>
  </si>
  <si>
    <t>right_block_12_lane_5 Total</t>
  </si>
  <si>
    <t>right_3613 Total</t>
  </si>
  <si>
    <t>right_3201 Total</t>
  </si>
  <si>
    <t>right_3623 Total</t>
  </si>
  <si>
    <t>left_block_10_lane_6 Total</t>
  </si>
  <si>
    <t>right_3637 Total</t>
  </si>
  <si>
    <t>right_3205 Total</t>
  </si>
  <si>
    <t>right_3653 Total</t>
  </si>
  <si>
    <t>left_block_5_lane_4 Total</t>
  </si>
  <si>
    <t>right_3671 Total</t>
  </si>
  <si>
    <t>right_block_20_lane_2 Total</t>
  </si>
  <si>
    <t>right_3685 Total</t>
  </si>
  <si>
    <t>right_block_28_lane_1 Total</t>
  </si>
  <si>
    <t>right_3699 Total</t>
  </si>
  <si>
    <t>left_block_15_lane_1 Total</t>
  </si>
  <si>
    <t>right_3709 Total</t>
  </si>
  <si>
    <t>left_block_6_lane_7 Total</t>
  </si>
  <si>
    <t>right_3719 Total</t>
  </si>
  <si>
    <t>left_block_7_lane_6 Total</t>
  </si>
  <si>
    <t>left_lane3568 Total</t>
  </si>
  <si>
    <t>left_block_8_lane_2 Total</t>
  </si>
  <si>
    <t>left_lane3556 Total</t>
  </si>
  <si>
    <t>left_block_8_lane_7 Total</t>
  </si>
  <si>
    <t>left_lane3562 Total</t>
  </si>
  <si>
    <t>left_block_9_lane_2 Total</t>
  </si>
  <si>
    <t>left_lane3588 Total</t>
  </si>
  <si>
    <t>left_lane3510 Total</t>
  </si>
  <si>
    <t>left_lane3604 Total</t>
  </si>
  <si>
    <t>left_block_11_lane_1 Total</t>
  </si>
  <si>
    <t>left_lane3612 Total</t>
  </si>
  <si>
    <t>left_block_11_lane_2 Total</t>
  </si>
  <si>
    <t>right_3509 Total</t>
  </si>
  <si>
    <t>left_lane3532 Total</t>
  </si>
  <si>
    <t>right_3547 Total</t>
  </si>
  <si>
    <t>left_lane3542 Total</t>
  </si>
  <si>
    <t>right_3555 Total</t>
  </si>
  <si>
    <t>right_3361 Total</t>
  </si>
  <si>
    <t>right_3559 Total</t>
  </si>
  <si>
    <t>right_block_8_lane_1 Total</t>
  </si>
  <si>
    <t>right_3565 Total</t>
  </si>
  <si>
    <t>right_block_13_lane_4 Total</t>
  </si>
  <si>
    <t>right_3571 Total</t>
  </si>
  <si>
    <t>left_block_10_lane_7 Total</t>
  </si>
  <si>
    <t>right_3579 Total</t>
  </si>
  <si>
    <t>left_lane3552 Total</t>
  </si>
  <si>
    <t>right_3585 Total</t>
  </si>
  <si>
    <t>right_block_9_lane_2 Total</t>
  </si>
  <si>
    <t>right_3589 Total</t>
  </si>
  <si>
    <t>right_block_8_lane_6 Total</t>
  </si>
  <si>
    <t>right_3597 Total</t>
  </si>
  <si>
    <t>right_block_8_lane_2 Total</t>
  </si>
  <si>
    <t>right_3605 Total</t>
  </si>
  <si>
    <t>right_block_14_lane_4 Total</t>
  </si>
  <si>
    <t>right_3611 Total</t>
  </si>
  <si>
    <t>right_3731 Total</t>
  </si>
  <si>
    <t>left_block_1_lane_3 Total</t>
  </si>
  <si>
    <t>right_3733 Total</t>
  </si>
  <si>
    <t>right_3621 Total</t>
  </si>
  <si>
    <t>right_3741 Total</t>
  </si>
  <si>
    <t>right_3627 Total</t>
  </si>
  <si>
    <t>right_3749 Total</t>
  </si>
  <si>
    <t>right_3635 Total</t>
  </si>
  <si>
    <t>right_3755 Total</t>
  </si>
  <si>
    <t>right_3643 Total</t>
  </si>
  <si>
    <t>right_3763 Total</t>
  </si>
  <si>
    <t>right_3649 Total</t>
  </si>
  <si>
    <t>right_3771 Total</t>
  </si>
  <si>
    <t>right_3661 Total</t>
  </si>
  <si>
    <t>right_block_14_lane_1 Total</t>
  </si>
  <si>
    <t>right_3667 Total</t>
  </si>
  <si>
    <t>right_block_12_lane_6 Total</t>
  </si>
  <si>
    <t>right_3675 Total</t>
  </si>
  <si>
    <t>left_lane3514 Total</t>
  </si>
  <si>
    <t>right_3683 Total</t>
  </si>
  <si>
    <t>left_lane3516 Total</t>
  </si>
  <si>
    <t>right_3687 Total</t>
  </si>
  <si>
    <t>left_lane3520 Total</t>
  </si>
  <si>
    <t>right_3697 Total</t>
  </si>
  <si>
    <t>left_lane3522 Total</t>
  </si>
  <si>
    <t>right_3701 Total</t>
  </si>
  <si>
    <t>left_lane3524 Total</t>
  </si>
  <si>
    <t>right_3707 Total</t>
  </si>
  <si>
    <t>left_lane3526 Total</t>
  </si>
  <si>
    <t>right_3713 Total</t>
  </si>
  <si>
    <t>left_lane3530 Total</t>
  </si>
  <si>
    <t>right_3717 Total</t>
  </si>
  <si>
    <t>left_lane3536 Total</t>
  </si>
  <si>
    <t>right_3723 Total</t>
  </si>
  <si>
    <t>left_lane3538 Total</t>
  </si>
  <si>
    <t>right_3729 Total</t>
  </si>
  <si>
    <t>left_lane3540 Total</t>
  </si>
  <si>
    <t>left_lane3546 Total</t>
  </si>
  <si>
    <t>right_3739 Total</t>
  </si>
  <si>
    <t>right_block_11_lane_7 Total</t>
  </si>
  <si>
    <t>right_3745 Total</t>
  </si>
  <si>
    <t>right_block_11_lane_2 Total</t>
  </si>
  <si>
    <t>right_3751 Total</t>
  </si>
  <si>
    <t>right_block_21_lane_6 Total</t>
  </si>
  <si>
    <t>right_3757 Total</t>
  </si>
  <si>
    <t>right_block_17_lane_2 Total</t>
  </si>
  <si>
    <t>right_3765 Total</t>
  </si>
  <si>
    <t>right_block_14_lane_7 Total</t>
  </si>
  <si>
    <t>right_3345 Total</t>
  </si>
  <si>
    <t>right_block_14_lane_6 Total</t>
  </si>
  <si>
    <t>right_3617 Total</t>
  </si>
  <si>
    <t>left_lane3718 Total</t>
  </si>
  <si>
    <t>right_block_7_lane_7 Total</t>
  </si>
  <si>
    <t>right_block_17_lane_4 Total</t>
  </si>
  <si>
    <t>right_3429 Total</t>
  </si>
  <si>
    <t>left_lane3808 Total</t>
  </si>
  <si>
    <t>right_3431 Total</t>
  </si>
  <si>
    <t>left_lane3596 Total</t>
  </si>
  <si>
    <t>right_3375 Total</t>
  </si>
  <si>
    <t>right_block_13_lane_7 Total</t>
  </si>
  <si>
    <t>right_3435 Total</t>
  </si>
  <si>
    <t>right_3507 Total</t>
  </si>
  <si>
    <t>right_3439 Total</t>
  </si>
  <si>
    <t>left_lane3764 Total</t>
  </si>
  <si>
    <t>right_3441 Total</t>
  </si>
  <si>
    <t>left_lane3670 Total</t>
  </si>
  <si>
    <t>right_3445 Total</t>
  </si>
  <si>
    <t>right_block_19_lane_1 Total</t>
  </si>
  <si>
    <t>right_3453 Total</t>
  </si>
  <si>
    <t>right_block_15_lane_7 Total</t>
  </si>
  <si>
    <t>right_3455 Total</t>
  </si>
  <si>
    <t>right_block_10_lane_4 Total</t>
  </si>
  <si>
    <t>right_3477 Total</t>
  </si>
  <si>
    <t>left_block_20_lane_6 Total</t>
  </si>
  <si>
    <t>right_3485 Total</t>
  </si>
  <si>
    <t>right_3567 Total</t>
  </si>
  <si>
    <t>left_block_30_lane_4 Total</t>
  </si>
  <si>
    <t>left_lane3786 Total</t>
  </si>
  <si>
    <t>left_block_30_lane_6 Total</t>
  </si>
  <si>
    <t>left_lane3740 Total</t>
  </si>
  <si>
    <t>left_block_1_lane_5 Total</t>
  </si>
  <si>
    <t>left_lane3696 Total</t>
  </si>
  <si>
    <t>left_block_6_lane_2 Total</t>
  </si>
  <si>
    <t>left_lane3642 Total</t>
  </si>
  <si>
    <t>left_block_16_lane_2 Total</t>
  </si>
  <si>
    <t>right_block_19_lane_5 Total</t>
  </si>
  <si>
    <t>left_lane3570 Total</t>
  </si>
  <si>
    <t>right_block_18_lane_4 Total</t>
  </si>
  <si>
    <t>right_3575 Total</t>
  </si>
  <si>
    <t>right_block_16_lane_6 Total</t>
  </si>
  <si>
    <t>left_lane3564 Total</t>
  </si>
  <si>
    <t>right_block_15_lane_3 Total</t>
  </si>
  <si>
    <t>left_block_9_lane_6 Total</t>
  </si>
  <si>
    <t>right_block_13_lane_1 Total</t>
  </si>
  <si>
    <t>left_lane3590 Total</t>
  </si>
  <si>
    <t>right_block_8_lane_7 Total</t>
  </si>
  <si>
    <t>left_block_1_lane_6 Total</t>
  </si>
  <si>
    <t>right_block_5_lane_6 Total</t>
  </si>
  <si>
    <t>left_lane3600 Total</t>
  </si>
  <si>
    <t>left_block_13_lane_1 Total</t>
  </si>
  <si>
    <t>left_lane3178 Total</t>
  </si>
  <si>
    <t>right_3523 Total</t>
  </si>
  <si>
    <t>right_3663 Total</t>
  </si>
  <si>
    <t>left_lane3504 Total</t>
  </si>
  <si>
    <t>left_lane3634 Total</t>
  </si>
  <si>
    <t>left_lane3796 Total</t>
  </si>
  <si>
    <t>left_lane3660 Total</t>
  </si>
  <si>
    <t>left_lane3776 Total</t>
  </si>
  <si>
    <t>right_3791 Total</t>
  </si>
  <si>
    <t>left_lane3754 Total</t>
  </si>
  <si>
    <t>right_3827 Total</t>
  </si>
  <si>
    <t>left_lane3730 Total</t>
  </si>
  <si>
    <t>left_lane3664 Total</t>
  </si>
  <si>
    <t>left_lane3708 Total</t>
  </si>
  <si>
    <t>right_block_1_lane_4 Total</t>
  </si>
  <si>
    <t>left_lane3684 Total</t>
  </si>
  <si>
    <t>right_block_1_lane_7 Total</t>
  </si>
  <si>
    <t>left_lane3652 Total</t>
  </si>
  <si>
    <t>left_lane3676 Total</t>
  </si>
  <si>
    <t>left_lane3626 Total</t>
  </si>
  <si>
    <t>left_lane3702 Total</t>
  </si>
  <si>
    <t>left_lane3572 Total</t>
  </si>
  <si>
    <t>left_lane3748 Total</t>
  </si>
  <si>
    <t>right_block_19_lane_3 Total</t>
  </si>
  <si>
    <t>left_lane3182 Total</t>
  </si>
  <si>
    <t>right_block_18_lane_6 Total</t>
  </si>
  <si>
    <t>right_3009 Total</t>
  </si>
  <si>
    <t>right_block_17_lane_7 Total</t>
  </si>
  <si>
    <t>right_3011 Total</t>
  </si>
  <si>
    <t>right_block_17_lane_1 Total</t>
  </si>
  <si>
    <t>right_3013 Total</t>
  </si>
  <si>
    <t>right_block_16_lane_4 Total</t>
  </si>
  <si>
    <t>right_block_27_lane_1 Total</t>
  </si>
  <si>
    <t>right_block_15_lane_5 Total</t>
  </si>
  <si>
    <t>left_block_21_lane_4 Total</t>
  </si>
  <si>
    <t>right_block_15_lane_1 Total</t>
  </si>
  <si>
    <t>right_block_32_lane_5 Total</t>
  </si>
  <si>
    <t>right_block_13_lane_3 Total</t>
  </si>
  <si>
    <t>right_block_32_lane_6 Total</t>
  </si>
  <si>
    <t>right_block_12_lane_2 Total</t>
  </si>
  <si>
    <t>right_block_4_lane_7 Total</t>
  </si>
  <si>
    <t>right_block_9_lane_3 Total</t>
  </si>
  <si>
    <t>right_block_7_lane_5 Total</t>
  </si>
  <si>
    <t>right_block_8_lane_4 Total</t>
  </si>
  <si>
    <t>right_block_7_lane_6 Total</t>
  </si>
  <si>
    <t>left_block_3_lane_2 Total</t>
  </si>
  <si>
    <t>right_3019 Total</t>
  </si>
  <si>
    <t>left_block_21_lane_2 Total</t>
  </si>
  <si>
    <t>waypoint-end-right_3089-left Total</t>
  </si>
  <si>
    <t>left_block_16_lane_1 Total</t>
  </si>
  <si>
    <t>left_block_18_lane_3 Total</t>
  </si>
  <si>
    <t>left_block_7_lane_2 Total</t>
  </si>
  <si>
    <t>left_block_19_lane_4 Total</t>
  </si>
  <si>
    <t>right_3517 Total</t>
  </si>
  <si>
    <t>right_3021 Total</t>
  </si>
  <si>
    <t>right_3527 Total</t>
  </si>
  <si>
    <t>right_3023 Total</t>
  </si>
  <si>
    <t>left_lane3284 Total</t>
  </si>
  <si>
    <t>left_block_29_lane_4 Total</t>
  </si>
  <si>
    <t>left_lane3814 Total</t>
  </si>
  <si>
    <t>right_3025 Total</t>
  </si>
  <si>
    <t>left_lane3802 Total</t>
  </si>
  <si>
    <t>right_3077 Total</t>
  </si>
  <si>
    <t>left_lane3792 Total</t>
  </si>
  <si>
    <t>right_3079 Total</t>
  </si>
  <si>
    <t>left_lane3780 Total</t>
  </si>
  <si>
    <t>left_block_1_lane_2 Total</t>
  </si>
  <si>
    <t>left_lane3770 Total</t>
  </si>
  <si>
    <t>right_3639 Total</t>
  </si>
  <si>
    <t>left_lane3760 Total</t>
  </si>
  <si>
    <t>left_lane3200 Total</t>
  </si>
  <si>
    <t>left_lane3746 Total</t>
  </si>
  <si>
    <t>right_3089 Total</t>
  </si>
  <si>
    <t>left_lane3734 Total</t>
  </si>
  <si>
    <t>right_3091 Total</t>
  </si>
  <si>
    <t>left_lane3724 Total</t>
  </si>
  <si>
    <t>right_block_18_lane_2 Total</t>
  </si>
  <si>
    <t>left_lane3714 Total</t>
  </si>
  <si>
    <t>right_3093 Total</t>
  </si>
  <si>
    <t>left_lane3700 Total</t>
  </si>
  <si>
    <t>right_3105 Total</t>
  </si>
  <si>
    <t>left_lane3690 Total</t>
  </si>
  <si>
    <t>right_3131 Total</t>
  </si>
  <si>
    <t>left_lane3680 Total</t>
  </si>
  <si>
    <t>right_3669 Total</t>
  </si>
  <si>
    <t>left_lane3666 Total</t>
  </si>
  <si>
    <t>right_3133 Total</t>
  </si>
  <si>
    <t>left_lane3648 Total</t>
  </si>
  <si>
    <t>left_lane3206 Total</t>
  </si>
  <si>
    <t>left_lane3636 Total</t>
  </si>
  <si>
    <t>left_lane3310 Total</t>
  </si>
  <si>
    <t>left_lane3614 Total</t>
  </si>
  <si>
    <t>left_lane3326 Total</t>
  </si>
  <si>
    <t>left_lane3578 Total</t>
  </si>
  <si>
    <t>left_block_22_lane_4 Total</t>
  </si>
  <si>
    <t>right_block_19_lane_6 Total</t>
  </si>
  <si>
    <t>right_3203 Total</t>
  </si>
  <si>
    <t>right_block_19_lane_4 Total</t>
  </si>
  <si>
    <t>left_lane3358 Total</t>
  </si>
  <si>
    <t>right_block_19_lane_2 Total</t>
  </si>
  <si>
    <t>right_3207 Total</t>
  </si>
  <si>
    <t>right_block_18_lane_7 Total</t>
  </si>
  <si>
    <t>left_block_22_lane_5 Total</t>
  </si>
  <si>
    <t>right_block_18_lane_5 Total</t>
  </si>
  <si>
    <t>right_3215 Total</t>
  </si>
  <si>
    <t>right_block_18_lane_3 Total</t>
  </si>
  <si>
    <t>left_block_3_lane_1 Total</t>
  </si>
  <si>
    <t>right_block_17_lane_5 Total</t>
  </si>
  <si>
    <t>left_block_4_lane_2 Total</t>
  </si>
  <si>
    <t>right_block_17_lane_3 Total</t>
  </si>
  <si>
    <t>left_block_8_lane_1 Total</t>
  </si>
  <si>
    <t>right_block_16_lane_7 Total</t>
  </si>
  <si>
    <t>right_3253 Total</t>
  </si>
  <si>
    <t>right_block_16_lane_5 Total</t>
  </si>
  <si>
    <t>left_block_17_lane_4 Total</t>
  </si>
  <si>
    <t>right_block_16_lane_3 Total</t>
  </si>
  <si>
    <t>left_block_19_lane_2 Total</t>
  </si>
  <si>
    <t>right_block_15_lane_6 Total</t>
  </si>
  <si>
    <t>left_block_24_lane_2 Total</t>
  </si>
  <si>
    <t>right_block_15_lane_4 Total</t>
  </si>
  <si>
    <t>left_block_30_lane_8 Total</t>
  </si>
  <si>
    <t>right_block_15_lane_2 Total</t>
  </si>
  <si>
    <t>left_lane3412 Total</t>
  </si>
  <si>
    <t>right_block_14_lane_5 Total</t>
  </si>
  <si>
    <t>right_3259 Total</t>
  </si>
  <si>
    <t>right_block_13_lane_6 Total</t>
  </si>
  <si>
    <t>left_lane3420 Total</t>
  </si>
  <si>
    <t>right_block_13_lane_2 Total</t>
  </si>
  <si>
    <t>right_3263 Total</t>
  </si>
  <si>
    <t>right_block_12_lane_3 Total</t>
  </si>
  <si>
    <t>right_block_7_lane_2 Total</t>
  </si>
  <si>
    <t>right_block_11_lane_6 Total</t>
  </si>
  <si>
    <t>right_block_6_lane_3 Total</t>
  </si>
  <si>
    <t>right_block_9_lane_7 Total</t>
  </si>
  <si>
    <t>right_3281 Total</t>
  </si>
  <si>
    <t>right_block_9_lane_1 Total</t>
  </si>
  <si>
    <t>right_block_10_lane_7 Total</t>
  </si>
  <si>
    <t>right_block_8_lane_5 Total</t>
  </si>
  <si>
    <t>right_block_11_lane_4 Total</t>
  </si>
  <si>
    <t>right_block_8_lane_3 Total</t>
  </si>
  <si>
    <t>right_3339 Total</t>
  </si>
  <si>
    <t>right_3405 Total</t>
  </si>
  <si>
    <t>left_block_25_lane_7 Total</t>
  </si>
  <si>
    <t>right_3303 Total</t>
  </si>
  <si>
    <t>right_3761 Total</t>
  </si>
  <si>
    <t>left_block_21_lane_6 Total</t>
  </si>
  <si>
    <t>right_3359 Total</t>
  </si>
  <si>
    <t>left_block_21_lane_1 Total</t>
  </si>
  <si>
    <t>left_lane3478 Total</t>
  </si>
  <si>
    <t>left_block_16_lane_6 Total</t>
  </si>
  <si>
    <t>right_3767 Total</t>
  </si>
  <si>
    <t>left_block_15_lane_2 Total</t>
  </si>
  <si>
    <t>right_3409 Total</t>
  </si>
  <si>
    <t>left_block_12_lane_2 Total</t>
  </si>
  <si>
    <t>right_3773 Total</t>
  </si>
  <si>
    <t>right_3505 Total</t>
  </si>
  <si>
    <t>right_3777 Total</t>
  </si>
  <si>
    <t>right_3515 Total</t>
  </si>
  <si>
    <t>right_3779 Total</t>
  </si>
  <si>
    <t>right_3521 Total</t>
  </si>
  <si>
    <t>right_3781 Total</t>
  </si>
  <si>
    <t>right_3525 Total</t>
  </si>
  <si>
    <t>right_3783 Total</t>
  </si>
  <si>
    <t>right_3543 Total</t>
  </si>
  <si>
    <t>right_3787 Total</t>
  </si>
  <si>
    <t>right_3693 Total</t>
  </si>
  <si>
    <t>right_3789 Total</t>
  </si>
  <si>
    <t>left_lane3508 Total</t>
  </si>
  <si>
    <t>right_3793 Total</t>
  </si>
  <si>
    <t>left_lane3818 Total</t>
  </si>
  <si>
    <t>right_3795 Total</t>
  </si>
  <si>
    <t>left_lane3812 Total</t>
  </si>
  <si>
    <t>right_3797 Total</t>
  </si>
  <si>
    <t>left_lane3804 Total</t>
  </si>
  <si>
    <t>right_3799 Total</t>
  </si>
  <si>
    <t>left_lane3798 Total</t>
  </si>
  <si>
    <t>right_3803 Total</t>
  </si>
  <si>
    <t>left_lane3794 Total</t>
  </si>
  <si>
    <t>right_3805 Total</t>
  </si>
  <si>
    <t>left_lane3788 Total</t>
  </si>
  <si>
    <t>right_3809 Total</t>
  </si>
  <si>
    <t>left_lane3782 Total</t>
  </si>
  <si>
    <t>right_3811 Total</t>
  </si>
  <si>
    <t>left_lane3778 Total</t>
  </si>
  <si>
    <t>right_3813 Total</t>
  </si>
  <si>
    <t>left_lane3772 Total</t>
  </si>
  <si>
    <t>right_3815 Total</t>
  </si>
  <si>
    <t>left_lane3766 Total</t>
  </si>
  <si>
    <t>right_3819 Total</t>
  </si>
  <si>
    <t>left_lane3762 Total</t>
  </si>
  <si>
    <t>right_3821 Total</t>
  </si>
  <si>
    <t>left_lane3756 Total</t>
  </si>
  <si>
    <t>right_3823 Total</t>
  </si>
  <si>
    <t>left_lane3750 Total</t>
  </si>
  <si>
    <t>right_3825 Total</t>
  </si>
  <si>
    <t>left_lane3744 Total</t>
  </si>
  <si>
    <t>right_3829 Total</t>
  </si>
  <si>
    <t>left_lane3738 Total</t>
  </si>
  <si>
    <t>right_3103 Total</t>
  </si>
  <si>
    <t>left_lane3732 Total</t>
  </si>
  <si>
    <t>right_3181 Total</t>
  </si>
  <si>
    <t>left_lane3728 Total</t>
  </si>
  <si>
    <t>right_block_13_lane_5 Total</t>
  </si>
  <si>
    <t>left_lane3722 Total</t>
  </si>
  <si>
    <t>right_block_12_lane_7 Total</t>
  </si>
  <si>
    <t>left_lane3716 Total</t>
  </si>
  <si>
    <t>right_block_12_lane_4 Total</t>
  </si>
  <si>
    <t>left_lane3712 Total</t>
  </si>
  <si>
    <t>right_block_12_lane_1 Total</t>
  </si>
  <si>
    <t>left_lane3706 Total</t>
  </si>
  <si>
    <t>right_block_11_lane_1 Total</t>
  </si>
  <si>
    <t>left_lane3698 Total</t>
  </si>
  <si>
    <t>right_block_10_lane_6 Total</t>
  </si>
  <si>
    <t>left_lane3692 Total</t>
  </si>
  <si>
    <t>right_block_10_lane_5 Total</t>
  </si>
  <si>
    <t>left_lane3686 Total</t>
  </si>
  <si>
    <t>right_block_10_lane_3 Total</t>
  </si>
  <si>
    <t>left_lane3682 Total</t>
  </si>
  <si>
    <t>right_block_10_lane_2 Total</t>
  </si>
  <si>
    <t>left_lane3674 Total</t>
  </si>
  <si>
    <t>right_block_9_lane_6 Total</t>
  </si>
  <si>
    <t>left_lane3668 Total</t>
  </si>
  <si>
    <t>right_block_9_lane_5 Total</t>
  </si>
  <si>
    <t>left_lane3658 Total</t>
  </si>
  <si>
    <t>right_block_9_lane_4 Total</t>
  </si>
  <si>
    <t>left_lane3650 Total</t>
  </si>
  <si>
    <t>right_block_21_lane_5 Total</t>
  </si>
  <si>
    <t>left_lane3644 Total</t>
  </si>
  <si>
    <t>right_block_21_lane_4 Total</t>
  </si>
  <si>
    <t>left_lane3638 Total</t>
  </si>
  <si>
    <t>right_block_21_lane_3 Total</t>
  </si>
  <si>
    <t>left_lane3632 Total</t>
  </si>
  <si>
    <t>right_block_20_lane_6 Total</t>
  </si>
  <si>
    <t>left_lane3622 Total</t>
  </si>
  <si>
    <t>right_block_20_lane_5 Total</t>
  </si>
  <si>
    <t>left_lane3606 Total</t>
  </si>
  <si>
    <t>right_block_20_lane_4 Total</t>
  </si>
  <si>
    <t>left_lane3580 Total</t>
  </si>
  <si>
    <t>right_block_20_lane_3 Total</t>
  </si>
  <si>
    <t>left_lane3574 Total</t>
  </si>
  <si>
    <t>right_block_20_lane_1 Total</t>
  </si>
  <si>
    <t>left_lane3548 Total</t>
  </si>
  <si>
    <t>left_block_3_lane_6 Total</t>
  </si>
  <si>
    <t>right_block_19_lane_7 Total</t>
  </si>
  <si>
    <t>(blank) Total</t>
  </si>
  <si>
    <t>error_code</t>
  </si>
  <si>
    <t>diagnose</t>
  </si>
  <si>
    <t>test 1</t>
  </si>
  <si>
    <t>test 2</t>
  </si>
  <si>
    <t>test 3</t>
  </si>
  <si>
    <t>Check for high amplitude oscillation in currents</t>
  </si>
  <si>
    <t>Just recovered</t>
  </si>
  <si>
    <t>Error during laneswitch</t>
  </si>
  <si>
    <t>Bot drove less than 0.2m in row before high currents</t>
  </si>
  <si>
    <t>Bot drove for +/- 1m in row before high currents</t>
  </si>
  <si>
    <t>Check if inductive sensor detected during lane switch</t>
  </si>
  <si>
    <t>check_if_eol_open_received_before_error</t>
  </si>
  <si>
    <t>check_if_plausible_rail_measurements_are_thrown_away</t>
  </si>
  <si>
    <t>based on error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</si>
</sst>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mm;@"/>
    <numFmt numFmtId="165" formatCode="[$-409]dd\-mmm\-yy;@"/>
    <numFmt numFmtId="166" formatCode="0.0%"/>
  </numFmts>
  <fonts count="17">
    <font>
      <sz val="11"/>
      <color theme="1"/>
      <name val="Calibri"/>
      <family val="2"/>
      <scheme val="minor"/>
    </font>
    <font>
      <u/>
      <sz val="11"/>
      <color theme="10"/>
      <name val="Calibri"/>
      <family val="2"/>
      <scheme val="minor"/>
    </font>
    <font>
      <sz val="11"/>
      <color rgb="FF000000"/>
      <name val="Calibri"/>
      <family val="2"/>
    </font>
    <font>
      <sz val="8"/>
      <color rgb="FF000000"/>
      <name val="Helvetica"/>
      <charset val="1"/>
    </font>
    <font>
      <b/>
      <sz val="11"/>
      <color theme="0"/>
      <name val="Calibri"/>
      <family val="2"/>
      <scheme val="minor"/>
    </font>
    <font>
      <u/>
      <sz val="11"/>
      <color rgb="FF0070C0"/>
      <name val="Calibri"/>
      <family val="2"/>
      <scheme val="minor"/>
    </font>
    <font>
      <sz val="11"/>
      <name val="Calibri"/>
      <family val="2"/>
      <scheme val="minor"/>
    </font>
    <font>
      <b/>
      <sz val="11"/>
      <color theme="1"/>
      <name val="Calibri"/>
      <family val="2"/>
      <scheme val="minor"/>
    </font>
    <font>
      <b/>
      <sz val="11"/>
      <color rgb="FF000000"/>
      <name val="Calibri"/>
    </font>
    <font>
      <sz val="11"/>
      <color rgb="FF444444"/>
      <name val="Calibri"/>
      <family val="2"/>
      <charset val="1"/>
    </font>
    <font>
      <sz val="11"/>
      <color rgb="FF000000"/>
      <name val="Calibri"/>
      <charset val="1"/>
    </font>
    <font>
      <sz val="11"/>
      <color rgb="FF000000"/>
      <name val="Calibri"/>
    </font>
    <font>
      <sz val="10"/>
      <name val="Arial"/>
      <charset val="1"/>
    </font>
    <font>
      <b/>
      <sz val="10"/>
      <name val="Arial"/>
      <charset val="1"/>
    </font>
    <font>
      <b/>
      <sz val="11"/>
      <color rgb="FFFFFFFF"/>
      <name val="Calibri"/>
      <charset val="1"/>
    </font>
    <font>
      <sz val="11"/>
      <name val="Calibri"/>
      <charset val="1"/>
    </font>
    <font>
      <sz val="10"/>
      <color theme="1"/>
      <name val="Arial"/>
      <charset val="1"/>
    </font>
  </fonts>
  <fills count="12">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rgb="FFFF0000"/>
        <bgColor indexed="64"/>
      </patternFill>
    </fill>
    <fill>
      <patternFill patternType="solid">
        <fgColor theme="4"/>
        <bgColor theme="4"/>
      </patternFill>
    </fill>
    <fill>
      <patternFill patternType="solid">
        <fgColor rgb="FFFFFFFF"/>
        <bgColor indexed="64"/>
      </patternFill>
    </fill>
    <fill>
      <patternFill patternType="solid">
        <fgColor rgb="FF92D050"/>
        <bgColor indexed="64"/>
      </patternFill>
    </fill>
    <fill>
      <patternFill patternType="solid">
        <fgColor theme="5" tint="0.39997558519241921"/>
        <bgColor indexed="64"/>
      </patternFill>
    </fill>
    <fill>
      <patternFill patternType="solid">
        <fgColor rgb="FF00B050"/>
        <bgColor indexed="64"/>
      </patternFill>
    </fill>
    <fill>
      <patternFill patternType="solid">
        <fgColor rgb="FF4472C4"/>
        <bgColor indexed="64"/>
      </patternFill>
    </fill>
    <fill>
      <patternFill patternType="solid">
        <fgColor rgb="FFFFC000"/>
        <bgColor indexed="64"/>
      </patternFill>
    </fill>
  </fills>
  <borders count="8">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4472C4"/>
      </bottom>
      <diagonal/>
    </border>
    <border>
      <left style="thin">
        <color rgb="FF000000"/>
      </left>
      <right style="thin">
        <color rgb="FF000000"/>
      </right>
      <top/>
      <bottom/>
      <diagonal/>
    </border>
    <border>
      <left/>
      <right/>
      <top style="thin">
        <color theme="4"/>
      </top>
      <bottom/>
      <diagonal/>
    </border>
  </borders>
  <cellStyleXfs count="2">
    <xf numFmtId="0" fontId="0" fillId="0" borderId="0"/>
    <xf numFmtId="0" fontId="1" fillId="0" borderId="0" applyNumberFormat="0" applyFill="0" applyBorder="0" applyAlignment="0" applyProtection="0"/>
  </cellStyleXfs>
  <cellXfs count="85">
    <xf numFmtId="0" fontId="0" fillId="0" borderId="0" xfId="0"/>
    <xf numFmtId="0" fontId="0" fillId="2" borderId="1" xfId="0" applyFill="1" applyBorder="1"/>
    <xf numFmtId="0" fontId="0" fillId="2" borderId="2" xfId="0" applyFill="1" applyBorder="1"/>
    <xf numFmtId="14" fontId="0" fillId="2" borderId="2" xfId="0" applyNumberFormat="1" applyFill="1" applyBorder="1"/>
    <xf numFmtId="164" fontId="0" fillId="2" borderId="2" xfId="0" applyNumberFormat="1" applyFill="1" applyBorder="1"/>
    <xf numFmtId="0" fontId="1" fillId="2" borderId="2" xfId="1" applyFill="1" applyBorder="1"/>
    <xf numFmtId="0" fontId="0" fillId="2" borderId="3" xfId="0" applyFill="1" applyBorder="1"/>
    <xf numFmtId="0" fontId="0" fillId="0" borderId="1" xfId="0" applyBorder="1"/>
    <xf numFmtId="0" fontId="0" fillId="0" borderId="2" xfId="0" applyBorder="1"/>
    <xf numFmtId="14" fontId="0" fillId="0" borderId="2" xfId="0" applyNumberFormat="1" applyBorder="1"/>
    <xf numFmtId="164" fontId="0" fillId="0" borderId="2" xfId="0" applyNumberFormat="1" applyBorder="1"/>
    <xf numFmtId="0" fontId="1" fillId="0" borderId="2" xfId="1" applyBorder="1"/>
    <xf numFmtId="0" fontId="0" fillId="0" borderId="3" xfId="0" applyBorder="1"/>
    <xf numFmtId="11" fontId="0" fillId="2" borderId="1" xfId="0" applyNumberFormat="1" applyFill="1" applyBorder="1"/>
    <xf numFmtId="0" fontId="2" fillId="2" borderId="3" xfId="0" applyFont="1" applyFill="1" applyBorder="1"/>
    <xf numFmtId="11" fontId="0" fillId="2" borderId="2" xfId="0" applyNumberFormat="1" applyFill="1" applyBorder="1"/>
    <xf numFmtId="11" fontId="0" fillId="0" borderId="2" xfId="0" applyNumberFormat="1" applyBorder="1"/>
    <xf numFmtId="0" fontId="0" fillId="2" borderId="4" xfId="0" applyFill="1" applyBorder="1"/>
    <xf numFmtId="11" fontId="0" fillId="0" borderId="1" xfId="0" applyNumberFormat="1" applyBorder="1"/>
    <xf numFmtId="0" fontId="0" fillId="3" borderId="3" xfId="0" applyFill="1" applyBorder="1"/>
    <xf numFmtId="0" fontId="3" fillId="3" borderId="3" xfId="0" applyFont="1" applyFill="1" applyBorder="1"/>
    <xf numFmtId="0" fontId="0" fillId="4" borderId="3" xfId="0" applyFill="1" applyBorder="1"/>
    <xf numFmtId="0" fontId="0" fillId="2" borderId="3" xfId="0" applyFill="1" applyBorder="1" applyAlignment="1">
      <alignment wrapText="1"/>
    </xf>
    <xf numFmtId="0" fontId="4" fillId="5" borderId="1" xfId="0" applyFont="1" applyFill="1" applyBorder="1"/>
    <xf numFmtId="0" fontId="4" fillId="5" borderId="2" xfId="0" applyFont="1" applyFill="1" applyBorder="1"/>
    <xf numFmtId="164" fontId="4" fillId="5" borderId="2" xfId="0" applyNumberFormat="1" applyFont="1" applyFill="1" applyBorder="1"/>
    <xf numFmtId="0" fontId="4" fillId="5" borderId="3" xfId="0" applyFont="1" applyFill="1" applyBorder="1"/>
    <xf numFmtId="0" fontId="5" fillId="2" borderId="2" xfId="1" applyNumberFormat="1" applyFont="1" applyFill="1" applyBorder="1"/>
    <xf numFmtId="0" fontId="5" fillId="2" borderId="2" xfId="1" applyFont="1" applyFill="1" applyBorder="1"/>
    <xf numFmtId="0" fontId="5" fillId="0" borderId="2" xfId="0" applyFont="1" applyBorder="1"/>
    <xf numFmtId="0" fontId="5" fillId="2" borderId="2" xfId="0" applyFont="1" applyFill="1" applyBorder="1"/>
    <xf numFmtId="0" fontId="5" fillId="0" borderId="2" xfId="1" applyNumberFormat="1" applyFont="1" applyBorder="1"/>
    <xf numFmtId="0" fontId="5" fillId="0" borderId="2" xfId="1" applyFont="1" applyBorder="1"/>
    <xf numFmtId="0" fontId="1" fillId="2" borderId="2" xfId="1" applyNumberFormat="1" applyFill="1" applyBorder="1"/>
    <xf numFmtId="0" fontId="6" fillId="2" borderId="2" xfId="1" quotePrefix="1" applyNumberFormat="1" applyFont="1" applyFill="1" applyBorder="1"/>
    <xf numFmtId="0" fontId="6" fillId="0" borderId="2" xfId="1" quotePrefix="1" applyNumberFormat="1" applyFont="1" applyBorder="1"/>
    <xf numFmtId="0" fontId="1" fillId="0" borderId="2" xfId="1" applyNumberFormat="1" applyBorder="1"/>
    <xf numFmtId="11" fontId="0" fillId="2" borderId="3" xfId="0" applyNumberFormat="1" applyFill="1" applyBorder="1"/>
    <xf numFmtId="11" fontId="0" fillId="0" borderId="3" xfId="0" applyNumberFormat="1" applyBorder="1"/>
    <xf numFmtId="0" fontId="7" fillId="0" borderId="0" xfId="0" applyFont="1"/>
    <xf numFmtId="0" fontId="8" fillId="0" borderId="0" xfId="0" applyFont="1"/>
    <xf numFmtId="11" fontId="0" fillId="0" borderId="0" xfId="0" applyNumberFormat="1"/>
    <xf numFmtId="0" fontId="9" fillId="0" borderId="0" xfId="0" quotePrefix="1" applyFont="1"/>
    <xf numFmtId="165" fontId="0" fillId="0" borderId="0" xfId="0" applyNumberFormat="1"/>
    <xf numFmtId="164" fontId="0" fillId="0" borderId="0" xfId="0" applyNumberFormat="1"/>
    <xf numFmtId="0" fontId="1" fillId="0" borderId="0" xfId="1"/>
    <xf numFmtId="0" fontId="0" fillId="0" borderId="0" xfId="0" applyAlignment="1">
      <alignment wrapText="1"/>
    </xf>
    <xf numFmtId="0" fontId="10" fillId="0" borderId="0" xfId="0" applyFont="1" applyAlignment="1">
      <alignment wrapText="1"/>
    </xf>
    <xf numFmtId="0" fontId="11" fillId="0" borderId="0" xfId="0" applyFont="1" applyAlignment="1">
      <alignment wrapText="1"/>
    </xf>
    <xf numFmtId="14" fontId="0" fillId="0" borderId="0" xfId="0" applyNumberFormat="1"/>
    <xf numFmtId="0" fontId="0" fillId="2" borderId="0" xfId="0" applyFill="1"/>
    <xf numFmtId="0" fontId="1" fillId="0" borderId="0" xfId="1" applyAlignment="1">
      <alignment wrapText="1"/>
    </xf>
    <xf numFmtId="14" fontId="0" fillId="2" borderId="0" xfId="0" applyNumberFormat="1" applyFill="1"/>
    <xf numFmtId="164" fontId="0" fillId="2" borderId="0" xfId="0" applyNumberFormat="1" applyFill="1"/>
    <xf numFmtId="0" fontId="1" fillId="2" borderId="0" xfId="1" applyFill="1" applyBorder="1"/>
    <xf numFmtId="0" fontId="1" fillId="0" borderId="0" xfId="1" applyNumberFormat="1"/>
    <xf numFmtId="0" fontId="12" fillId="0" borderId="0" xfId="0" applyFont="1"/>
    <xf numFmtId="0" fontId="13" fillId="0" borderId="0" xfId="0" applyFont="1"/>
    <xf numFmtId="9" fontId="12" fillId="0" borderId="0" xfId="0" applyNumberFormat="1" applyFont="1"/>
    <xf numFmtId="0" fontId="12" fillId="0" borderId="0" xfId="0" applyFont="1" applyAlignment="1">
      <alignment wrapText="1"/>
    </xf>
    <xf numFmtId="0" fontId="0" fillId="3" borderId="1" xfId="0" applyFill="1" applyBorder="1"/>
    <xf numFmtId="0" fontId="1" fillId="0" borderId="0" xfId="1" quotePrefix="1"/>
    <xf numFmtId="0" fontId="0" fillId="3" borderId="0" xfId="0" applyFill="1"/>
    <xf numFmtId="0" fontId="12" fillId="0" borderId="1" xfId="0" applyFont="1" applyBorder="1"/>
    <xf numFmtId="0" fontId="0" fillId="7" borderId="0" xfId="0" applyFill="1"/>
    <xf numFmtId="0" fontId="0" fillId="8" borderId="1" xfId="0" applyFill="1" applyBorder="1"/>
    <xf numFmtId="0" fontId="12" fillId="7" borderId="0" xfId="0" applyFont="1" applyFill="1"/>
    <xf numFmtId="0" fontId="12" fillId="9" borderId="0" xfId="0" applyFont="1" applyFill="1"/>
    <xf numFmtId="0" fontId="15" fillId="0" borderId="0" xfId="0" applyFont="1" applyAlignment="1">
      <alignment wrapText="1"/>
    </xf>
    <xf numFmtId="11" fontId="12" fillId="0" borderId="0" xfId="0" applyNumberFormat="1" applyFont="1"/>
    <xf numFmtId="9" fontId="0" fillId="0" borderId="0" xfId="0" applyNumberFormat="1" applyAlignment="1">
      <alignment wrapText="1"/>
    </xf>
    <xf numFmtId="0" fontId="0" fillId="6" borderId="0" xfId="0" applyFill="1"/>
    <xf numFmtId="11" fontId="0" fillId="2" borderId="0" xfId="0" applyNumberFormat="1" applyFill="1"/>
    <xf numFmtId="9" fontId="0" fillId="0" borderId="0" xfId="0" applyNumberFormat="1"/>
    <xf numFmtId="166" fontId="12" fillId="0" borderId="0" xfId="0" applyNumberFormat="1" applyFont="1"/>
    <xf numFmtId="0" fontId="0" fillId="0" borderId="0" xfId="0" quotePrefix="1" applyAlignment="1">
      <alignment wrapText="1"/>
    </xf>
    <xf numFmtId="0" fontId="12" fillId="3" borderId="0" xfId="0" applyFont="1" applyFill="1"/>
    <xf numFmtId="0" fontId="16" fillId="0" borderId="0" xfId="0" applyFont="1"/>
    <xf numFmtId="0" fontId="14" fillId="10" borderId="5" xfId="0" applyFont="1" applyFill="1" applyBorder="1" applyAlignment="1">
      <alignment wrapText="1"/>
    </xf>
    <xf numFmtId="0" fontId="14" fillId="10" borderId="6" xfId="0" applyFont="1" applyFill="1" applyBorder="1" applyAlignment="1">
      <alignment wrapText="1"/>
    </xf>
    <xf numFmtId="0" fontId="0" fillId="0" borderId="0" xfId="0" pivotButton="1"/>
    <xf numFmtId="14" fontId="12" fillId="0" borderId="0" xfId="0" applyNumberFormat="1" applyFont="1"/>
    <xf numFmtId="0" fontId="0" fillId="11" borderId="0" xfId="0" applyFill="1"/>
    <xf numFmtId="0" fontId="12" fillId="0" borderId="7" xfId="0" applyFont="1" applyBorder="1"/>
    <xf numFmtId="11" fontId="16" fillId="0" borderId="0" xfId="0" applyNumberFormat="1" applyFont="1"/>
  </cellXfs>
  <cellStyles count="2">
    <cellStyle name="Hyperlink" xfId="1" builtinId="8"/>
    <cellStyle name="Normal" xfId="0" builtinId="0"/>
  </cellStyles>
  <dxfs count="15">
    <dxf>
      <font>
        <b val="0"/>
        <i val="0"/>
        <strike val="0"/>
        <condense val="0"/>
        <extend val="0"/>
        <outline val="0"/>
        <shadow val="0"/>
        <u val="none"/>
        <vertAlign val="baseline"/>
        <sz val="10"/>
        <color auto="1"/>
        <name val="Arial"/>
        <charset val="1"/>
        <scheme val="none"/>
      </font>
      <numFmt numFmtId="19" formatCode="m/d/yyyy"/>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i val="0"/>
        <strike val="0"/>
        <condense val="0"/>
        <extend val="0"/>
        <outline val="0"/>
        <shadow val="0"/>
        <u val="none"/>
        <vertAlign val="baseline"/>
        <sz val="11"/>
        <color theme="1"/>
        <name val="Calibri"/>
        <family val="2"/>
        <scheme val="minor"/>
      </font>
    </dxf>
    <dxf>
      <numFmt numFmtId="19" formatCode="m/d/yyyy"/>
    </dxf>
    <dxf>
      <font>
        <b val="0"/>
        <i val="0"/>
        <strike val="0"/>
        <condense val="0"/>
        <extend val="0"/>
        <outline val="0"/>
        <shadow val="0"/>
        <u val="none"/>
        <vertAlign val="baseline"/>
        <sz val="11"/>
        <color auto="1"/>
        <name val="Calibri"/>
        <charset val="1"/>
        <scheme val="none"/>
      </font>
      <alignment horizontal="general" vertical="bottom" textRotation="0" wrapText="1" indent="0" justifyLastLine="0" shrinkToFit="0" readingOrder="0"/>
    </dxf>
    <dxf>
      <border outline="0">
        <top style="thin">
          <color rgb="FF000000"/>
        </top>
      </border>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[VRS_RobotData.xlsx]Sheet2!PivotTable1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Sheet2!$C$4</c:f>
              <c:strCache>
                <c:ptCount val="1"/>
                <c:pt idx="0">
                  <c:v>Total</c:v>
                </c:pt>
              </c:strCache>
            </c:strRef>
          </c:tx>
          <c:spPr>
            <a:solidFill>
              <a:schemeClr val="accent1"/>
            </a:solidFill>
            <a:ln>
              <a:noFill/>
            </a:ln>
            <a:effectLst/>
          </c:spPr>
          <c:invertIfNegative val="0"/>
          <c:cat>
            <c:strRef>
              <c:f>Sheet2!$A$5:$B$9</c:f>
              <c:strCache>
                <c:ptCount val="4"/>
                <c:pt idx="0">
                  <c:v>end of lane wall sensor error</c:v>
                </c:pt>
                <c:pt idx="1">
                  <c:v>Vehicle HAL: motor drive: ID CONTROL ISSUE	</c:v>
                </c:pt>
                <c:pt idx="2">
                  <c:v>battery level critical low</c:v>
                </c:pt>
                <c:pt idx="3">
                  <c:v>vision error</c:v>
                </c:pt>
              </c:strCache>
            </c:strRef>
          </c:cat>
          <c:val>
            <c:numRef>
              <c:f>Sheet2!$C$5:$C$9</c:f>
              <c:numCache>
                <c:formatCode>General</c:formatCode>
                <c:ptCount val="4"/>
                <c:pt idx="0">
                  <c:v>1</c:v>
                </c:pt>
                <c:pt idx="1">
                  <c:v>1</c:v>
                </c:pt>
                <c:pt idx="2">
                  <c:v>1</c:v>
                </c:pt>
                <c:pt idx="3">
                  <c:v>3</c:v>
                </c:pt>
              </c:numCache>
            </c:numRef>
          </c:val>
          <c:extLst>
            <c:ext xmlns:c16="http://schemas.microsoft.com/office/drawing/2014/chart" uri="{C3380CC4-5D6E-409C-BE32-E72D297353CC}">
              <c16:uniqueId val="{00000001-7106-4E6B-99E4-9B7D3998E48A}"/>
            </c:ext>
          </c:extLst>
        </c:ser>
        <c:dLbls>
          <c:showLegendKey val="0"/>
          <c:showVal val="0"/>
          <c:showCatName val="0"/>
          <c:showSerName val="0"/>
          <c:showPercent val="0"/>
          <c:showBubbleSize val="0"/>
        </c:dLbls>
        <c:gapWidth val="182"/>
        <c:axId val="1594421351"/>
        <c:axId val="1820317112"/>
      </c:barChart>
      <c:catAx>
        <c:axId val="15944213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0317112"/>
        <c:crosses val="autoZero"/>
        <c:auto val="1"/>
        <c:lblAlgn val="ctr"/>
        <c:lblOffset val="100"/>
        <c:noMultiLvlLbl val="0"/>
      </c:catAx>
      <c:valAx>
        <c:axId val="1820317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44213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[VRS_RobotData.xlsx]Error-code-pivot!PivotTable2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'Error-code-pivot'!$C$6:$C$7</c:f>
              <c:strCache>
                <c:ptCount val="1"/>
                <c:pt idx="0">
                  <c:v>LumionFix 023</c:v>
                </c:pt>
              </c:strCache>
            </c:strRef>
          </c:tx>
          <c:spPr>
            <a:solidFill>
              <a:schemeClr val="accent1"/>
            </a:solidFill>
            <a:ln>
              <a:noFill/>
            </a:ln>
            <a:effectLst/>
          </c:spPr>
          <c:invertIfNegative val="0"/>
          <c:cat>
            <c:strRef>
              <c:f>'Error-code-pivot'!$A$8:$B$34</c:f>
              <c:strCache>
                <c:ptCount val="26"/>
                <c:pt idx="0">
                  <c:v>0x01050005</c:v>
                </c:pt>
                <c:pt idx="1">
                  <c:v>0x01040102</c:v>
                </c:pt>
                <c:pt idx="2">
                  <c:v>0x01060002</c:v>
                </c:pt>
                <c:pt idx="3">
                  <c:v>0x01040106</c:v>
                </c:pt>
                <c:pt idx="4">
                  <c:v>0x01060101</c:v>
                </c:pt>
                <c:pt idx="5">
                  <c:v>0x01010115</c:v>
                </c:pt>
                <c:pt idx="6">
                  <c:v>0x01060009</c:v>
                </c:pt>
                <c:pt idx="7">
                  <c:v>0x01040105</c:v>
                </c:pt>
                <c:pt idx="8">
                  <c:v>0x01060001</c:v>
                </c:pt>
                <c:pt idx="9">
                  <c:v>0x01070001</c:v>
                </c:pt>
                <c:pt idx="10">
                  <c:v>0x01080001</c:v>
                </c:pt>
                <c:pt idx="11">
                  <c:v>0x01060007</c:v>
                </c:pt>
                <c:pt idx="12">
                  <c:v>0x01030002</c:v>
                </c:pt>
                <c:pt idx="13">
                  <c:v>0x02020203</c:v>
                </c:pt>
                <c:pt idx="14">
                  <c:v>0x01030003</c:v>
                </c:pt>
                <c:pt idx="15">
                  <c:v>0x0106000b</c:v>
                </c:pt>
                <c:pt idx="16">
                  <c:v>0x01060165</c:v>
                </c:pt>
                <c:pt idx="17">
                  <c:v>0x01040004</c:v>
                </c:pt>
                <c:pt idx="18">
                  <c:v>0x01010101</c:v>
                </c:pt>
                <c:pt idx="19">
                  <c:v>0x01040103</c:v>
                </c:pt>
                <c:pt idx="20">
                  <c:v>0x01040001</c:v>
                </c:pt>
                <c:pt idx="21">
                  <c:v>0x01040104</c:v>
                </c:pt>
                <c:pt idx="22">
                  <c:v>0x02020202</c:v>
                </c:pt>
                <c:pt idx="23">
                  <c:v>0x01030004</c:v>
                </c:pt>
                <c:pt idx="24">
                  <c:v>0x02040069</c:v>
                </c:pt>
                <c:pt idx="25">
                  <c:v>0x01020001</c:v>
                </c:pt>
              </c:strCache>
            </c:strRef>
          </c:cat>
          <c:val>
            <c:numRef>
              <c:f>'Error-code-pivot'!$C$8:$C$34</c:f>
              <c:numCache>
                <c:formatCode>General</c:formatCode>
                <c:ptCount val="26"/>
                <c:pt idx="0">
                  <c:v>5</c:v>
                </c:pt>
                <c:pt idx="4">
                  <c:v>2</c:v>
                </c:pt>
                <c:pt idx="7">
                  <c:v>1</c:v>
                </c:pt>
                <c:pt idx="9">
                  <c:v>1</c:v>
                </c:pt>
                <c:pt idx="10">
                  <c:v>1</c:v>
                </c:pt>
                <c:pt idx="14">
                  <c:v>1</c:v>
                </c:pt>
                <c:pt idx="16">
                  <c:v>1</c:v>
                </c:pt>
                <c:pt idx="17">
                  <c:v>1</c:v>
                </c:pt>
              </c:numCache>
            </c:numRef>
          </c:val>
          <c:extLst>
            <c:ext xmlns:c16="http://schemas.microsoft.com/office/drawing/2014/chart" uri="{C3380CC4-5D6E-409C-BE32-E72D297353CC}">
              <c16:uniqueId val="{00000000-29FF-4CBF-89FB-5F6F7E5AC138}"/>
            </c:ext>
          </c:extLst>
        </c:ser>
        <c:ser>
          <c:idx val="1"/>
          <c:order val="1"/>
          <c:tx>
            <c:strRef>
              <c:f>'Error-code-pivot'!$D$6:$D$7</c:f>
              <c:strCache>
                <c:ptCount val="1"/>
                <c:pt idx="0">
                  <c:v>LumionFix 024</c:v>
                </c:pt>
              </c:strCache>
            </c:strRef>
          </c:tx>
          <c:spPr>
            <a:solidFill>
              <a:schemeClr val="accent2"/>
            </a:solidFill>
            <a:ln>
              <a:noFill/>
            </a:ln>
            <a:effectLst/>
          </c:spPr>
          <c:invertIfNegative val="0"/>
          <c:cat>
            <c:strRef>
              <c:f>'Error-code-pivot'!$A$8:$B$34</c:f>
              <c:strCache>
                <c:ptCount val="26"/>
                <c:pt idx="0">
                  <c:v>0x01050005</c:v>
                </c:pt>
                <c:pt idx="1">
                  <c:v>0x01040102</c:v>
                </c:pt>
                <c:pt idx="2">
                  <c:v>0x01060002</c:v>
                </c:pt>
                <c:pt idx="3">
                  <c:v>0x01040106</c:v>
                </c:pt>
                <c:pt idx="4">
                  <c:v>0x01060101</c:v>
                </c:pt>
                <c:pt idx="5">
                  <c:v>0x01010115</c:v>
                </c:pt>
                <c:pt idx="6">
                  <c:v>0x01060009</c:v>
                </c:pt>
                <c:pt idx="7">
                  <c:v>0x01040105</c:v>
                </c:pt>
                <c:pt idx="8">
                  <c:v>0x01060001</c:v>
                </c:pt>
                <c:pt idx="9">
                  <c:v>0x01070001</c:v>
                </c:pt>
                <c:pt idx="10">
                  <c:v>0x01080001</c:v>
                </c:pt>
                <c:pt idx="11">
                  <c:v>0x01060007</c:v>
                </c:pt>
                <c:pt idx="12">
                  <c:v>0x01030002</c:v>
                </c:pt>
                <c:pt idx="13">
                  <c:v>0x02020203</c:v>
                </c:pt>
                <c:pt idx="14">
                  <c:v>0x01030003</c:v>
                </c:pt>
                <c:pt idx="15">
                  <c:v>0x0106000b</c:v>
                </c:pt>
                <c:pt idx="16">
                  <c:v>0x01060165</c:v>
                </c:pt>
                <c:pt idx="17">
                  <c:v>0x01040004</c:v>
                </c:pt>
                <c:pt idx="18">
                  <c:v>0x01010101</c:v>
                </c:pt>
                <c:pt idx="19">
                  <c:v>0x01040103</c:v>
                </c:pt>
                <c:pt idx="20">
                  <c:v>0x01040001</c:v>
                </c:pt>
                <c:pt idx="21">
                  <c:v>0x01040104</c:v>
                </c:pt>
                <c:pt idx="22">
                  <c:v>0x02020202</c:v>
                </c:pt>
                <c:pt idx="23">
                  <c:v>0x01030004</c:v>
                </c:pt>
                <c:pt idx="24">
                  <c:v>0x02040069</c:v>
                </c:pt>
                <c:pt idx="25">
                  <c:v>0x01020001</c:v>
                </c:pt>
              </c:strCache>
            </c:strRef>
          </c:cat>
          <c:val>
            <c:numRef>
              <c:f>'Error-code-pivot'!$D$8:$D$34</c:f>
              <c:numCache>
                <c:formatCode>General</c:formatCode>
                <c:ptCount val="26"/>
                <c:pt idx="0">
                  <c:v>1</c:v>
                </c:pt>
                <c:pt idx="1">
                  <c:v>1</c:v>
                </c:pt>
                <c:pt idx="2">
                  <c:v>5</c:v>
                </c:pt>
                <c:pt idx="4">
                  <c:v>1</c:v>
                </c:pt>
                <c:pt idx="7">
                  <c:v>1</c:v>
                </c:pt>
                <c:pt idx="8">
                  <c:v>3</c:v>
                </c:pt>
                <c:pt idx="9">
                  <c:v>1</c:v>
                </c:pt>
                <c:pt idx="10">
                  <c:v>2</c:v>
                </c:pt>
                <c:pt idx="11">
                  <c:v>5</c:v>
                </c:pt>
                <c:pt idx="13">
                  <c:v>1</c:v>
                </c:pt>
                <c:pt idx="15">
                  <c:v>2</c:v>
                </c:pt>
                <c:pt idx="16">
                  <c:v>2</c:v>
                </c:pt>
                <c:pt idx="17">
                  <c:v>2</c:v>
                </c:pt>
                <c:pt idx="18">
                  <c:v>1</c:v>
                </c:pt>
                <c:pt idx="19">
                  <c:v>2</c:v>
                </c:pt>
                <c:pt idx="20">
                  <c:v>2</c:v>
                </c:pt>
                <c:pt idx="21">
                  <c:v>1</c:v>
                </c:pt>
              </c:numCache>
            </c:numRef>
          </c:val>
          <c:extLst>
            <c:ext xmlns:c16="http://schemas.microsoft.com/office/drawing/2014/chart" uri="{C3380CC4-5D6E-409C-BE32-E72D297353CC}">
              <c16:uniqueId val="{00000001-AE14-4DF9-879B-F0B25EBC0FC8}"/>
            </c:ext>
          </c:extLst>
        </c:ser>
        <c:ser>
          <c:idx val="2"/>
          <c:order val="2"/>
          <c:tx>
            <c:strRef>
              <c:f>'Error-code-pivot'!$E$6:$E$7</c:f>
              <c:strCache>
                <c:ptCount val="1"/>
                <c:pt idx="0">
                  <c:v>LumionFix 029</c:v>
                </c:pt>
              </c:strCache>
            </c:strRef>
          </c:tx>
          <c:spPr>
            <a:solidFill>
              <a:schemeClr val="accent3"/>
            </a:solidFill>
            <a:ln>
              <a:noFill/>
            </a:ln>
            <a:effectLst/>
          </c:spPr>
          <c:invertIfNegative val="0"/>
          <c:cat>
            <c:strRef>
              <c:f>'Error-code-pivot'!$A$8:$B$34</c:f>
              <c:strCache>
                <c:ptCount val="26"/>
                <c:pt idx="0">
                  <c:v>0x01050005</c:v>
                </c:pt>
                <c:pt idx="1">
                  <c:v>0x01040102</c:v>
                </c:pt>
                <c:pt idx="2">
                  <c:v>0x01060002</c:v>
                </c:pt>
                <c:pt idx="3">
                  <c:v>0x01040106</c:v>
                </c:pt>
                <c:pt idx="4">
                  <c:v>0x01060101</c:v>
                </c:pt>
                <c:pt idx="5">
                  <c:v>0x01010115</c:v>
                </c:pt>
                <c:pt idx="6">
                  <c:v>0x01060009</c:v>
                </c:pt>
                <c:pt idx="7">
                  <c:v>0x01040105</c:v>
                </c:pt>
                <c:pt idx="8">
                  <c:v>0x01060001</c:v>
                </c:pt>
                <c:pt idx="9">
                  <c:v>0x01070001</c:v>
                </c:pt>
                <c:pt idx="10">
                  <c:v>0x01080001</c:v>
                </c:pt>
                <c:pt idx="11">
                  <c:v>0x01060007</c:v>
                </c:pt>
                <c:pt idx="12">
                  <c:v>0x01030002</c:v>
                </c:pt>
                <c:pt idx="13">
                  <c:v>0x02020203</c:v>
                </c:pt>
                <c:pt idx="14">
                  <c:v>0x01030003</c:v>
                </c:pt>
                <c:pt idx="15">
                  <c:v>0x0106000b</c:v>
                </c:pt>
                <c:pt idx="16">
                  <c:v>0x01060165</c:v>
                </c:pt>
                <c:pt idx="17">
                  <c:v>0x01040004</c:v>
                </c:pt>
                <c:pt idx="18">
                  <c:v>0x01010101</c:v>
                </c:pt>
                <c:pt idx="19">
                  <c:v>0x01040103</c:v>
                </c:pt>
                <c:pt idx="20">
                  <c:v>0x01040001</c:v>
                </c:pt>
                <c:pt idx="21">
                  <c:v>0x01040104</c:v>
                </c:pt>
                <c:pt idx="22">
                  <c:v>0x02020202</c:v>
                </c:pt>
                <c:pt idx="23">
                  <c:v>0x01030004</c:v>
                </c:pt>
                <c:pt idx="24">
                  <c:v>0x02040069</c:v>
                </c:pt>
                <c:pt idx="25">
                  <c:v>0x01020001</c:v>
                </c:pt>
              </c:strCache>
            </c:strRef>
          </c:cat>
          <c:val>
            <c:numRef>
              <c:f>'Error-code-pivot'!$E$8:$E$34</c:f>
              <c:numCache>
                <c:formatCode>General</c:formatCode>
                <c:ptCount val="26"/>
                <c:pt idx="0">
                  <c:v>2</c:v>
                </c:pt>
                <c:pt idx="1">
                  <c:v>4</c:v>
                </c:pt>
                <c:pt idx="2">
                  <c:v>2</c:v>
                </c:pt>
                <c:pt idx="4">
                  <c:v>1</c:v>
                </c:pt>
                <c:pt idx="6">
                  <c:v>2</c:v>
                </c:pt>
                <c:pt idx="8">
                  <c:v>1</c:v>
                </c:pt>
                <c:pt idx="9">
                  <c:v>1</c:v>
                </c:pt>
                <c:pt idx="16">
                  <c:v>1</c:v>
                </c:pt>
              </c:numCache>
            </c:numRef>
          </c:val>
          <c:extLst>
            <c:ext xmlns:c16="http://schemas.microsoft.com/office/drawing/2014/chart" uri="{C3380CC4-5D6E-409C-BE32-E72D297353CC}">
              <c16:uniqueId val="{00000002-AE14-4DF9-879B-F0B25EBC0FC8}"/>
            </c:ext>
          </c:extLst>
        </c:ser>
        <c:ser>
          <c:idx val="3"/>
          <c:order val="3"/>
          <c:tx>
            <c:strRef>
              <c:f>'Error-code-pivot'!$F$6:$F$7</c:f>
              <c:strCache>
                <c:ptCount val="1"/>
                <c:pt idx="0">
                  <c:v>LumionFix 032</c:v>
                </c:pt>
              </c:strCache>
            </c:strRef>
          </c:tx>
          <c:spPr>
            <a:solidFill>
              <a:schemeClr val="accent4"/>
            </a:solidFill>
            <a:ln>
              <a:noFill/>
            </a:ln>
            <a:effectLst/>
          </c:spPr>
          <c:invertIfNegative val="0"/>
          <c:cat>
            <c:strRef>
              <c:f>'Error-code-pivot'!$A$8:$B$34</c:f>
              <c:strCache>
                <c:ptCount val="26"/>
                <c:pt idx="0">
                  <c:v>0x01050005</c:v>
                </c:pt>
                <c:pt idx="1">
                  <c:v>0x01040102</c:v>
                </c:pt>
                <c:pt idx="2">
                  <c:v>0x01060002</c:v>
                </c:pt>
                <c:pt idx="3">
                  <c:v>0x01040106</c:v>
                </c:pt>
                <c:pt idx="4">
                  <c:v>0x01060101</c:v>
                </c:pt>
                <c:pt idx="5">
                  <c:v>0x01010115</c:v>
                </c:pt>
                <c:pt idx="6">
                  <c:v>0x01060009</c:v>
                </c:pt>
                <c:pt idx="7">
                  <c:v>0x01040105</c:v>
                </c:pt>
                <c:pt idx="8">
                  <c:v>0x01060001</c:v>
                </c:pt>
                <c:pt idx="9">
                  <c:v>0x01070001</c:v>
                </c:pt>
                <c:pt idx="10">
                  <c:v>0x01080001</c:v>
                </c:pt>
                <c:pt idx="11">
                  <c:v>0x01060007</c:v>
                </c:pt>
                <c:pt idx="12">
                  <c:v>0x01030002</c:v>
                </c:pt>
                <c:pt idx="13">
                  <c:v>0x02020203</c:v>
                </c:pt>
                <c:pt idx="14">
                  <c:v>0x01030003</c:v>
                </c:pt>
                <c:pt idx="15">
                  <c:v>0x0106000b</c:v>
                </c:pt>
                <c:pt idx="16">
                  <c:v>0x01060165</c:v>
                </c:pt>
                <c:pt idx="17">
                  <c:v>0x01040004</c:v>
                </c:pt>
                <c:pt idx="18">
                  <c:v>0x01010101</c:v>
                </c:pt>
                <c:pt idx="19">
                  <c:v>0x01040103</c:v>
                </c:pt>
                <c:pt idx="20">
                  <c:v>0x01040001</c:v>
                </c:pt>
                <c:pt idx="21">
                  <c:v>0x01040104</c:v>
                </c:pt>
                <c:pt idx="22">
                  <c:v>0x02020202</c:v>
                </c:pt>
                <c:pt idx="23">
                  <c:v>0x01030004</c:v>
                </c:pt>
                <c:pt idx="24">
                  <c:v>0x02040069</c:v>
                </c:pt>
                <c:pt idx="25">
                  <c:v>0x01020001</c:v>
                </c:pt>
              </c:strCache>
            </c:strRef>
          </c:cat>
          <c:val>
            <c:numRef>
              <c:f>'Error-code-pivot'!$F$8:$F$34</c:f>
              <c:numCache>
                <c:formatCode>General</c:formatCode>
                <c:ptCount val="26"/>
                <c:pt idx="1">
                  <c:v>3</c:v>
                </c:pt>
                <c:pt idx="2">
                  <c:v>1</c:v>
                </c:pt>
                <c:pt idx="4">
                  <c:v>2</c:v>
                </c:pt>
                <c:pt idx="6">
                  <c:v>1</c:v>
                </c:pt>
                <c:pt idx="7">
                  <c:v>1</c:v>
                </c:pt>
                <c:pt idx="9">
                  <c:v>2</c:v>
                </c:pt>
                <c:pt idx="15">
                  <c:v>2</c:v>
                </c:pt>
                <c:pt idx="18">
                  <c:v>1</c:v>
                </c:pt>
                <c:pt idx="22">
                  <c:v>1</c:v>
                </c:pt>
              </c:numCache>
            </c:numRef>
          </c:val>
          <c:extLst>
            <c:ext xmlns:c16="http://schemas.microsoft.com/office/drawing/2014/chart" uri="{C3380CC4-5D6E-409C-BE32-E72D297353CC}">
              <c16:uniqueId val="{00000003-AE14-4DF9-879B-F0B25EBC0FC8}"/>
            </c:ext>
          </c:extLst>
        </c:ser>
        <c:ser>
          <c:idx val="4"/>
          <c:order val="4"/>
          <c:tx>
            <c:strRef>
              <c:f>'Error-code-pivot'!$G$6:$G$7</c:f>
              <c:strCache>
                <c:ptCount val="1"/>
                <c:pt idx="0">
                  <c:v>LumionFix 033</c:v>
                </c:pt>
              </c:strCache>
            </c:strRef>
          </c:tx>
          <c:spPr>
            <a:solidFill>
              <a:schemeClr val="accent5"/>
            </a:solidFill>
            <a:ln>
              <a:noFill/>
            </a:ln>
            <a:effectLst/>
          </c:spPr>
          <c:invertIfNegative val="0"/>
          <c:cat>
            <c:strRef>
              <c:f>'Error-code-pivot'!$A$8:$B$34</c:f>
              <c:strCache>
                <c:ptCount val="26"/>
                <c:pt idx="0">
                  <c:v>0x01050005</c:v>
                </c:pt>
                <c:pt idx="1">
                  <c:v>0x01040102</c:v>
                </c:pt>
                <c:pt idx="2">
                  <c:v>0x01060002</c:v>
                </c:pt>
                <c:pt idx="3">
                  <c:v>0x01040106</c:v>
                </c:pt>
                <c:pt idx="4">
                  <c:v>0x01060101</c:v>
                </c:pt>
                <c:pt idx="5">
                  <c:v>0x01010115</c:v>
                </c:pt>
                <c:pt idx="6">
                  <c:v>0x01060009</c:v>
                </c:pt>
                <c:pt idx="7">
                  <c:v>0x01040105</c:v>
                </c:pt>
                <c:pt idx="8">
                  <c:v>0x01060001</c:v>
                </c:pt>
                <c:pt idx="9">
                  <c:v>0x01070001</c:v>
                </c:pt>
                <c:pt idx="10">
                  <c:v>0x01080001</c:v>
                </c:pt>
                <c:pt idx="11">
                  <c:v>0x01060007</c:v>
                </c:pt>
                <c:pt idx="12">
                  <c:v>0x01030002</c:v>
                </c:pt>
                <c:pt idx="13">
                  <c:v>0x02020203</c:v>
                </c:pt>
                <c:pt idx="14">
                  <c:v>0x01030003</c:v>
                </c:pt>
                <c:pt idx="15">
                  <c:v>0x0106000b</c:v>
                </c:pt>
                <c:pt idx="16">
                  <c:v>0x01060165</c:v>
                </c:pt>
                <c:pt idx="17">
                  <c:v>0x01040004</c:v>
                </c:pt>
                <c:pt idx="18">
                  <c:v>0x01010101</c:v>
                </c:pt>
                <c:pt idx="19">
                  <c:v>0x01040103</c:v>
                </c:pt>
                <c:pt idx="20">
                  <c:v>0x01040001</c:v>
                </c:pt>
                <c:pt idx="21">
                  <c:v>0x01040104</c:v>
                </c:pt>
                <c:pt idx="22">
                  <c:v>0x02020202</c:v>
                </c:pt>
                <c:pt idx="23">
                  <c:v>0x01030004</c:v>
                </c:pt>
                <c:pt idx="24">
                  <c:v>0x02040069</c:v>
                </c:pt>
                <c:pt idx="25">
                  <c:v>0x01020001</c:v>
                </c:pt>
              </c:strCache>
            </c:strRef>
          </c:cat>
          <c:val>
            <c:numRef>
              <c:f>'Error-code-pivot'!$G$8:$G$34</c:f>
              <c:numCache>
                <c:formatCode>General</c:formatCode>
                <c:ptCount val="26"/>
                <c:pt idx="0">
                  <c:v>1</c:v>
                </c:pt>
                <c:pt idx="1">
                  <c:v>1</c:v>
                </c:pt>
                <c:pt idx="7">
                  <c:v>1</c:v>
                </c:pt>
                <c:pt idx="8">
                  <c:v>3</c:v>
                </c:pt>
              </c:numCache>
            </c:numRef>
          </c:val>
          <c:extLst>
            <c:ext xmlns:c16="http://schemas.microsoft.com/office/drawing/2014/chart" uri="{C3380CC4-5D6E-409C-BE32-E72D297353CC}">
              <c16:uniqueId val="{00000004-AE14-4DF9-879B-F0B25EBC0FC8}"/>
            </c:ext>
          </c:extLst>
        </c:ser>
        <c:ser>
          <c:idx val="5"/>
          <c:order val="5"/>
          <c:tx>
            <c:strRef>
              <c:f>'Error-code-pivot'!$H$6:$H$7</c:f>
              <c:strCache>
                <c:ptCount val="1"/>
                <c:pt idx="0">
                  <c:v>LumionFix 034</c:v>
                </c:pt>
              </c:strCache>
            </c:strRef>
          </c:tx>
          <c:spPr>
            <a:solidFill>
              <a:schemeClr val="accent6"/>
            </a:solidFill>
            <a:ln>
              <a:noFill/>
            </a:ln>
            <a:effectLst/>
          </c:spPr>
          <c:invertIfNegative val="0"/>
          <c:cat>
            <c:strRef>
              <c:f>'Error-code-pivot'!$A$8:$B$34</c:f>
              <c:strCache>
                <c:ptCount val="26"/>
                <c:pt idx="0">
                  <c:v>0x01050005</c:v>
                </c:pt>
                <c:pt idx="1">
                  <c:v>0x01040102</c:v>
                </c:pt>
                <c:pt idx="2">
                  <c:v>0x01060002</c:v>
                </c:pt>
                <c:pt idx="3">
                  <c:v>0x01040106</c:v>
                </c:pt>
                <c:pt idx="4">
                  <c:v>0x01060101</c:v>
                </c:pt>
                <c:pt idx="5">
                  <c:v>0x01010115</c:v>
                </c:pt>
                <c:pt idx="6">
                  <c:v>0x01060009</c:v>
                </c:pt>
                <c:pt idx="7">
                  <c:v>0x01040105</c:v>
                </c:pt>
                <c:pt idx="8">
                  <c:v>0x01060001</c:v>
                </c:pt>
                <c:pt idx="9">
                  <c:v>0x01070001</c:v>
                </c:pt>
                <c:pt idx="10">
                  <c:v>0x01080001</c:v>
                </c:pt>
                <c:pt idx="11">
                  <c:v>0x01060007</c:v>
                </c:pt>
                <c:pt idx="12">
                  <c:v>0x01030002</c:v>
                </c:pt>
                <c:pt idx="13">
                  <c:v>0x02020203</c:v>
                </c:pt>
                <c:pt idx="14">
                  <c:v>0x01030003</c:v>
                </c:pt>
                <c:pt idx="15">
                  <c:v>0x0106000b</c:v>
                </c:pt>
                <c:pt idx="16">
                  <c:v>0x01060165</c:v>
                </c:pt>
                <c:pt idx="17">
                  <c:v>0x01040004</c:v>
                </c:pt>
                <c:pt idx="18">
                  <c:v>0x01010101</c:v>
                </c:pt>
                <c:pt idx="19">
                  <c:v>0x01040103</c:v>
                </c:pt>
                <c:pt idx="20">
                  <c:v>0x01040001</c:v>
                </c:pt>
                <c:pt idx="21">
                  <c:v>0x01040104</c:v>
                </c:pt>
                <c:pt idx="22">
                  <c:v>0x02020202</c:v>
                </c:pt>
                <c:pt idx="23">
                  <c:v>0x01030004</c:v>
                </c:pt>
                <c:pt idx="24">
                  <c:v>0x02040069</c:v>
                </c:pt>
                <c:pt idx="25">
                  <c:v>0x01020001</c:v>
                </c:pt>
              </c:strCache>
            </c:strRef>
          </c:cat>
          <c:val>
            <c:numRef>
              <c:f>'Error-code-pivot'!$H$8:$H$34</c:f>
              <c:numCache>
                <c:formatCode>General</c:formatCode>
                <c:ptCount val="26"/>
                <c:pt idx="0">
                  <c:v>1</c:v>
                </c:pt>
                <c:pt idx="1">
                  <c:v>2</c:v>
                </c:pt>
                <c:pt idx="2">
                  <c:v>1</c:v>
                </c:pt>
                <c:pt idx="6">
                  <c:v>2</c:v>
                </c:pt>
                <c:pt idx="7">
                  <c:v>1</c:v>
                </c:pt>
                <c:pt idx="17">
                  <c:v>1</c:v>
                </c:pt>
              </c:numCache>
            </c:numRef>
          </c:val>
          <c:extLst>
            <c:ext xmlns:c16="http://schemas.microsoft.com/office/drawing/2014/chart" uri="{C3380CC4-5D6E-409C-BE32-E72D297353CC}">
              <c16:uniqueId val="{00000005-AE14-4DF9-879B-F0B25EBC0FC8}"/>
            </c:ext>
          </c:extLst>
        </c:ser>
        <c:ser>
          <c:idx val="6"/>
          <c:order val="6"/>
          <c:tx>
            <c:strRef>
              <c:f>'Error-code-pivot'!$I$6:$I$7</c:f>
              <c:strCache>
                <c:ptCount val="1"/>
                <c:pt idx="0">
                  <c:v>LumionFix 035</c:v>
                </c:pt>
              </c:strCache>
            </c:strRef>
          </c:tx>
          <c:spPr>
            <a:solidFill>
              <a:schemeClr val="accent1">
                <a:lumMod val="60000"/>
              </a:schemeClr>
            </a:solidFill>
            <a:ln>
              <a:noFill/>
            </a:ln>
            <a:effectLst/>
          </c:spPr>
          <c:invertIfNegative val="0"/>
          <c:cat>
            <c:strRef>
              <c:f>'Error-code-pivot'!$A$8:$B$34</c:f>
              <c:strCache>
                <c:ptCount val="26"/>
                <c:pt idx="0">
                  <c:v>0x01050005</c:v>
                </c:pt>
                <c:pt idx="1">
                  <c:v>0x01040102</c:v>
                </c:pt>
                <c:pt idx="2">
                  <c:v>0x01060002</c:v>
                </c:pt>
                <c:pt idx="3">
                  <c:v>0x01040106</c:v>
                </c:pt>
                <c:pt idx="4">
                  <c:v>0x01060101</c:v>
                </c:pt>
                <c:pt idx="5">
                  <c:v>0x01010115</c:v>
                </c:pt>
                <c:pt idx="6">
                  <c:v>0x01060009</c:v>
                </c:pt>
                <c:pt idx="7">
                  <c:v>0x01040105</c:v>
                </c:pt>
                <c:pt idx="8">
                  <c:v>0x01060001</c:v>
                </c:pt>
                <c:pt idx="9">
                  <c:v>0x01070001</c:v>
                </c:pt>
                <c:pt idx="10">
                  <c:v>0x01080001</c:v>
                </c:pt>
                <c:pt idx="11">
                  <c:v>0x01060007</c:v>
                </c:pt>
                <c:pt idx="12">
                  <c:v>0x01030002</c:v>
                </c:pt>
                <c:pt idx="13">
                  <c:v>0x02020203</c:v>
                </c:pt>
                <c:pt idx="14">
                  <c:v>0x01030003</c:v>
                </c:pt>
                <c:pt idx="15">
                  <c:v>0x0106000b</c:v>
                </c:pt>
                <c:pt idx="16">
                  <c:v>0x01060165</c:v>
                </c:pt>
                <c:pt idx="17">
                  <c:v>0x01040004</c:v>
                </c:pt>
                <c:pt idx="18">
                  <c:v>0x01010101</c:v>
                </c:pt>
                <c:pt idx="19">
                  <c:v>0x01040103</c:v>
                </c:pt>
                <c:pt idx="20">
                  <c:v>0x01040001</c:v>
                </c:pt>
                <c:pt idx="21">
                  <c:v>0x01040104</c:v>
                </c:pt>
                <c:pt idx="22">
                  <c:v>0x02020202</c:v>
                </c:pt>
                <c:pt idx="23">
                  <c:v>0x01030004</c:v>
                </c:pt>
                <c:pt idx="24">
                  <c:v>0x02040069</c:v>
                </c:pt>
                <c:pt idx="25">
                  <c:v>0x01020001</c:v>
                </c:pt>
              </c:strCache>
            </c:strRef>
          </c:cat>
          <c:val>
            <c:numRef>
              <c:f>'Error-code-pivot'!$I$8:$I$34</c:f>
              <c:numCache>
                <c:formatCode>General</c:formatCode>
                <c:ptCount val="26"/>
                <c:pt idx="0">
                  <c:v>1</c:v>
                </c:pt>
                <c:pt idx="4">
                  <c:v>3</c:v>
                </c:pt>
                <c:pt idx="5">
                  <c:v>2</c:v>
                </c:pt>
                <c:pt idx="6">
                  <c:v>2</c:v>
                </c:pt>
                <c:pt idx="7">
                  <c:v>2</c:v>
                </c:pt>
                <c:pt idx="10">
                  <c:v>2</c:v>
                </c:pt>
                <c:pt idx="13">
                  <c:v>1</c:v>
                </c:pt>
                <c:pt idx="19">
                  <c:v>1</c:v>
                </c:pt>
                <c:pt idx="23">
                  <c:v>1</c:v>
                </c:pt>
                <c:pt idx="24">
                  <c:v>1</c:v>
                </c:pt>
              </c:numCache>
            </c:numRef>
          </c:val>
          <c:extLst>
            <c:ext xmlns:c16="http://schemas.microsoft.com/office/drawing/2014/chart" uri="{C3380CC4-5D6E-409C-BE32-E72D297353CC}">
              <c16:uniqueId val="{00000006-AE14-4DF9-879B-F0B25EBC0FC8}"/>
            </c:ext>
          </c:extLst>
        </c:ser>
        <c:ser>
          <c:idx val="7"/>
          <c:order val="7"/>
          <c:tx>
            <c:strRef>
              <c:f>'Error-code-pivot'!$J$6:$J$7</c:f>
              <c:strCache>
                <c:ptCount val="1"/>
                <c:pt idx="0">
                  <c:v>LumionFix 040</c:v>
                </c:pt>
              </c:strCache>
            </c:strRef>
          </c:tx>
          <c:spPr>
            <a:solidFill>
              <a:schemeClr val="accent2">
                <a:lumMod val="60000"/>
              </a:schemeClr>
            </a:solidFill>
            <a:ln>
              <a:noFill/>
            </a:ln>
            <a:effectLst/>
          </c:spPr>
          <c:invertIfNegative val="0"/>
          <c:cat>
            <c:strRef>
              <c:f>'Error-code-pivot'!$A$8:$B$34</c:f>
              <c:strCache>
                <c:ptCount val="26"/>
                <c:pt idx="0">
                  <c:v>0x01050005</c:v>
                </c:pt>
                <c:pt idx="1">
                  <c:v>0x01040102</c:v>
                </c:pt>
                <c:pt idx="2">
                  <c:v>0x01060002</c:v>
                </c:pt>
                <c:pt idx="3">
                  <c:v>0x01040106</c:v>
                </c:pt>
                <c:pt idx="4">
                  <c:v>0x01060101</c:v>
                </c:pt>
                <c:pt idx="5">
                  <c:v>0x01010115</c:v>
                </c:pt>
                <c:pt idx="6">
                  <c:v>0x01060009</c:v>
                </c:pt>
                <c:pt idx="7">
                  <c:v>0x01040105</c:v>
                </c:pt>
                <c:pt idx="8">
                  <c:v>0x01060001</c:v>
                </c:pt>
                <c:pt idx="9">
                  <c:v>0x01070001</c:v>
                </c:pt>
                <c:pt idx="10">
                  <c:v>0x01080001</c:v>
                </c:pt>
                <c:pt idx="11">
                  <c:v>0x01060007</c:v>
                </c:pt>
                <c:pt idx="12">
                  <c:v>0x01030002</c:v>
                </c:pt>
                <c:pt idx="13">
                  <c:v>0x02020203</c:v>
                </c:pt>
                <c:pt idx="14">
                  <c:v>0x01030003</c:v>
                </c:pt>
                <c:pt idx="15">
                  <c:v>0x0106000b</c:v>
                </c:pt>
                <c:pt idx="16">
                  <c:v>0x01060165</c:v>
                </c:pt>
                <c:pt idx="17">
                  <c:v>0x01040004</c:v>
                </c:pt>
                <c:pt idx="18">
                  <c:v>0x01010101</c:v>
                </c:pt>
                <c:pt idx="19">
                  <c:v>0x01040103</c:v>
                </c:pt>
                <c:pt idx="20">
                  <c:v>0x01040001</c:v>
                </c:pt>
                <c:pt idx="21">
                  <c:v>0x01040104</c:v>
                </c:pt>
                <c:pt idx="22">
                  <c:v>0x02020202</c:v>
                </c:pt>
                <c:pt idx="23">
                  <c:v>0x01030004</c:v>
                </c:pt>
                <c:pt idx="24">
                  <c:v>0x02040069</c:v>
                </c:pt>
                <c:pt idx="25">
                  <c:v>0x01020001</c:v>
                </c:pt>
              </c:strCache>
            </c:strRef>
          </c:cat>
          <c:val>
            <c:numRef>
              <c:f>'Error-code-pivot'!$J$8:$J$34</c:f>
              <c:numCache>
                <c:formatCode>General</c:formatCode>
                <c:ptCount val="26"/>
                <c:pt idx="0">
                  <c:v>1</c:v>
                </c:pt>
                <c:pt idx="2">
                  <c:v>3</c:v>
                </c:pt>
                <c:pt idx="3">
                  <c:v>10</c:v>
                </c:pt>
                <c:pt idx="5">
                  <c:v>7</c:v>
                </c:pt>
                <c:pt idx="6">
                  <c:v>1</c:v>
                </c:pt>
                <c:pt idx="12">
                  <c:v>4</c:v>
                </c:pt>
                <c:pt idx="13">
                  <c:v>2</c:v>
                </c:pt>
                <c:pt idx="14">
                  <c:v>2</c:v>
                </c:pt>
                <c:pt idx="18">
                  <c:v>1</c:v>
                </c:pt>
                <c:pt idx="21">
                  <c:v>1</c:v>
                </c:pt>
                <c:pt idx="25">
                  <c:v>1</c:v>
                </c:pt>
              </c:numCache>
            </c:numRef>
          </c:val>
          <c:extLst>
            <c:ext xmlns:c16="http://schemas.microsoft.com/office/drawing/2014/chart" uri="{C3380CC4-5D6E-409C-BE32-E72D297353CC}">
              <c16:uniqueId val="{00000007-AE14-4DF9-879B-F0B25EBC0FC8}"/>
            </c:ext>
          </c:extLst>
        </c:ser>
        <c:ser>
          <c:idx val="8"/>
          <c:order val="8"/>
          <c:tx>
            <c:strRef>
              <c:f>'Error-code-pivot'!$K$6:$K$7</c:f>
              <c:strCache>
                <c:ptCount val="1"/>
                <c:pt idx="0">
                  <c:v>LumionFix 041</c:v>
                </c:pt>
              </c:strCache>
            </c:strRef>
          </c:tx>
          <c:spPr>
            <a:solidFill>
              <a:schemeClr val="accent3">
                <a:lumMod val="60000"/>
              </a:schemeClr>
            </a:solidFill>
            <a:ln>
              <a:noFill/>
            </a:ln>
            <a:effectLst/>
          </c:spPr>
          <c:invertIfNegative val="0"/>
          <c:cat>
            <c:strRef>
              <c:f>'Error-code-pivot'!$A$8:$B$34</c:f>
              <c:strCache>
                <c:ptCount val="26"/>
                <c:pt idx="0">
                  <c:v>0x01050005</c:v>
                </c:pt>
                <c:pt idx="1">
                  <c:v>0x01040102</c:v>
                </c:pt>
                <c:pt idx="2">
                  <c:v>0x01060002</c:v>
                </c:pt>
                <c:pt idx="3">
                  <c:v>0x01040106</c:v>
                </c:pt>
                <c:pt idx="4">
                  <c:v>0x01060101</c:v>
                </c:pt>
                <c:pt idx="5">
                  <c:v>0x01010115</c:v>
                </c:pt>
                <c:pt idx="6">
                  <c:v>0x01060009</c:v>
                </c:pt>
                <c:pt idx="7">
                  <c:v>0x01040105</c:v>
                </c:pt>
                <c:pt idx="8">
                  <c:v>0x01060001</c:v>
                </c:pt>
                <c:pt idx="9">
                  <c:v>0x01070001</c:v>
                </c:pt>
                <c:pt idx="10">
                  <c:v>0x01080001</c:v>
                </c:pt>
                <c:pt idx="11">
                  <c:v>0x01060007</c:v>
                </c:pt>
                <c:pt idx="12">
                  <c:v>0x01030002</c:v>
                </c:pt>
                <c:pt idx="13">
                  <c:v>0x02020203</c:v>
                </c:pt>
                <c:pt idx="14">
                  <c:v>0x01030003</c:v>
                </c:pt>
                <c:pt idx="15">
                  <c:v>0x0106000b</c:v>
                </c:pt>
                <c:pt idx="16">
                  <c:v>0x01060165</c:v>
                </c:pt>
                <c:pt idx="17">
                  <c:v>0x01040004</c:v>
                </c:pt>
                <c:pt idx="18">
                  <c:v>0x01010101</c:v>
                </c:pt>
                <c:pt idx="19">
                  <c:v>0x01040103</c:v>
                </c:pt>
                <c:pt idx="20">
                  <c:v>0x01040001</c:v>
                </c:pt>
                <c:pt idx="21">
                  <c:v>0x01040104</c:v>
                </c:pt>
                <c:pt idx="22">
                  <c:v>0x02020202</c:v>
                </c:pt>
                <c:pt idx="23">
                  <c:v>0x01030004</c:v>
                </c:pt>
                <c:pt idx="24">
                  <c:v>0x02040069</c:v>
                </c:pt>
                <c:pt idx="25">
                  <c:v>0x01020001</c:v>
                </c:pt>
              </c:strCache>
            </c:strRef>
          </c:cat>
          <c:val>
            <c:numRef>
              <c:f>'Error-code-pivot'!$K$8:$K$34</c:f>
              <c:numCache>
                <c:formatCode>General</c:formatCode>
                <c:ptCount val="26"/>
                <c:pt idx="0">
                  <c:v>1</c:v>
                </c:pt>
                <c:pt idx="1">
                  <c:v>1</c:v>
                </c:pt>
                <c:pt idx="9">
                  <c:v>1</c:v>
                </c:pt>
                <c:pt idx="14">
                  <c:v>1</c:v>
                </c:pt>
              </c:numCache>
            </c:numRef>
          </c:val>
          <c:extLst>
            <c:ext xmlns:c16="http://schemas.microsoft.com/office/drawing/2014/chart" uri="{C3380CC4-5D6E-409C-BE32-E72D297353CC}">
              <c16:uniqueId val="{00000008-AE14-4DF9-879B-F0B25EBC0FC8}"/>
            </c:ext>
          </c:extLst>
        </c:ser>
        <c:dLbls>
          <c:showLegendKey val="0"/>
          <c:showVal val="0"/>
          <c:showCatName val="0"/>
          <c:showSerName val="0"/>
          <c:showPercent val="0"/>
          <c:showBubbleSize val="0"/>
        </c:dLbls>
        <c:gapWidth val="219"/>
        <c:overlap val="100"/>
        <c:axId val="1089919815"/>
        <c:axId val="1089920295"/>
      </c:barChart>
      <c:valAx>
        <c:axId val="10899202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9919815"/>
        <c:crosses val="autoZero"/>
        <c:crossBetween val="between"/>
      </c:valAx>
      <c:catAx>
        <c:axId val="10899198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992029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[VRS_RobotData.xlsx]Diagnose-pivot!PivotTable1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pieChart>
        <c:varyColors val="1"/>
        <c:ser>
          <c:idx val="0"/>
          <c:order val="0"/>
          <c:tx>
            <c:strRef>
              <c:f>'Diagnose-pivot'!$C$5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AD7-4600-95CB-A67C40E17F9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AD7-4600-95CB-A67C40E17F9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AD7-4600-95CB-A67C40E17F9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AD7-4600-95CB-A67C40E17F9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AD7-4600-95CB-A67C40E17F9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AD7-4600-95CB-A67C40E17F9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AD7-4600-95CB-A67C40E17F9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AD7-4600-95CB-A67C40E17F9C}"/>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DAD7-4600-95CB-A67C40E17F9C}"/>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DAD7-4600-95CB-A67C40E17F9C}"/>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DAD7-4600-95CB-A67C40E17F9C}"/>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DAD7-4600-95CB-A67C40E17F9C}"/>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DAD7-4600-95CB-A67C40E17F9C}"/>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9EC0-47B7-984D-8F240E067B5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9EC0-47B7-984D-8F240E067B5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9EC0-47B7-984D-8F240E067B5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9EC0-47B7-984D-8F240E067B55}"/>
              </c:ext>
            </c:extLst>
          </c:dPt>
          <c:cat>
            <c:strRef>
              <c:f>'Diagnose-pivot'!$A$6:$B$9</c:f>
              <c:strCache>
                <c:ptCount val="3"/>
                <c:pt idx="0">
                  <c:v>EOL open issue</c:v>
                </c:pt>
                <c:pt idx="1">
                  <c:v>bad LS - xtheta thrown away</c:v>
                </c:pt>
                <c:pt idx="2">
                  <c:v>Front wheel slip - can't get on rail</c:v>
                </c:pt>
              </c:strCache>
            </c:strRef>
          </c:cat>
          <c:val>
            <c:numRef>
              <c:f>'Diagnose-pivot'!$C$6:$C$9</c:f>
              <c:numCache>
                <c:formatCode>General</c:formatCode>
                <c:ptCount val="3"/>
                <c:pt idx="0">
                  <c:v>15</c:v>
                </c:pt>
                <c:pt idx="1">
                  <c:v>1</c:v>
                </c:pt>
                <c:pt idx="2">
                  <c:v>1</c:v>
                </c:pt>
              </c:numCache>
            </c:numRef>
          </c:val>
          <c:extLst>
            <c:ext xmlns:c16="http://schemas.microsoft.com/office/drawing/2014/chart" uri="{C3380CC4-5D6E-409C-BE32-E72D297353CC}">
              <c16:uniqueId val="{00000001-CA2D-41DA-BFFF-E19E634339D1}"/>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[VRS_RobotData.xlsx]Diagnose-pivot!PivotTable1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'Diagnose-pivot'!$C$5</c:f>
              <c:strCache>
                <c:ptCount val="1"/>
                <c:pt idx="0">
                  <c:v>Total</c:v>
                </c:pt>
              </c:strCache>
            </c:strRef>
          </c:tx>
          <c:spPr>
            <a:solidFill>
              <a:schemeClr val="accent1"/>
            </a:solidFill>
            <a:ln>
              <a:noFill/>
            </a:ln>
            <a:effectLst/>
          </c:spPr>
          <c:invertIfNegative val="0"/>
          <c:cat>
            <c:strRef>
              <c:f>'Diagnose-pivot'!$A$6:$B$9</c:f>
              <c:strCache>
                <c:ptCount val="3"/>
                <c:pt idx="0">
                  <c:v>EOL open issue</c:v>
                </c:pt>
                <c:pt idx="1">
                  <c:v>bad LS - xtheta thrown away</c:v>
                </c:pt>
                <c:pt idx="2">
                  <c:v>Front wheel slip - can't get on rail</c:v>
                </c:pt>
              </c:strCache>
            </c:strRef>
          </c:cat>
          <c:val>
            <c:numRef>
              <c:f>'Diagnose-pivot'!$C$6:$C$9</c:f>
              <c:numCache>
                <c:formatCode>General</c:formatCode>
                <c:ptCount val="3"/>
                <c:pt idx="0">
                  <c:v>15</c:v>
                </c:pt>
                <c:pt idx="1">
                  <c:v>1</c:v>
                </c:pt>
                <c:pt idx="2">
                  <c:v>1</c:v>
                </c:pt>
              </c:numCache>
            </c:numRef>
          </c:val>
          <c:extLst>
            <c:ext xmlns:c16="http://schemas.microsoft.com/office/drawing/2014/chart" uri="{C3380CC4-5D6E-409C-BE32-E72D297353CC}">
              <c16:uniqueId val="{00000001-2BF7-4E5F-84C8-FE05C2B0D7EF}"/>
            </c:ext>
          </c:extLst>
        </c:ser>
        <c:dLbls>
          <c:showLegendKey val="0"/>
          <c:showVal val="0"/>
          <c:showCatName val="0"/>
          <c:showSerName val="0"/>
          <c:showPercent val="0"/>
          <c:showBubbleSize val="0"/>
        </c:dLbls>
        <c:gapWidth val="182"/>
        <c:axId val="1455763016"/>
        <c:axId val="1455742376"/>
      </c:barChart>
      <c:catAx>
        <c:axId val="14557630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742376"/>
        <c:crosses val="autoZero"/>
        <c:auto val="1"/>
        <c:lblAlgn val="ctr"/>
        <c:lblOffset val="100"/>
        <c:noMultiLvlLbl val="0"/>
      </c:catAx>
      <c:valAx>
        <c:axId val="1455742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7630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66675</xdr:colOff>
      <xdr:row>3</xdr:row>
      <xdr:rowOff>123825</xdr:rowOff>
    </xdr:from>
    <xdr:to>
      <xdr:col>18</xdr:col>
      <xdr:colOff>180975</xdr:colOff>
      <xdr:row>30</xdr:row>
      <xdr:rowOff>9525</xdr:rowOff>
    </xdr:to>
    <xdr:graphicFrame macro="">
      <xdr:nvGraphicFramePr>
        <xdr:cNvPr id="3" name="Chart 2">
          <a:extLst>
            <a:ext uri="{FF2B5EF4-FFF2-40B4-BE49-F238E27FC236}">
              <a16:creationId xmlns:a16="http://schemas.microsoft.com/office/drawing/2014/main" id="{83DF1533-F675-35DD-AE91-2F6B7DEFC2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371475</xdr:colOff>
      <xdr:row>43</xdr:row>
      <xdr:rowOff>66675</xdr:rowOff>
    </xdr:from>
    <xdr:to>
      <xdr:col>13</xdr:col>
      <xdr:colOff>1028700</xdr:colOff>
      <xdr:row>78</xdr:row>
      <xdr:rowOff>171450</xdr:rowOff>
    </xdr:to>
    <xdr:graphicFrame macro="">
      <xdr:nvGraphicFramePr>
        <xdr:cNvPr id="3" name="Chart 2">
          <a:extLst>
            <a:ext uri="{FF2B5EF4-FFF2-40B4-BE49-F238E27FC236}">
              <a16:creationId xmlns:a16="http://schemas.microsoft.com/office/drawing/2014/main" id="{E81C74C8-28C1-7E5B-628B-04EEA11908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190500</xdr:colOff>
      <xdr:row>1</xdr:row>
      <xdr:rowOff>38100</xdr:rowOff>
    </xdr:from>
    <xdr:to>
      <xdr:col>24</xdr:col>
      <xdr:colOff>647700</xdr:colOff>
      <xdr:row>28</xdr:row>
      <xdr:rowOff>114300</xdr:rowOff>
    </xdr:to>
    <xdr:graphicFrame macro="">
      <xdr:nvGraphicFramePr>
        <xdr:cNvPr id="4" name="Chart 3">
          <a:extLst>
            <a:ext uri="{FF2B5EF4-FFF2-40B4-BE49-F238E27FC236}">
              <a16:creationId xmlns:a16="http://schemas.microsoft.com/office/drawing/2014/main" id="{533EDFE3-97D1-0CCD-D6AD-D83582667FDC}"/>
            </a:ext>
            <a:ext uri="{147F2762-F138-4A5C-976F-8EAC2B608ADB}">
              <a16:predDERef xmlns:a16="http://schemas.microsoft.com/office/drawing/2014/main" pred="{B4EF0DC3-2006-E0B0-4988-7DD98A0C7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295275</xdr:colOff>
      <xdr:row>0</xdr:row>
      <xdr:rowOff>95250</xdr:rowOff>
    </xdr:from>
    <xdr:to>
      <xdr:col>15</xdr:col>
      <xdr:colOff>95250</xdr:colOff>
      <xdr:row>28</xdr:row>
      <xdr:rowOff>180975</xdr:rowOff>
    </xdr:to>
    <xdr:graphicFrame macro="">
      <xdr:nvGraphicFramePr>
        <xdr:cNvPr id="2" name="Chart 1">
          <a:extLst>
            <a:ext uri="{FF2B5EF4-FFF2-40B4-BE49-F238E27FC236}">
              <a16:creationId xmlns:a16="http://schemas.microsoft.com/office/drawing/2014/main" id="{80BA3E01-33C7-BC28-F74D-4E568910C4EC}"/>
            </a:ext>
            <a:ext uri="{147F2762-F138-4A5C-976F-8EAC2B608ADB}">
              <a16:predDERef xmlns:a16="http://schemas.microsoft.com/office/drawing/2014/main" pred="{533EDFE3-97D1-0CCD-D6AD-D83582667F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019.410623611111" createdVersion="8" refreshedVersion="8" minRefreshableVersion="3" recordCount="2315" xr:uid="{514AA7E6-5400-41D9-BD72-28B8C137A7E4}">
  <cacheSource type="worksheet">
    <worksheetSource name="Table3" sheet="Error-code-pivot"/>
  </cacheSource>
  <cacheFields count="22">
    <cacheField name="DatabaseId" numFmtId="0">
      <sharedItems containsBlank="1"/>
    </cacheField>
    <cacheField name="Robot" numFmtId="0">
      <sharedItems containsBlank="1" count="11">
        <s v="LumionFix 024"/>
        <s v="LumionFix 032"/>
        <s v="LumionFix 023"/>
        <s v="LumionFix 029"/>
        <s v="LumionFix 040"/>
        <s v="LumionFix 033"/>
        <s v="LumionFix 034"/>
        <s v="LumionFix 035"/>
        <s v="LumionFix A5.6"/>
        <s v="LumionFix 041"/>
        <m u="1"/>
      </sharedItems>
    </cacheField>
    <cacheField name="treatmentId" numFmtId="0">
      <sharedItems containsBlank="1"/>
    </cacheField>
    <cacheField name="status" numFmtId="0">
      <sharedItems containsBlank="1"/>
    </cacheField>
    <cacheField name="recovery" numFmtId="0">
      <sharedItems containsBlank="1" count="68">
        <s v="yes"/>
        <s v="not at least one job is completed"/>
        <s v="recovery is not supported with a sideshift"/>
        <m/>
        <s v="error code 0x1040103 is not supported"/>
        <s v="error code 0x1060101 is not supported"/>
        <s v="inductive sees rails"/>
        <s v="error code 0x1060009 is not supported"/>
        <s v="error code 0x1040105 is not supported"/>
        <s v="error code 0x1060002 is not supported"/>
        <s v="error code 0x1010102 is not supported"/>
        <s v="error code 0x1010101 is not supported"/>
        <s v="current node is not the lane (rect50288 vs right_3207)"/>
        <s v="error code 0x1070001 is not supported"/>
        <s v="error code 0x106000b is not supported"/>
        <s v="error code 0x1040104 is not supported"/>
        <s v="current node is not the lane (walkway_2 vs right_3131)"/>
        <s v="error code 0x1010103 is not supported"/>
        <s v="recovery is not enabled"/>
        <s v="slip: error code 0x1050005 is not supported; inductive: inductive does not see rails"/>
        <s v="slip: not at least one job is completed; inductive: inductive does not see rails"/>
        <s v="vehicle did not complete recovery job in time"/>
        <s v="slip: error code 0x1060002 is not supported; inductive: inductive does not see rails"/>
        <s v="slip: error code 0x1050005 is not supported; inductive: error code 0x1050005 is not supported"/>
        <s v="slip: not at least one job is completed; inductive: error code 0x1060009 is not supported"/>
        <s v="slip: error code 0x1060009 is not supported; inductive: inductive does not see rails"/>
        <s v="slip: error code 0x1080001 is not supported; inductive: inductive does not see rails"/>
        <s v="slip: error code 0x1060002 is not supported; inductive: error code 0x1060002 is not supported"/>
        <s v="slip: error code 0x1070001 is not supported; inductive: inductive does not see rails"/>
        <s v="slip: error code 0x1060101 is not supported; inductive: inductive does not see rails"/>
        <s v="slip: error code 0x1040103 is not supported; inductive: inductive does not see rails"/>
        <s v="slip: error code 0x1060165 is not supported; inductive: inductive does not see rails"/>
        <s v="vision error too large (-0.2979000091552734°, -21.91400008276105cm)"/>
        <s v="slip: recovery is not enabled; inductive: recovery is not enabled"/>
        <s v="failed to reset vehicle"/>
        <s v="recovery job failed"/>
        <s v="slip: error code 0x1030003 is not supported; inductive: inductive does not see rails"/>
        <s v="slip: error code 0x1030002 is not supported; inductive: inductive does not see rails"/>
        <s v="slip: current node is not the lane (walkway-3-2 vs right_block20_lane7); inductive: inductive does not see rails"/>
        <s v="slip: error code 0x1030001 is not supported; inductive: inductive does not see rails"/>
        <s v="slip: current node is not the lane (walkway-3 vs right_block15_lane3); inductive: inductive does not see rails"/>
        <s v="slip: error code 0x1060009 is not supported; inductive: error code 0x1060009 is not supported"/>
        <s v="slip: error code 0x1040105 is not supported; inductive: inductive does not see rails"/>
        <s v="map did not return recovery info"/>
        <s v="slip: not at least one job is completed; inductive: error code 0x1060002 is not supported"/>
        <s v="recovery job was rejected"/>
        <s v="slip: error code 0x1060001 is not supported; inductive: error code 0x1060001 is not supported"/>
        <s v="slip: error code 0x1010101 is not supported; inductive: inductive does not see rails"/>
        <s v="slip: error code 0x2040069 is not supported; inductive: inductive does not see rails"/>
        <s v="not enough measurements came in from vision: 0/0"/>
        <s v="slip: current node is not the lane (lane_3304 vs lane_3302); inductive: inductive does not see rails"/>
        <s v="slip: current node is not the lane (walkway_1 vs right_block_2_lane_3); inductive: inductive does not see rails"/>
        <s v="slip: not at least one job is completed; inductive: error code 0x1050005 is not supported"/>
        <s v="slip: error code 0x1060001 is not supported; inductive: inductive does not see rails"/>
        <s v="slip: error code 0x1020001 is not supported; inductive: inductive does not see rails"/>
        <s v="slip: error code 0x1060065 is not supported; inductive: error code 0x1060065 is not supported"/>
        <s v="slip: error code 0x1010115 is not supported; inductive: inductive does not see rails"/>
        <s v="slip: current node is not the lane (walkway_1 vs left_block_11_lane_7); inductive: inductive does not see rails"/>
        <s v="slip: not at least one job is completed; inductive: error code 0x1060001 is not supported"/>
        <s v="slip: current node is not the lane (walkway_1 vs left_block_1_lane_5); inductive: inductive does not see rails"/>
        <s v="slip: error code 0x1030004 is not supported; inductive: inductive does not see rails"/>
        <s v="slip: error code 0x106000b is not supported; inductive: error code 0x106000b is not supported"/>
        <s v="slip: error code 0x2040069 is not supported; inductive: error code 0x2040069 is not supported"/>
        <s v="slip: error code 0x1060007 is not supported; inductive: error code 0x1060007 is not supported"/>
        <s v="slip: not at least one job is completed; inductive: error code 0x1060007 is not supported"/>
        <s v="slip: not at least one job is completed; inductive: error code 0x106000b is not supported"/>
        <s v="not enough measurements came in from vision: 4/4"/>
        <s v="slip: error code 0x1060007 is not supported; inductive: inductive does not see rails"/>
      </sharedItems>
    </cacheField>
    <cacheField name="datetime" numFmtId="0">
      <sharedItems/>
    </cacheField>
    <cacheField name="total lanes" numFmtId="0">
      <sharedItems containsString="0" containsBlank="1" containsNumber="1" containsInteger="1" minValue="1" maxValue="405"/>
    </cacheField>
    <cacheField name="completed" numFmtId="0">
      <sharedItems containsString="0" containsBlank="1" containsNumber="1" containsInteger="1" minValue="0" maxValue="222"/>
    </cacheField>
    <cacheField name="percentage" numFmtId="0">
      <sharedItems containsString="0" containsBlank="1" containsNumber="1" minValue="0" maxValue="1"/>
    </cacheField>
    <cacheField name="failed_path" numFmtId="0">
      <sharedItems containsBlank="1" count="860">
        <s v="right_3261"/>
        <s v="right_3259"/>
        <s v="right_3263"/>
        <s v="left_block14_lane7"/>
        <m/>
        <s v="right_3531"/>
        <s v="right_3537"/>
        <s v="right_3539"/>
        <s v="right_3575"/>
        <s v="left_lane3758"/>
        <s v="right_3489"/>
        <s v="right_3485"/>
        <s v="right_3427"/>
        <s v="left_block14_lane8"/>
        <s v="right_3441"/>
        <s v="right_3415"/>
        <s v="right_3007"/>
        <s v="right_3147"/>
        <s v="right_3395"/>
        <s v="right_3205"/>
        <s v="right_3207"/>
        <s v="right_3255"/>
        <s v="left_lane3178"/>
        <s v="left_lane3474"/>
        <s v="left_lane3490"/>
        <s v="left_lane3476"/>
        <s v="left_lane3180"/>
        <s v="left_lane3328"/>
        <s v="left_lane3478"/>
        <s v="right_3411"/>
        <s v="right_block47_lane7"/>
        <s v="right_block40_lane2"/>
        <s v="right_block48_lane2"/>
        <s v="right_3105"/>
        <s v="left_block28_lane8"/>
        <s v="right_3095"/>
        <s v="right_3015"/>
        <s v="right_3079"/>
        <s v="left_block28_lane3"/>
        <s v="right_3093"/>
        <s v="left_block40_lane8"/>
        <s v="left_block28_lane7"/>
        <s v="left_lane3450"/>
        <s v="left_block27_lane8"/>
        <s v="left_block42_lane2"/>
        <s v="right_block42_lane7"/>
        <s v="right_block31_lane3"/>
        <s v="left_block46_lane4"/>
        <s v="left_lane3362"/>
        <s v="left_lane3326"/>
        <s v="left_block50_lane8"/>
        <s v="right_block41_lane2"/>
        <s v="right_block42_lane2"/>
        <s v="left_block33_lane2"/>
        <s v="left_block35_lane8"/>
        <s v="left_block42_lane4"/>
        <s v="right_block52_lane6"/>
        <s v="right_block43_lane4"/>
        <s v="left_lane3482"/>
        <s v="left_lane3310"/>
        <s v="left_lane3300"/>
        <s v="right_3133"/>
        <s v="right_3131"/>
        <s v="left_block49_lane8"/>
        <s v="right_3121"/>
        <s v="left_lane3440"/>
        <s v="right_3143"/>
        <s v="right_block40_lane5"/>
        <s v="right_block30_lane3"/>
        <s v="right_3281"/>
        <s v="s4_b3_l2"/>
        <s v="s3_b10_l5"/>
        <s v="s4_b10_l5"/>
        <s v="s4_b8_l2"/>
        <s v="s4_b2_l3"/>
        <s v="s4_b2_l2"/>
        <s v="right_3011"/>
        <s v="left_block46_lane3"/>
        <s v="left_lane3278"/>
        <s v="right_3169"/>
        <s v="right_3175"/>
        <s v="right_block46_lane7"/>
        <s v="s4_b2_l6"/>
        <s v="s4_b2_l5"/>
        <s v="s4_b3_l1"/>
        <s v="s4_b5_l2"/>
        <s v="right_3491"/>
        <s v="right_3477"/>
        <s v="left_lane3430"/>
        <s v="left_block33_lane3"/>
        <s v="left_block43_lane3"/>
        <s v="left_block11_lane5"/>
        <s v="right_3167"/>
        <s v="left_lane3332"/>
        <s v="left_lane3402"/>
        <s v="left_block27_lane2"/>
        <s v="right_block31_lane2"/>
        <s v="s4_b10_l1"/>
        <s v="left_block46_lane5"/>
        <s v="right_block27_lane3"/>
        <s v="left_block39_lane7"/>
        <s v="right_block6_lane2"/>
        <s v="left_block7_lane5"/>
        <s v="right_block39_lane7"/>
        <s v="left_lane3206"/>
        <s v="right_block16_lane2"/>
        <s v="s4_b1_l3"/>
        <s v="left_lane3472"/>
        <s v="left_lane3468"/>
        <s v="left_lane3466"/>
        <s v="left_lane3462"/>
        <s v="left_lane3460"/>
        <s v="left_lane3456"/>
        <s v="left_lane3452"/>
        <s v="left_lane3444"/>
        <s v="left_lane3436"/>
        <s v="left_lane3428"/>
        <s v="left_lane3424"/>
        <s v="left_lane3408"/>
        <s v="left_lane3396"/>
        <s v="right_3339"/>
        <s v="left_lane3340"/>
        <s v="right_3083"/>
        <s v="left_block38_lane2"/>
        <s v="unknown"/>
        <s v="right_3429"/>
        <s v="right_block45_lane2"/>
        <s v="left_lane3176"/>
        <s v="right_3077"/>
        <s v="right_3091"/>
        <s v="right_block16_lane5"/>
        <s v="right_block32_lane2"/>
        <s v="left_lane3358"/>
        <s v="left_lane3420"/>
        <s v="left_block28_lane2"/>
        <s v="left_block29_lane2"/>
        <s v="right_3009"/>
        <s v="right_block4_lane1"/>
        <s v="left_block5_lane1"/>
        <s v="sideshift-init"/>
        <s v="left_block15_lane1"/>
        <s v="left_block16_lane1"/>
        <s v="left_block20_lane1"/>
        <s v="right_3439"/>
        <s v="right_3151"/>
        <s v="left_block2_lane1"/>
        <s v="right_block3_lane6"/>
        <s v="left_block6_lane7"/>
        <s v="left_block7_lane1"/>
        <s v="left_lane3374"/>
        <s v="left_lane3488"/>
        <s v="left_lane3486"/>
        <s v="s4_b1_l1"/>
        <s v="s4_b1_l2"/>
        <s v="rect6440-6"/>
        <s v="s3_b5_l1"/>
        <s v="right_3047"/>
        <s v="right_3013"/>
        <s v="right_3019"/>
        <s v="right_3021"/>
        <s v="right_3023"/>
        <s v="right_3025"/>
        <s v="right_3211"/>
        <s v="left_lane3442"/>
        <s v="right_3355"/>
        <s v="right_3203"/>
        <s v="right_3135"/>
        <s v="right_3123"/>
        <s v="left_lane3196"/>
        <s v="left_lane3200"/>
        <s v="left_block25_lane5"/>
        <s v="left_block25_lane6"/>
        <s v="left_block24_lane5"/>
        <s v="left_block15_lane2"/>
        <s v="left_block23_lane3"/>
        <s v="left_block22_lane5"/>
        <s v="left_block18_lane8"/>
        <s v="right_block23_lane4"/>
        <s v="right_block23_lane1"/>
        <s v="left_block21_lane5"/>
        <s v="right_block14_lane2"/>
        <s v="right_block21_lane2"/>
        <s v="right_block20_lane7"/>
        <s v="right_block20_lane6"/>
        <s v="right_block15_lane1"/>
        <s v="right_block15_lane2"/>
        <s v="right_block15_lane3"/>
        <s v="right_block20_lane3"/>
        <s v="left_block21_lane3"/>
        <s v="left_block26_lane4"/>
        <s v="right_3089"/>
        <s v="left_block21_lane4"/>
        <s v="right_block20_lane4"/>
        <s v="right_block20_lane2"/>
        <s v="right_block20_lane5"/>
        <s v="right_3407"/>
        <s v="waypoint-end-right_3089-left"/>
        <s v="s4_b10_l6"/>
        <s v="s4_b9_l6"/>
        <s v="s4_b2_l1"/>
        <s v="left_lane3182"/>
        <s v="left_block19_lane3"/>
        <s v="right_block22_lane2"/>
        <s v="right_block25_lane6"/>
        <s v="right_block26_lane6"/>
        <s v="right_3085"/>
        <s v="right_block14_lane3"/>
        <s v="left_block5_lane5"/>
        <s v="left_block10_lane8"/>
        <s v="left_block6_lane2"/>
        <s v="right_block24_lane8"/>
        <s v="right_block21_lane6"/>
        <s v="left_block14_lane3"/>
        <s v="left_block14_lane6"/>
        <s v="right_3201"/>
        <s v="right_3215"/>
        <s v="right_3435"/>
        <s v="right_3455"/>
        <s v="left_lane3454"/>
        <s v="right_3431"/>
        <s v="right_3445"/>
        <s v="right_3791"/>
        <s v="left_block2_lane2"/>
        <s v="left_lane3748"/>
        <s v="left_lane3702"/>
        <s v="left_lane3676"/>
        <s v="waypoint-end-left_lane3660-right"/>
        <s v="right_3663"/>
        <s v="right_3659"/>
        <s v="right_3651"/>
        <s v="right_3603"/>
        <s v="left_lane3662"/>
        <s v="left_lane3634"/>
        <s v="left_lane3630"/>
        <s v="left_lane3590"/>
        <s v="left_block2_lane8"/>
        <s v="left_block9_lane7"/>
        <s v="left_lane3484"/>
        <s v="right_3409"/>
        <s v="right_3361"/>
        <s v="right_3591"/>
        <s v="right_3633"/>
        <s v="right_3253"/>
        <s v="right_3747"/>
        <s v="right_3827"/>
        <s v="s4_b4_l4"/>
        <s v="left_lane3510"/>
        <s v="left_lane3552"/>
        <s v="left_lane3584"/>
        <s v="left_lane3628"/>
        <s v="left_lane3646"/>
        <s v="left_lane3654"/>
        <s v="left_lane3660"/>
        <s v="left_lane3412"/>
        <s v="right_3453"/>
        <s v="right_3553"/>
        <s v="right_3677"/>
        <s v="s3_b9_l6"/>
        <s v="right_3359"/>
        <s v="left_lane3542"/>
        <s v="left_lane3568"/>
        <s v="left_lane3570"/>
        <s v="left_lane3616"/>
        <s v="left_lane3664"/>
        <s v="s4_b1_l6"/>
        <s v="s4_b1_l5"/>
        <s v="s3_b8_l3"/>
        <s v="s3_b3_l6"/>
        <s v="rect6440-6-378-5"/>
        <s v="left_lane3532"/>
        <s v="left_lane3594"/>
        <s v="left_lane3600"/>
        <s v="left_lane3828"/>
        <s v="rect6440-6-378-34"/>
        <s v="left_block_1_lane_3"/>
        <s v="left_block_1_lane_4"/>
        <s v="left_block_1_lane_5"/>
        <s v="left_block_4_lane_1"/>
        <s v="left_block_5_lane_1"/>
        <s v="right_block_2_lane_2"/>
        <s v="right_block_2_lane_1"/>
        <s v="right_block_1_lane_2"/>
        <s v="right_block_4_lane_5"/>
        <s v="right_block_4_lane_6"/>
        <s v="right_block_7_lane_6"/>
        <s v="right_block_1_lane_1"/>
        <s v="block_2_lane_6"/>
        <s v="block_7_lane_6"/>
        <s v="block_6_lane_6"/>
        <s v="block_6_lane_5"/>
        <s v="block_5_lane_6"/>
        <s v="block_1_lane_1"/>
        <s v="block_1_lane_2"/>
        <s v="block_2_lane_2"/>
        <s v="left_block_3_lane_6"/>
        <s v="block_1_lane_4"/>
        <s v="block_2_lane_1"/>
        <s v="block_7_lane_4"/>
        <s v="left_block_2_lane_6"/>
        <s v="left_block_1_lane_6"/>
        <s v="block_3_lane_4"/>
        <s v="left_block_1_lane_1"/>
        <s v="block_1_lane_5"/>
        <s v="block_1_lane_3"/>
        <s v="block_1_lane_6"/>
        <s v="left_block_3_lane_5"/>
        <s v="block_2_lane_4"/>
        <s v="block_3_lane_3"/>
        <s v="left_block_2_lane_4"/>
        <s v="block_5_lane_1"/>
        <s v="left_block_2_lane_1"/>
        <s v="lane_3102"/>
        <s v="lane_3114"/>
        <s v="lane_4004"/>
        <s v="lane_3606"/>
        <s v="left_block_3_lane_3"/>
        <s v="lane_3302"/>
        <s v="right_block_2_lane_3"/>
        <s v="block_4_lane_4"/>
        <s v="block_4_lane_5"/>
        <s v="block_6_lane_1"/>
        <s v="lane_4015"/>
        <s v="right_block_1_lane_4"/>
        <s v="right_block_1_lane_5"/>
        <s v="lane_3815"/>
        <s v="lane_3615"/>
        <s v="lane_3603"/>
        <s v="lane_3401"/>
        <s v="block_2_lane_3"/>
        <s v="block_5_lane_2"/>
        <s v="lane_4003"/>
        <s v="block_6_lane_3"/>
        <s v="lane_3515"/>
        <s v="lane_3501"/>
        <s v="lane_3605"/>
        <s v="lane_3215"/>
        <s v="lane_3203"/>
        <s v="left_block_22_lane_5"/>
        <s v="left_block_22_lane_4"/>
        <s v="left_block_21_lane_4"/>
        <s v="right_block_21_lane_2"/>
        <s v="right_block_21_lane_1"/>
        <s v="right_block_20_lane_7"/>
        <s v="right_block_29_lane_7"/>
        <s v="right_block_32_lane_6"/>
        <s v="right_block_32_lane_5"/>
        <s v="left_block_30_lane_6"/>
        <s v="left_block_30_lane_4"/>
        <s v="right_block_26_lane_7"/>
        <s v="right_block_32_lane_4"/>
        <s v="lane_3915"/>
        <s v="block_7_lane_3"/>
        <s v="block_2_lane_7"/>
        <s v="block_3_lane_2"/>
        <s v="right_block_32_lane_3"/>
        <s v="right_block_1_lane_7"/>
        <s v="left_block_25_lane_7"/>
        <s v="right_block_32_lane_2"/>
        <s v="left_block_18_lane_4"/>
        <s v="left_block_15_lane_1"/>
        <s v="left_block_16_lane_2"/>
        <s v="left_block_11_lane_6"/>
        <s v="left_block_9_lane_1"/>
        <s v="left_block_6_lane_2"/>
        <s v="right_block_32_lane_1"/>
        <s v="block_2_lane_5"/>
        <s v="block_4_lane_3"/>
        <s v="right_block4_lane8"/>
        <s v="left_block_3_lane_2"/>
        <s v="right_block_4_lane_7"/>
        <s v="left_block_14_lane_1"/>
        <s v="left_block_3_lane_7"/>
        <s v="block_6_lane_4"/>
        <s v="left_block_12_lane_4"/>
        <s v="left_block_9_lane_6"/>
        <s v="left_block_2_lane_7"/>
        <s v="left_block11_lane8"/>
        <s v="left_block13_lane4"/>
        <s v="left_block13_lane6"/>
        <s v="lane_3610"/>
        <s v="lane_3316"/>
        <s v="right_block_7_lane_5"/>
        <s v="right_block_11_lane_3"/>
        <s v="right_block_17_lane_6"/>
        <s v="right_block_22_lane_6"/>
        <s v="right_block_23_lane_5"/>
        <s v="right_block_23_lane_6"/>
        <s v="right_block1_lane3"/>
        <s v="right_block1_lane4"/>
        <s v="right_block14_lane8"/>
        <s v="right_block2_lane7"/>
        <s v="right_block6_lane5"/>
        <s v="right_block_27_lane_1"/>
        <s v="right_block1_lane2"/>
        <s v="right_block2_lane2"/>
        <s v="right_block_1_lane_3"/>
        <s v="left_block_29_lane_7"/>
        <s v="block_4_lane_6"/>
        <s v="left_block_23_lane_2"/>
        <s v="right_block_12_lane_5"/>
        <s v="left_block_19_lane_4"/>
        <s v="left_block_18_lane_3"/>
        <s v="block_3_lane_6"/>
        <s v="left_block_22_lane_6"/>
        <s v="left_block_29_lane_4"/>
        <s v="left_block_5_lane_5"/>
        <s v="left_block_10_lane_6"/>
        <s v="right_block_1_lane_9"/>
        <s v="left_block_5_lane_7"/>
        <s v="left_block_5_lane_4"/>
        <s v="right_block_7_lane_1"/>
        <s v="block_7_lane_5"/>
        <s v="left_block_1_lane_2"/>
        <s v="block6_lane3_r"/>
        <s v="right_block_20_lane_2"/>
        <s v="right_block_1_lane_8"/>
        <s v="block1_lane1_l"/>
        <s v="block1_lane2_l"/>
        <s v="right_block_28_lane_1"/>
        <s v="right_block_18_lane_1"/>
        <s v="block2_lane3_l"/>
        <s v="block1_lane5_l"/>
        <s v="block1_lane4_l"/>
        <s v="right_block28_lane2"/>
        <s v="lane_3109"/>
        <s v="right_block_18_lane_2"/>
        <s v="node_1-43-0-4-4-8-6-3-6-71-6-3-0"/>
        <s v="node_1-43-0-4-4-8-6-3-6-71-5-2-61"/>
        <s v="node_1-43-0-4-4-8-6-3-6-71-3-8-22"/>
        <s v="node_1-43-0-4-4-8-6-3-6-71-9-8-8"/>
        <s v="right_block_16_lane_2"/>
        <s v="right_block_16_lane_1"/>
        <s v="right_block_14_lane_3"/>
        <s v="left_block_11_lane_7"/>
        <s v="right_block_8_lane_1"/>
        <s v="lane_3504"/>
        <s v="s4_b5_l6"/>
        <s v="lane_r6"/>
        <s v="lane_r11"/>
        <s v="lane_r16"/>
        <s v="left_block27_lane4"/>
        <s v="left_block_6_lane_7"/>
        <s v="left_block_7_lane_6"/>
        <s v="left_block_8_lane_2"/>
        <s v="left_block_8_lane_7"/>
        <s v="left_block_9_lane_2"/>
        <s v="left_block10_lane3"/>
        <s v="left_block_10_lane_1"/>
        <s v="left_block_11_lane_1"/>
        <s v="left_block_11_lane_2"/>
        <s v="s3_b10_l3"/>
        <s v="s3_b7_l3"/>
        <s v="lane_r10"/>
        <s v="node_1-43-0-4-4-8-6-3-6-71-6-3-6"/>
        <s v="lane_r29"/>
        <s v="lane_r33"/>
        <s v="lane_r36"/>
        <s v="s4_b4_l3"/>
        <s v="left_block47_lane4"/>
        <s v="block8_lane1_r"/>
        <s v="right_block13_lane6"/>
        <s v="right_block_14_lane_2"/>
        <s v="right_block_14_lane_4"/>
        <s v="right_block_26_lane_6"/>
        <s v="right_block_25_lane_4"/>
        <s v="right_block_9_lane_2"/>
        <s v="right_block_8_lane_6"/>
        <s v="right_block_8_lane_2"/>
        <s v="right_block_7_lane_2"/>
        <s v="right_block_6_lane_3"/>
        <s v="left_block_3_lane_1"/>
        <s v="left_block_4_lane_2"/>
        <s v="left_block_8_lane_1"/>
        <s v="left_block_10_lane_7"/>
        <s v="left_block_17_lane_4"/>
        <s v="left_block_19_lane_2"/>
        <s v="left_block_24_lane_2"/>
        <s v="left_block_30_lane_8"/>
        <s v="block4_lane3_l"/>
        <s v="left_block5_lane3"/>
        <s v="left_block9_lane4"/>
        <s v="left_block10_lane2"/>
        <s v="block14_lane3_l"/>
        <s v="right_block_13_lane_4"/>
        <s v="left_block_2_lane_5"/>
        <s v="block7_lane7_l"/>
        <s v="node_1-43-0-4-4-8-6-3-6-71-1-9-63-4"/>
        <s v="right_block_21_lane_6"/>
        <s v="block16_lane6_l"/>
        <s v="right_block_17_lane_2"/>
        <s v="left_block14_lane5"/>
        <s v="right_block_14_lane_7"/>
        <s v="right_block_14_lane_6"/>
        <s v="right_block_14_lane_1"/>
        <s v="left_block18_lane7"/>
        <s v="right_block_12_lane_6"/>
        <s v="right_block_11_lane_5"/>
        <s v="left_block9_lane2"/>
        <s v="block8_lane3_l"/>
        <s v="block13_lane3_l"/>
        <s v="right_3387"/>
        <s v="node_1-43-0-4-4-8-6-3-6-71-1-9-63"/>
        <s v="right_block_11_lane_4"/>
        <s v="right_block_11_lane_7"/>
        <s v="right_block_11_lane_2"/>
        <s v="lane_R50"/>
        <s v="right_block_10_lane_7"/>
        <s v="connection_L7"/>
        <s v="lane_L12"/>
        <s v="right_block4_lane3"/>
        <s v="lane_L11"/>
        <s v="left_block_1_lane_7"/>
        <s v="right_block26_lane7"/>
        <s v="right_block7_lane2"/>
        <s v="right_block19_lane7"/>
        <s v="block12_lane2_l"/>
        <s v="left_block6_lane5"/>
        <s v="left_block10_lane7"/>
        <s v="left_block11_lane6"/>
        <s v="lane_3904"/>
        <s v="right_block_31_lane_7"/>
        <s v="right_block_31_lane_6"/>
        <s v="left_block_18_lane_6"/>
        <s v="right_block_22_lane_5"/>
        <s v="right_3375"/>
        <s v="left_lane3514"/>
        <s v="left_lane3516"/>
        <s v="left_lane3520"/>
        <s v="left_lane3522"/>
        <s v="left_lane3524"/>
        <s v="left_lane3526"/>
        <s v="left_lane3530"/>
        <s v="left_lane3536"/>
        <s v="left_lane3538"/>
        <s v="left_lane3540"/>
        <s v="left_lane3546"/>
        <s v="left_lane3554"/>
        <s v="left_lane3556"/>
        <s v="left_lane3558"/>
        <s v="left_lane3562"/>
        <s v="left_lane3564"/>
        <s v="left_lane3586"/>
        <s v="left_lane3588"/>
        <s v="left_lane3602"/>
        <s v="left_lane3604"/>
        <s v="left_lane3610"/>
        <s v="left_lane3612"/>
        <s v="left_lane3620"/>
        <s v="right_3509"/>
        <s v="right_3541"/>
        <s v="right_3547"/>
        <s v="right_3549"/>
        <s v="right_3555"/>
        <s v="right_3557"/>
        <s v="right_3559"/>
        <s v="right_3563"/>
        <s v="right_3565"/>
        <s v="right_3569"/>
        <s v="right_3571"/>
        <s v="right_3573"/>
        <s v="right_3579"/>
        <s v="right_3581"/>
        <s v="right_3585"/>
        <s v="right_3587"/>
        <s v="right_3589"/>
        <s v="right_3595"/>
        <s v="right_3597"/>
        <s v="right_3601"/>
        <s v="right_3605"/>
        <s v="right_3607"/>
        <s v="right_3611"/>
        <s v="right_3613"/>
        <s v="right_3617"/>
        <s v="right_3619"/>
        <s v="right_3621"/>
        <s v="right_3623"/>
        <s v="right_3627"/>
        <s v="right_3629"/>
        <s v="right_3635"/>
        <s v="right_3637"/>
        <s v="right_3639"/>
        <s v="right_3643"/>
        <s v="right_3645"/>
        <s v="right_3649"/>
        <s v="right_3653"/>
        <s v="right_3661"/>
        <s v="right_3665"/>
        <s v="right_3667"/>
        <s v="right_3669"/>
        <s v="right_3671"/>
        <s v="right_3675"/>
        <s v="right_3681"/>
        <s v="right_3683"/>
        <s v="right_3685"/>
        <s v="right_3687"/>
        <s v="right_3691"/>
        <s v="right_3697"/>
        <s v="right_3699"/>
        <s v="right_3701"/>
        <s v="right_3703"/>
        <s v="right_3707"/>
        <s v="right_3709"/>
        <s v="right_3713"/>
        <s v="right_3715"/>
        <s v="right_3717"/>
        <s v="right_3719"/>
        <s v="right_3723"/>
        <s v="right_3725"/>
        <s v="right_3729"/>
        <s v="right_3731"/>
        <s v="right_3733"/>
        <s v="right_3739"/>
        <s v="right_3741"/>
        <s v="right_3745"/>
        <s v="right_3749"/>
        <s v="right_3751"/>
        <s v="right_3755"/>
        <s v="right_3757"/>
        <s v="right_3761"/>
        <s v="right_3763"/>
        <s v="right_3765"/>
        <s v="right_3767"/>
        <s v="right_3771"/>
        <s v="right_3773"/>
        <s v="right_3777"/>
        <s v="right_3779"/>
        <s v="right_3781"/>
        <s v="right_3783"/>
        <s v="right_3787"/>
        <s v="right_3789"/>
        <s v="right_3793"/>
        <s v="right_3795"/>
        <s v="right_3797"/>
        <s v="right_3799"/>
        <s v="right_3803"/>
        <s v="right_3805"/>
        <s v="right_3809"/>
        <s v="right_3811"/>
        <s v="right_3813"/>
        <s v="right_3815"/>
        <s v="right_3819"/>
        <s v="right_3821"/>
        <s v="right_3823"/>
        <s v="right_3825"/>
        <s v="right_3829"/>
        <s v="right_3103"/>
        <s v="right_3181"/>
        <s v="right_block_13_lane_5"/>
        <s v="right_block_12_lane_7"/>
        <s v="right_block_12_lane_4"/>
        <s v="right_block_12_lane_1"/>
        <s v="right_block_11_lane_1"/>
        <s v="right_block_10_lane_6"/>
        <s v="right_block_10_lane_5"/>
        <s v="right_block_10_lane_3"/>
        <s v="right_block_10_lane_2"/>
        <s v="right_block_9_lane_6"/>
        <s v="right_block_9_lane_5"/>
        <s v="right_block_9_lane_4"/>
        <s v="right_block_21_lane_5"/>
        <s v="right_block_21_lane_4"/>
        <s v="right_block_21_lane_3"/>
        <s v="right_block_20_lane_6"/>
        <s v="right_block_20_lane_5"/>
        <s v="right_block_20_lane_4"/>
        <s v="right_block_20_lane_3"/>
        <s v="right_block_20_lane_1"/>
        <s v="right_block_19_lane_7"/>
        <s v="right_block_19_lane_6"/>
        <s v="right_block_19_lane_5"/>
        <s v="right_block_19_lane_4"/>
        <s v="right_block_19_lane_3"/>
        <s v="right_block_19_lane_2"/>
        <s v="right_block_19_lane_1"/>
        <s v="right_block_18_lane_7"/>
        <s v="right_block_18_lane_6"/>
        <s v="right_block_18_lane_5"/>
        <s v="right_block_18_lane_4"/>
        <s v="right_block_18_lane_3"/>
        <s v="right_block_17_lane_7"/>
        <s v="right_block_17_lane_5"/>
        <s v="right_block_17_lane_4"/>
        <s v="right_block_17_lane_3"/>
        <s v="right_block_17_lane_1"/>
        <s v="right_block_16_lane_7"/>
        <s v="right_block_16_lane_6"/>
        <s v="right_block_16_lane_5"/>
        <s v="right_block_16_lane_4"/>
        <s v="right_block_16_lane_3"/>
        <s v="right_block_15_lane_7"/>
        <s v="right_block_15_lane_6"/>
        <s v="right_block_15_lane_5"/>
        <s v="right_block_15_lane_4"/>
        <s v="right_block_15_lane_3"/>
        <s v="right_block_15_lane_2"/>
        <s v="right_block_15_lane_1"/>
        <s v="right_block_14_lane_5"/>
        <s v="right_block_13_lane_7"/>
        <s v="right_block_13_lane_6"/>
        <s v="right_block_13_lane_3"/>
        <s v="right_block_13_lane_2"/>
        <s v="right_block_13_lane_1"/>
        <s v="right_block_12_lane_3"/>
        <s v="right_block_12_lane_2"/>
        <s v="right_block_11_lane_6"/>
        <s v="right_block_10_lane_4"/>
        <s v="right_block_9_lane_7"/>
        <s v="right_block_9_lane_3"/>
        <s v="right_block_9_lane_1"/>
        <s v="right_block_8_lane_7"/>
        <s v="right_block_8_lane_5"/>
        <s v="right_block_8_lane_4"/>
        <s v="right_block_8_lane_3"/>
        <s v="right_block_7_lane_7"/>
        <s v="right_3405"/>
        <s v="right_3345"/>
        <s v="right_3303"/>
        <s v="right_block_5_lane_6"/>
        <s v="left_block_21_lane_6"/>
        <s v="left_block_21_lane_2"/>
        <s v="left_block_21_lane_1"/>
        <s v="left_block_20_lane_6"/>
        <s v="left_block_16_lane_6"/>
        <s v="left_block_16_lane_1"/>
        <s v="left_block_15_lane_2"/>
        <s v="left_block_13_lane_1"/>
        <s v="left_block_12_lane_2"/>
        <s v="left_block_7_lane_2"/>
        <s v="waiting - 19895.0"/>
        <s v="left_block27_lane3"/>
        <s v="right_block15_lane5"/>
        <s v="right_block17_lane6"/>
        <s v="left_block29_lane3"/>
        <s v="left_block29_lane4"/>
        <s v="left_block31_lane8"/>
        <s v="left_block5_lane2"/>
        <s v="left_block8_lane4"/>
        <s v="left_block6_lane4"/>
        <s v="right_block35_lane5"/>
        <s v="left_block21_lane7"/>
        <s v="left_block23_lane4"/>
        <s v="left_block24_lane7"/>
        <s v="left_block24_lane8"/>
        <s v="right_block27_lane5"/>
        <s v="right_block19_lane3"/>
        <s v="right_block18_lane5"/>
        <s v="right_block18_lane4"/>
        <s v="left_block24_lane3"/>
        <s v="block_4_lane_1"/>
        <s v="block7_lane4_r"/>
        <s v="block7_lane5_r"/>
        <s v="block7_lane6_r"/>
        <s v="block7_lane7_r"/>
        <s v="block8_lane2_r"/>
        <s v="block8_lane3_r"/>
        <s v="block8_lane4_r"/>
        <s v="block8_lane5_r"/>
        <s v="block8_lane6_r"/>
        <s v="block16_lane2_l"/>
        <s v="block13_lane2_l"/>
        <s v="block5_lane6_l"/>
        <s v="block5_lane5_l"/>
        <s v="lane_4007"/>
        <s v="lane_3710"/>
        <s v="waiting - 21864.0"/>
        <s v="right_3505"/>
        <s v="right_3507"/>
        <s v="right_3515"/>
        <s v="right_3517"/>
        <s v="right_3521"/>
        <s v="right_3523"/>
        <s v="right_3525"/>
        <s v="right_3527"/>
        <s v="right_3543"/>
        <s v="right_3567"/>
        <s v="right_3693"/>
        <s v="block_7_lane_1"/>
        <s v="block_4_lane_2"/>
        <s v="block15_lane4_l"/>
        <s v="left_lane3284"/>
        <s v="left_lane3508"/>
        <s v="left_lane3504"/>
        <s v="left_lane3818"/>
        <s v="left_lane3814"/>
        <s v="left_lane3812"/>
        <s v="left_lane3808"/>
        <s v="left_lane3804"/>
        <s v="left_lane3802"/>
        <s v="left_lane3798"/>
        <s v="left_lane3796"/>
        <s v="left_lane3794"/>
        <s v="left_lane3792"/>
        <s v="left_lane3788"/>
        <s v="left_lane3786"/>
        <s v="left_lane3782"/>
        <s v="left_lane3780"/>
        <s v="left_lane3778"/>
        <s v="left_lane3776"/>
        <s v="left_lane3772"/>
        <s v="left_lane3770"/>
        <s v="left_lane3766"/>
        <s v="left_lane3764"/>
        <s v="left_lane3762"/>
        <s v="left_lane3760"/>
        <s v="left_lane3756"/>
        <s v="left_lane3754"/>
        <s v="left_lane3750"/>
        <s v="left_lane3746"/>
        <s v="left_lane3744"/>
        <s v="left_lane3740"/>
        <s v="left_lane3738"/>
        <s v="left_lane3734"/>
        <s v="left_lane3732"/>
        <s v="left_lane3730"/>
        <s v="left_lane3728"/>
        <s v="left_lane3724"/>
        <s v="left_lane3722"/>
        <s v="left_lane3718"/>
        <s v="left_lane3716"/>
        <s v="left_lane3714"/>
        <s v="left_lane3712"/>
        <s v="left_lane3708"/>
        <s v="left_lane3706"/>
        <s v="left_lane3700"/>
        <s v="left_lane3698"/>
        <s v="left_lane3696"/>
        <s v="left_lane3692"/>
        <s v="left_lane3690"/>
        <s v="left_lane3686"/>
        <s v="left_lane3684"/>
        <s v="left_lane3682"/>
        <s v="left_lane3680"/>
        <s v="left_lane3674"/>
        <s v="left_lane3670"/>
        <s v="left_lane3668"/>
        <s v="left_lane3666"/>
        <s v="left_lane3658"/>
        <s v="left_lane3652"/>
        <s v="left_lane3650"/>
        <s v="left_lane3648"/>
        <s v="left_lane3644"/>
        <s v="left_lane3642"/>
        <s v="left_lane3638"/>
        <s v="left_lane3636"/>
        <s v="left_lane3632"/>
        <s v="left_lane3626"/>
        <s v="left_lane3622"/>
        <s v="left_lane3614"/>
        <s v="left_lane3606"/>
        <s v="left_lane3596"/>
        <s v="left_lane3580"/>
        <s v="left_lane3578"/>
        <s v="left_lane3574"/>
        <s v="left_lane3572"/>
        <s v="left_lane3548"/>
        <s v="left_block15_lane7"/>
        <s v="left_block44_lane3"/>
        <s v="left_block7_lane3"/>
        <s v="lane_R24"/>
        <s v="lane_R49"/>
      </sharedItems>
    </cacheField>
    <cacheField name="mission" numFmtId="0">
      <sharedItems containsBlank="1" count="26">
        <s v="lumionRight"/>
        <s v="left"/>
        <s v="lumionLeft"/>
        <s v="right"/>
        <s v="lumionRight-all"/>
        <s v="lumion"/>
        <m/>
        <s v="left-no_pole_lanes"/>
        <s v="right_no_poles"/>
        <s v="left-test_with_poles"/>
        <s v="right-test_with_poles"/>
        <s v="lumion2"/>
        <s v="north"/>
        <s v="even"/>
        <s v="odd"/>
        <s v="north-test"/>
        <s v="south"/>
        <s v="lumionL"/>
        <s v="alles"/>
        <s v="section1"/>
        <s v="section4"/>
        <s v="section2"/>
        <s v="lumionLeft-test"/>
        <s v="Rechts"/>
        <s v="section3"/>
        <s v="Links"/>
      </sharedItems>
    </cacheField>
    <cacheField name="map" numFmtId="0">
      <sharedItems containsBlank="1" containsMixedTypes="1" containsNumber="1" containsInteger="1" minValue="10" maxValue="64"/>
    </cacheField>
    <cacheField name="url" numFmtId="0">
      <sharedItems containsBlank="1"/>
    </cacheField>
    <cacheField name="error code" numFmtId="0">
      <sharedItems containsBlank="1" count="39">
        <s v="0x01060101"/>
        <s v="0x01040102"/>
        <m/>
        <s v="0x01040103"/>
        <s v="0x01040001"/>
        <s v="0x01060009"/>
        <s v="0x01060002"/>
        <s v="0x01040105"/>
        <s v="0x01010102"/>
        <s v="0x01010101"/>
        <s v="0x01070001"/>
        <s v="0x01060001"/>
        <s v="0x02040009"/>
        <s v="0x0106000b"/>
        <s v="0x01040104"/>
        <s v="0x01010103"/>
        <s v="0x01050005"/>
        <s v="0x01040106"/>
        <s v="0x01080001"/>
        <s v="0x01060165"/>
        <s v="0x02020203"/>
        <s v="0x01030001"/>
        <s v="0x01040004"/>
        <s v="0x01020003"/>
        <s v="0x02020202"/>
        <s v="0x01030003"/>
        <s v="0x00000000"/>
        <s v="0x01030002"/>
        <s v="0x01010115"/>
        <s v="0x02030003"/>
        <s v="0x010600e7"/>
        <s v="0x01020001"/>
        <s v="0x0106004a"/>
        <s v="0x01060065"/>
        <s v="0x01060053"/>
        <s v="0x010600fa"/>
        <s v="0x01030004"/>
        <s v="0x02040069"/>
        <s v="0x01060007"/>
      </sharedItems>
    </cacheField>
    <cacheField name="error description" numFmtId="0">
      <sharedItems containsMixedTypes="1" containsNumber="1" containsInteger="1" minValue="0" maxValue="0" count="29">
        <s v="vision error"/>
        <s v="inductive sensor error"/>
        <n v="0"/>
        <s v="end of lane wall sensor error"/>
        <s v="vehicle diverged too far from trajectory"/>
        <s v="motor drive: DRV8353 FAULT"/>
        <s v="motor drive: UNDER VOLTAGE"/>
        <s v="xtheta sensor error"/>
        <s v="received error from global planner while in {} state"/>
        <s v="low level fsm is no longer executing the given command"/>
        <s v="battery level critical low"/>
        <s v="motor drive: OVER VOLTAGE"/>
        <s v="Sideshift HAL: DRV8353 FAULT_x0009_"/>
        <s v="Vehicle HAL: motor drive: ID CONTROL ISSUE_x0009_"/>
        <s v="end of lane open sensor error"/>
        <s v="global path planner did not finish planning in time"/>
        <s v="Veh low level FSM: safety was triggered"/>
        <s v="ytheta sensor error"/>
        <s v="Excessive slip detected"/>
        <s v="no vision heartbeat"/>
        <s v="failed to switch uv lamp state"/>
        <s v="Obstacle avoidance (AStar) timeout"/>
        <s v="collision detected in operational state for the 4th time in a row"/>
        <s v="Global path planning failed"/>
        <s v="unexpected uv lamp state switch"/>
        <s v="Trajectory generation timeout"/>
        <s v="None"/>
        <s v="Failed to find feasible path"/>
        <s v="motor drive connection: NO FEEDBACK ERROR"/>
      </sharedItems>
    </cacheField>
    <cacheField name="beeld analyse" numFmtId="0">
      <sharedItems containsBlank="1" containsMixedTypes="1" containsNumber="1" containsInteger="1" minValue="0" maxValue="0" longText="1"/>
    </cacheField>
    <cacheField name="data-analyse" numFmtId="0">
      <sharedItems containsBlank="1" containsMixedTypes="1" containsNumber="1" containsInteger="1" minValue="0" maxValue="20221026"/>
    </cacheField>
    <cacheField name="Diagnose" numFmtId="0">
      <sharedItems containsBlank="1" count="19">
        <m/>
        <s v="EOL open issue"/>
        <s v="EOL wall timeout - bad prediction"/>
        <s v="Inductive sensor received during laneswitch"/>
        <s v="Front wheel slip - can't get on rail"/>
        <s v="Slip recovery fails - bad LS"/>
        <s v="Vision error"/>
        <s v="Back wheel - cant get on rail"/>
        <s v="Steering motor/drive issue"/>
        <s v="Collision with obstacle in row"/>
        <s v="No vision heartbeat"/>
        <s v="Front wheel slip - bad prediction"/>
        <s v="Collision with infrastructure "/>
        <s v="bad LS - xtheta thrown away"/>
        <s v="Collision with obstacle in walkway"/>
        <s v="Front wheel - can't get on rail"/>
        <s v="Rail infrastructure issue"/>
        <s v="Steering motor/drive - No feedback error"/>
        <s v="Strong braking action causes overvoltage"/>
      </sharedItems>
    </cacheField>
    <cacheField name="remarks VRS" numFmtId="0">
      <sharedItems containsBlank="1" containsMixedTypes="1" containsNumber="1" containsInteger="1" minValue="0" maxValue="0" longText="1"/>
    </cacheField>
    <cacheField name="Parameter change" numFmtId="0">
      <sharedItems containsBlank="1" containsMixedTypes="1" containsNumber="1" containsInteger="1" minValue="0" maxValue="0"/>
    </cacheField>
    <cacheField name="Date Excel" numFmtId="14">
      <sharedItems containsSemiMixedTypes="0" containsNonDate="0" containsDate="1" containsString="0" minDate="2022-09-12T00:00:00" maxDate="2023-04-04T00:00:00" count="177">
        <d v="2022-09-12T00:00:00"/>
        <d v="2022-09-13T00:00:00"/>
        <d v="2022-09-14T00:00:00"/>
        <d v="2022-09-15T00:00:00"/>
        <d v="2022-09-16T00:00:00"/>
        <d v="2022-09-17T00:00:00"/>
        <d v="2022-09-18T00:00:00"/>
        <d v="2022-09-19T00:00:00"/>
        <d v="2022-09-20T00:00:00"/>
        <d v="2022-09-21T00:00:00"/>
        <d v="2022-09-23T00:00:00"/>
        <d v="2022-09-26T00:00:00"/>
        <d v="2022-09-27T00:00:00"/>
        <d v="2022-09-28T00:00:00"/>
        <d v="2022-09-29T00:00:00"/>
        <d v="2022-09-30T00:00:00"/>
        <d v="2022-10-01T00:00:00"/>
        <d v="2022-10-02T00:00:00"/>
        <d v="2022-10-03T00:00:00"/>
        <d v="2022-10-04T00:00:00"/>
        <d v="2022-10-05T00:00:00"/>
        <d v="2022-10-06T00:00:00"/>
        <d v="2022-10-07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21T00:00:00"/>
        <d v="2022-11-24T00:00:00"/>
        <d v="2022-11-25T00:00:00"/>
        <d v="2022-11-26T00:00:00"/>
        <d v="2022-11-27T00:00:00"/>
        <d v="2022-11-28T00:00:00"/>
        <d v="2022-11-29T00:00:00"/>
        <d v="2022-11-30T00:00:00"/>
        <d v="2022-12-01T00:00:00"/>
        <d v="2022-12-02T00:00:00"/>
        <d v="2022-12-05T00:00:00"/>
        <d v="2022-12-06T00:00:00"/>
        <d v="2022-12-07T00:00:00"/>
        <d v="2022-12-08T00:00:00"/>
        <d v="2022-12-09T00:00:00"/>
        <d v="2022-12-10T00:00:00"/>
        <d v="2022-12-13T00:00:00"/>
        <d v="2022-12-14T00:00:00"/>
        <d v="2022-12-15T00:00:00"/>
        <d v="2022-12-17T00:00:00"/>
        <d v="2022-12-18T00:00:00"/>
        <d v="2022-12-19T00:00:00"/>
        <d v="2022-12-20T00:00:00"/>
        <d v="2022-12-21T00:00:00"/>
        <d v="2022-12-22T00:00:00"/>
        <d v="2022-12-23T00:00:00"/>
        <d v="2022-12-24T00:00:00"/>
        <d v="2022-12-26T00:00:00"/>
        <d v="2022-12-28T00:00:00"/>
        <d v="2022-12-29T00:00:00"/>
        <d v="2022-12-30T00:00:00"/>
        <d v="2022-12-31T00:00:00"/>
        <d v="2023-01-01T00:00:00"/>
        <d v="2023-01-02T00:00:00"/>
        <d v="2023-01-03T00:00:00"/>
        <d v="2023-01-04T00:00:00"/>
        <d v="2023-01-05T00:00:00"/>
        <d v="2023-01-06T00:00:00"/>
        <d v="2023-01-07T00:00:00"/>
        <d v="2023-01-11T00:00:00"/>
        <d v="2023-01-16T00:00:00"/>
        <d v="2023-01-17T00:00:00"/>
        <d v="2023-01-18T00:00:00"/>
        <d v="2023-01-19T00:00:00"/>
        <d v="2023-01-20T00:00:00"/>
        <d v="2023-01-23T00:00:00"/>
        <d v="2023-01-24T00:00:00"/>
        <d v="2023-01-25T00:00:00"/>
        <d v="2023-01-26T00:00:00"/>
        <d v="2023-01-27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7T00:00:00"/>
        <d v="2023-03-26T00:00:00"/>
        <d v="2023-03-25T00:00:00"/>
        <d v="2023-03-24T00:00:00"/>
        <d v="2023-03-23T00:00:00"/>
        <d v="2023-03-21T00:00:00"/>
        <d v="2023-03-22T00:00:00"/>
        <d v="2023-03-28T00:00:00"/>
        <d v="2023-03-29T00:00:00"/>
        <d v="2023-03-30T00:00:00"/>
        <d v="2023-04-02T00:00:00"/>
        <d v="2023-03-31T00:00:00"/>
        <d v="2023-04-01T00:00:00"/>
        <d v="2023-04-03T00:00:00"/>
      </sharedItems>
    </cacheField>
    <cacheField name="Column1" numFmtId="0">
      <sharedItems containsBlank="1" containsMixedTypes="1" containsNumber="1" minValue="0" maxValue="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5">
  <r>
    <s v="e938471f-4e54-4525-8215-216faab21e23"/>
    <x v="0"/>
    <s v="63e73a2e-1e3f-414e-9922-53da566035d8"/>
    <s v="failed"/>
    <x v="0"/>
    <s v="2022-09-12T16:20:28.125000+00:00"/>
    <n v="103"/>
    <n v="0"/>
    <n v="0"/>
    <x v="0"/>
    <x v="0"/>
    <s v="43"/>
    <s v="URL"/>
    <x v="0"/>
    <x v="0"/>
    <n v="0"/>
    <n v="0"/>
    <x v="0"/>
    <n v="0"/>
    <n v="0"/>
    <x v="0"/>
    <n v="0"/>
  </r>
  <r>
    <s v="e5643f33-3afb-4f6d-b3c3-cf409cf2c421"/>
    <x v="0"/>
    <s v="63e73a2e-1e3f-414e-9922-53da566035d8"/>
    <s v="failed"/>
    <x v="1"/>
    <s v="2022-09-12T16:21:24.340000+00:00"/>
    <n v="103"/>
    <n v="1"/>
    <n v="9.7087378640776691E-3"/>
    <x v="0"/>
    <x v="0"/>
    <s v="43"/>
    <s v="URL"/>
    <x v="0"/>
    <x v="0"/>
    <n v="0"/>
    <n v="0"/>
    <x v="0"/>
    <n v="0"/>
    <n v="0"/>
    <x v="0"/>
    <n v="0"/>
  </r>
  <r>
    <s v="7a141440-7718-4a5b-aa74-7361c339681e"/>
    <x v="0"/>
    <s v="4038d258-0f00-49cb-b8da-346ce87b6534"/>
    <s v="failed"/>
    <x v="1"/>
    <s v="2022-09-12T16:22:36.132000+00:00"/>
    <n v="102"/>
    <n v="0"/>
    <n v="0"/>
    <x v="0"/>
    <x v="0"/>
    <s v="43"/>
    <s v="URL"/>
    <x v="0"/>
    <x v="0"/>
    <n v="0"/>
    <n v="0"/>
    <x v="0"/>
    <n v="0"/>
    <n v="0"/>
    <x v="0"/>
    <n v="0"/>
  </r>
  <r>
    <s v="9fc27f53-f123-4285-83b7-99d1146f1ecf"/>
    <x v="0"/>
    <s v="a08133f9-17f9-4685-8cd8-c77082e50325"/>
    <s v="failed"/>
    <x v="0"/>
    <s v="2022-09-12T16:38:33.189000+00:00"/>
    <n v="103"/>
    <n v="0"/>
    <n v="0"/>
    <x v="0"/>
    <x v="0"/>
    <s v="43"/>
    <s v="URL"/>
    <x v="0"/>
    <x v="0"/>
    <n v="0"/>
    <n v="0"/>
    <x v="0"/>
    <n v="0"/>
    <n v="0"/>
    <x v="0"/>
    <n v="0"/>
  </r>
  <r>
    <s v="6a41364e-0c62-494b-9f30-3c212eb91104"/>
    <x v="0"/>
    <s v="a08133f9-17f9-4685-8cd8-c77082e50325"/>
    <s v="failed"/>
    <x v="1"/>
    <s v="2022-09-12T16:39:28.445000+00:00"/>
    <n v="103"/>
    <n v="1"/>
    <n v="9.7087378640776691E-3"/>
    <x v="0"/>
    <x v="0"/>
    <s v="43"/>
    <s v="URL"/>
    <x v="0"/>
    <x v="0"/>
    <n v="0"/>
    <n v="0"/>
    <x v="0"/>
    <n v="0"/>
    <n v="0"/>
    <x v="0"/>
    <n v="0"/>
  </r>
  <r>
    <m/>
    <x v="0"/>
    <s v="61028a25-57be-42ba-84e7-a040920f5d02"/>
    <s v="failed"/>
    <x v="1"/>
    <s v="2022-09-12T16:41:42.526000+00:00"/>
    <n v="103"/>
    <n v="0"/>
    <n v="0"/>
    <x v="1"/>
    <x v="0"/>
    <s v="43"/>
    <m/>
    <x v="0"/>
    <x v="0"/>
    <n v="0"/>
    <n v="0"/>
    <x v="0"/>
    <n v="0"/>
    <n v="0"/>
    <x v="0"/>
    <n v="0"/>
  </r>
  <r>
    <s v="1bddb9ed-ed43-4150-818e-51c01a4a25ea"/>
    <x v="0"/>
    <s v="df8e3026-232f-4058-9499-d085ff0c1eb9"/>
    <s v="failed"/>
    <x v="0"/>
    <s v="2022-09-12T16:55:21.827000+00:00"/>
    <n v="104"/>
    <n v="1"/>
    <n v="9.6153846153846159E-3"/>
    <x v="0"/>
    <x v="0"/>
    <s v="43"/>
    <s v="URL"/>
    <x v="0"/>
    <x v="0"/>
    <n v="0"/>
    <n v="0"/>
    <x v="0"/>
    <n v="0"/>
    <n v="0"/>
    <x v="0"/>
    <n v="0"/>
  </r>
  <r>
    <s v="50c0bb17-d657-46e0-9de3-c72d1361e953"/>
    <x v="0"/>
    <s v="df8e3026-232f-4058-9499-d085ff0c1eb9"/>
    <s v="failed"/>
    <x v="1"/>
    <s v="2022-09-12T16:57:15.613000+00:00"/>
    <n v="104"/>
    <n v="2"/>
    <n v="1.9230769230769232E-2"/>
    <x v="0"/>
    <x v="0"/>
    <s v="43"/>
    <s v="URL"/>
    <x v="0"/>
    <x v="0"/>
    <n v="0"/>
    <n v="0"/>
    <x v="0"/>
    <n v="0"/>
    <n v="0"/>
    <x v="0"/>
    <n v="0"/>
  </r>
  <r>
    <s v="f7d7ca8f-9aca-49f0-8f7c-0066d071eef5"/>
    <x v="0"/>
    <s v="ef5717ba-d8da-4c10-a26c-503da8be3ac7"/>
    <s v="failed"/>
    <x v="1"/>
    <s v="2022-09-12T16:59:51.929000+00:00"/>
    <n v="2"/>
    <n v="0"/>
    <n v="0"/>
    <x v="2"/>
    <x v="0"/>
    <s v="43"/>
    <s v="URL"/>
    <x v="0"/>
    <x v="0"/>
    <n v="0"/>
    <n v="0"/>
    <x v="0"/>
    <n v="0"/>
    <n v="0"/>
    <x v="0"/>
    <n v="0"/>
  </r>
  <r>
    <s v="f7d7ca8f-9aca-49f0-8f7c-0066d071eef5"/>
    <x v="0"/>
    <s v="df8e3026-232f-4058-9499-d085ff0c1eb9"/>
    <s v="failed"/>
    <x v="0"/>
    <s v="2022-09-12T16:59:51.929000+00:00"/>
    <n v="104"/>
    <n v="0"/>
    <n v="0"/>
    <x v="0"/>
    <x v="0"/>
    <s v="43"/>
    <s v="URL"/>
    <x v="0"/>
    <x v="0"/>
    <n v="0"/>
    <n v="0"/>
    <x v="0"/>
    <n v="0"/>
    <n v="0"/>
    <x v="0"/>
    <n v="0"/>
  </r>
  <r>
    <s v="0f87d519-ff80-4ecc-b93d-2c589fb53e41"/>
    <x v="1"/>
    <s v="0a31e86b-31d8-421f-a838-88df8f272ee5"/>
    <s v="failed"/>
    <x v="2"/>
    <s v="2022-09-12T20:51:28.772000+00:00"/>
    <n v="101"/>
    <n v="6"/>
    <n v="5.9405940594059403E-2"/>
    <x v="3"/>
    <x v="1"/>
    <s v="47"/>
    <s v="URL"/>
    <x v="1"/>
    <x v="1"/>
    <s v="robot rijdt op gangpad, maar lijkt niet ver genoeg te rijden en een stukje terug te bollen"/>
    <s v="20220916_robotsdrivetoofastontoconcretepath.docx"/>
    <x v="0"/>
    <s v="EOL heel clean, maar er zit kleine fout op de meting die ervoor zorgt dat robot niet ver genoeg rijdt. oplossingen: EOL offset toevoegen (environment yaml; check Christianen en Deltaview: parallel bij bredere robots?). (LT: Beter: while-inductive-is-true) voorstle: +0.20cm toevoegen. Risico bij andere rijen+hebben we dit bij andere robot ook al gedaan? Risico: inductieve snesor voreger verwachten bij rijen waarbij correct is (minimaal); anomaly-detectie moet met grotere afwijking overweg kunnen (nu &lt;0.5m).. _x000a_Andere maatregelen (lane-lengte aanpassen, wielradius) hebben geen zin, aangezien het moment dat metingen in rekening worden genomen dit als 'algehele' waarheid wordt genomen.    _x000a_Christianen check: heeft geen eol-offset, dus dat is niet het probleem._x000a_Delta-view check: TODO_x000a_Andere oorzaken: steekt goot hier minder ver uit over gangpad ivm andere 2 serres (Christianen, delta-view)? + wat is effect van plantengroei (in deze log: zeer beperkte plantengroei)?"/>
    <s v="TODO: zet EOL open offset (in environment.yaml) op +0.15cm voor compensatie"/>
    <x v="0"/>
    <n v="0"/>
  </r>
  <r>
    <m/>
    <x v="2"/>
    <s v="5b2d0deb-6325-4e12-8e08-5e6be39bf95b"/>
    <s v="completed"/>
    <x v="3"/>
    <s v="2022-09-12T22:20:55.820000+00:00"/>
    <n v="81"/>
    <n v="81"/>
    <n v="1"/>
    <x v="4"/>
    <x v="2"/>
    <s v="43"/>
    <m/>
    <x v="2"/>
    <x v="2"/>
    <n v="0"/>
    <n v="0"/>
    <x v="0"/>
    <n v="0"/>
    <n v="0"/>
    <x v="0"/>
    <n v="0"/>
  </r>
  <r>
    <m/>
    <x v="0"/>
    <s v="9cf48e7e-3027-4e3e-b47a-f79aba77bfd5"/>
    <s v="completed"/>
    <x v="3"/>
    <s v="2022-09-13T08:56:55.705000+00:00"/>
    <n v="3"/>
    <n v="3"/>
    <n v="1"/>
    <x v="4"/>
    <x v="0"/>
    <s v="43"/>
    <m/>
    <x v="2"/>
    <x v="2"/>
    <n v="0"/>
    <n v="0"/>
    <x v="0"/>
    <n v="0"/>
    <n v="0"/>
    <x v="1"/>
    <n v="0"/>
  </r>
  <r>
    <s v="6e5f819e-9ed4-4252-af91-b78eafaf2df8"/>
    <x v="0"/>
    <s v="704e29ea-a148-41d3-a781-e5dbc44b2537"/>
    <s v="failed"/>
    <x v="4"/>
    <s v="2022-09-13T10:27:46.804000+00:00"/>
    <n v="146"/>
    <n v="13"/>
    <n v="8.9041095890410954E-2"/>
    <x v="5"/>
    <x v="0"/>
    <s v="44"/>
    <s v="URL"/>
    <x v="3"/>
    <x v="3"/>
    <s v="robot slipt lange tijd tegen de kop van de rails, zet zich uiteindelijk toch af, maar gaat in error in midden van de lane (geen EOL wall zichtbaar)"/>
    <n v="0"/>
    <x v="0"/>
    <s v="achterwielen staan al op de rails, voorwielen slippen tegen rails. Zou kunnen door reduced velocity approach?"/>
    <n v="0"/>
    <x v="1"/>
    <n v="0"/>
  </r>
  <r>
    <s v="23dd2cd4-d919-4b65-b35f-a8f18babb882"/>
    <x v="0"/>
    <s v="ffb83cdc-fdea-4692-b15e-87ec97b5ab95"/>
    <s v="failed"/>
    <x v="0"/>
    <s v="2022-09-13T11:10:56.025000+00:00"/>
    <n v="134"/>
    <n v="3"/>
    <n v="2.2388059701492536E-2"/>
    <x v="6"/>
    <x v="0"/>
    <s v="44"/>
    <s v="URL"/>
    <x v="0"/>
    <x v="0"/>
    <s v="robot doet laneswitch, lijkt aan retry te starten maar stopt tijdens de voorwaartse beweging"/>
    <n v="0"/>
    <x v="0"/>
    <n v="0"/>
    <n v="0"/>
    <x v="1"/>
    <n v="0"/>
  </r>
  <r>
    <s v="f221d0b4-a901-487d-8379-227b1fce9261"/>
    <x v="0"/>
    <s v="ffb83cdc-fdea-4692-b15e-87ec97b5ab95"/>
    <s v="failed"/>
    <x v="0"/>
    <s v="2022-09-13T11:13:31.526000+00:00"/>
    <n v="134"/>
    <n v="4"/>
    <n v="2.9850746268656716E-2"/>
    <x v="7"/>
    <x v="0"/>
    <s v="44"/>
    <s v="URL"/>
    <x v="0"/>
    <x v="0"/>
    <s v="robot staat lang stil voor een rij, maar vertrekt niet"/>
    <n v="0"/>
    <x v="0"/>
    <n v="0"/>
    <n v="0"/>
    <x v="1"/>
    <n v="0"/>
  </r>
  <r>
    <s v="28009ca8-fb00-438b-88e6-d3751e924339"/>
    <x v="0"/>
    <s v="ffb83cdc-fdea-4692-b15e-87ec97b5ab95"/>
    <s v="failed"/>
    <x v="5"/>
    <s v="2022-09-13T11:14:15.200000+00:00"/>
    <n v="134"/>
    <n v="5"/>
    <n v="3.7313432835820892E-2"/>
    <x v="7"/>
    <x v="0"/>
    <s v="44"/>
    <s v="URL"/>
    <x v="0"/>
    <x v="0"/>
    <s v="robot staat lang stil voor een rij, maar vertrekt niet"/>
    <n v="0"/>
    <x v="0"/>
    <n v="0"/>
    <n v="0"/>
    <x v="1"/>
    <n v="0"/>
  </r>
  <r>
    <s v="d4affc54-16e5-4e31-aa95-ba7ac86c6987"/>
    <x v="0"/>
    <s v="465a2f50-e5d1-47e7-af8b-3f122c329c5f"/>
    <s v="failed"/>
    <x v="5"/>
    <s v="2022-09-13T11:17:35.103000+00:00"/>
    <n v="130"/>
    <n v="0"/>
    <n v="0"/>
    <x v="6"/>
    <x v="0"/>
    <s v="44"/>
    <s v="URL"/>
    <x v="0"/>
    <x v="0"/>
    <s v=""/>
    <s v=""/>
    <x v="0"/>
    <s v=""/>
    <s v=""/>
    <x v="1"/>
    <s v=""/>
  </r>
  <r>
    <s v="3295ff2c-dd94-4b52-a9d9-5cd2af5b0e81"/>
    <x v="0"/>
    <s v="65d68098-531e-451d-8576-27e1e408a562"/>
    <s v="failed"/>
    <x v="6"/>
    <s v="2022-09-13T12:43:43.446000+00:00"/>
    <n v="45"/>
    <n v="17"/>
    <n v="0.37777777777777777"/>
    <x v="8"/>
    <x v="0"/>
    <s v="44"/>
    <s v="URL"/>
    <x v="4"/>
    <x v="4"/>
    <s v="robot stopt +/-5m voordat hij op gangpad komt. robot rijdt in laatste rij van sectie (iets smaller door goten) en ter hoogte van gangpad staat er grote controlebox (goed zichtbaar op moment van error)"/>
    <s v="20220913_robot_stops_early_because_electricity_box.docx"/>
    <x v="0"/>
    <n v="0"/>
    <n v="0"/>
    <x v="1"/>
    <n v="0"/>
  </r>
  <r>
    <s v="e3f9e34c-a183-4846-8266-53b0e4584fa1"/>
    <x v="2"/>
    <s v="f7c4f6f2-d6d1-4838-ab64-1ab3361379e1"/>
    <s v="failed"/>
    <x v="7"/>
    <s v="2022-09-14T04:32:39.708000+00:00"/>
    <n v="133"/>
    <n v="100"/>
    <n v="0.75187969924812026"/>
    <x v="9"/>
    <x v="2"/>
    <s v="44"/>
    <s v="URL"/>
    <x v="5"/>
    <x v="5"/>
    <s v="&lt;="/>
    <s v="/"/>
    <x v="0"/>
    <s v="/"/>
    <n v="0"/>
    <x v="2"/>
    <n v="0"/>
  </r>
  <r>
    <m/>
    <x v="0"/>
    <s v="20033b04-0b34-4d9a-9dff-2500a4227ed5"/>
    <s v="completed"/>
    <x v="3"/>
    <s v="2022-09-14T05:20:15.341000+00:00"/>
    <n v="112"/>
    <n v="112"/>
    <n v="1"/>
    <x v="4"/>
    <x v="0"/>
    <s v="44"/>
    <m/>
    <x v="2"/>
    <x v="2"/>
    <n v="0"/>
    <n v="0"/>
    <x v="0"/>
    <n v="0"/>
    <n v="0"/>
    <x v="2"/>
    <n v="0"/>
  </r>
  <r>
    <m/>
    <x v="2"/>
    <s v="e2bb2404-0f54-494e-a436-6d7f2a943327"/>
    <s v="completed"/>
    <x v="3"/>
    <s v="2022-09-14T11:24:25.483000+00:00"/>
    <n v="34"/>
    <n v="34"/>
    <n v="1"/>
    <x v="4"/>
    <x v="2"/>
    <s v="44"/>
    <m/>
    <x v="2"/>
    <x v="2"/>
    <n v="0"/>
    <n v="0"/>
    <x v="0"/>
    <n v="0"/>
    <n v="0"/>
    <x v="2"/>
    <n v="0"/>
  </r>
  <r>
    <s v="67a075d2-cbfe-4967-a145-17e5146dc66b"/>
    <x v="0"/>
    <s v="46446112-ae2b-47f3-af7f-e2bc1e7c6de1"/>
    <s v="failed"/>
    <x v="0"/>
    <s v="2022-09-14T12:11:45.919000+00:00"/>
    <n v="216"/>
    <n v="1"/>
    <n v="4.6296296296296294E-3"/>
    <x v="10"/>
    <x v="0"/>
    <s v="43"/>
    <s v="URL"/>
    <x v="5"/>
    <x v="5"/>
    <n v="0"/>
    <n v="0"/>
    <x v="0"/>
    <n v="0"/>
    <n v="0"/>
    <x v="2"/>
    <n v="0"/>
  </r>
  <r>
    <s v="85da5a0c-7ab2-427f-8dfa-eee3a620847b"/>
    <x v="0"/>
    <s v="46446112-ae2b-47f3-af7f-e2bc1e7c6de1"/>
    <s v="failed"/>
    <x v="0"/>
    <s v="2022-09-14T12:30:26.670000+00:00"/>
    <n v="216"/>
    <n v="5"/>
    <n v="2.3148148148148147E-2"/>
    <x v="11"/>
    <x v="0"/>
    <s v="43"/>
    <s v="URL"/>
    <x v="6"/>
    <x v="6"/>
    <n v="0"/>
    <n v="0"/>
    <x v="0"/>
    <n v="0"/>
    <n v="0"/>
    <x v="2"/>
    <n v="0"/>
  </r>
  <r>
    <s v="8de62c9e-30a0-466f-a574-d5ffaf9f6cdf"/>
    <x v="0"/>
    <s v="46446112-ae2b-47f3-af7f-e2bc1e7c6de1"/>
    <s v="failed"/>
    <x v="8"/>
    <s v="2022-09-14T14:21:40.743000+00:00"/>
    <n v="216"/>
    <n v="31"/>
    <n v="0.14351851851851852"/>
    <x v="12"/>
    <x v="0"/>
    <s v="43"/>
    <s v="URL"/>
    <x v="7"/>
    <x v="7"/>
    <s v="Camera-kalibratie niet aangepast na verandering van wielen. Klein mysterie dat robot nog heeft kunnen rijden afgelopen maand"/>
    <n v="0"/>
    <x v="0"/>
    <n v="0"/>
    <n v="0"/>
    <x v="2"/>
    <n v="0"/>
  </r>
  <r>
    <s v="2837d406-0c8e-49f6-a10d-0fa5eecf5eb6"/>
    <x v="3"/>
    <s v="28050269-7630-4a2b-9c2b-cd73e8059272"/>
    <s v="failed"/>
    <x v="2"/>
    <s v="2022-09-14T20:02:12.035000+00:00"/>
    <n v="95"/>
    <n v="1"/>
    <n v="1.0526315789473684E-2"/>
    <x v="13"/>
    <x v="1"/>
    <s v="47"/>
    <s v="URL"/>
    <x v="6"/>
    <x v="6"/>
    <n v="0"/>
    <n v="0"/>
    <x v="0"/>
    <n v="0"/>
    <n v="0"/>
    <x v="2"/>
    <m/>
  </r>
  <r>
    <s v="3ada1a4c-82c6-49ab-8d15-d4b4231830ef"/>
    <x v="0"/>
    <s v="b110e859-a833-48d5-8013-c9310aee00d7"/>
    <s v="stopped"/>
    <x v="0"/>
    <s v="2022-09-14T21:14:11.969000+00:00"/>
    <n v="192"/>
    <n v="0"/>
    <n v="0"/>
    <x v="14"/>
    <x v="0"/>
    <s v="43"/>
    <s v="URL"/>
    <x v="1"/>
    <x v="1"/>
    <s v="&lt;="/>
    <n v="0"/>
    <x v="0"/>
    <n v="0"/>
    <n v="0"/>
    <x v="2"/>
    <n v="0"/>
  </r>
  <r>
    <s v="8a86a657-b8f8-413c-9c6d-ebf77eb98a83"/>
    <x v="0"/>
    <s v="6d923a95-bdea-47f9-83d2-f0ebef2d515e"/>
    <s v="failed"/>
    <x v="0"/>
    <s v="2022-09-14T21:59:17.619000+00:00"/>
    <n v="192"/>
    <n v="6"/>
    <n v="3.125E-2"/>
    <x v="12"/>
    <x v="0"/>
    <s v="43"/>
    <s v="URL"/>
    <x v="7"/>
    <x v="7"/>
    <n v="0"/>
    <s v="herkalibratie door kasper"/>
    <x v="0"/>
    <n v="0"/>
    <n v="0"/>
    <x v="2"/>
    <n v="0"/>
  </r>
  <r>
    <s v="7846f0ee-0476-45db-8e5c-b0660b1a12e8"/>
    <x v="0"/>
    <s v="6d923a95-bdea-47f9-83d2-f0ebef2d515e"/>
    <s v="failed"/>
    <x v="8"/>
    <s v="2022-09-14T22:27:22.332000+00:00"/>
    <n v="192"/>
    <n v="12"/>
    <n v="6.25E-2"/>
    <x v="15"/>
    <x v="0"/>
    <s v="43"/>
    <s v="URL"/>
    <x v="7"/>
    <x v="7"/>
    <n v="0"/>
    <s v="herkalibratie door kasper"/>
    <x v="0"/>
    <n v="0"/>
    <n v="0"/>
    <x v="2"/>
    <n v="0"/>
  </r>
  <r>
    <m/>
    <x v="2"/>
    <s v="3f60af75-376f-4116-b094-a7dd6ad75be7"/>
    <s v="completed"/>
    <x v="3"/>
    <s v="2022-09-15T01:25:24.300000+00:00"/>
    <n v="59"/>
    <n v="59"/>
    <n v="1"/>
    <x v="4"/>
    <x v="2"/>
    <s v="43"/>
    <m/>
    <x v="2"/>
    <x v="2"/>
    <n v="0"/>
    <n v="0"/>
    <x v="0"/>
    <n v="0"/>
    <n v="0"/>
    <x v="3"/>
    <n v="0"/>
  </r>
  <r>
    <m/>
    <x v="3"/>
    <s v="59837af5-c2cc-4f80-a14f-055e39770e1f"/>
    <s v="completed"/>
    <x v="3"/>
    <s v="2022-09-15T09:56:28.639000+00:00"/>
    <n v="5"/>
    <n v="5"/>
    <n v="1"/>
    <x v="4"/>
    <x v="1"/>
    <s v="47"/>
    <m/>
    <x v="2"/>
    <x v="2"/>
    <n v="0"/>
    <n v="0"/>
    <x v="0"/>
    <n v="0"/>
    <n v="0"/>
    <x v="3"/>
    <n v="0"/>
  </r>
  <r>
    <s v="3320714b-9a36-47d6-b834-368f8f1a4c03"/>
    <x v="0"/>
    <s v="fae98067-cde6-44df-a4b4-306cd7873ae7"/>
    <s v="failed"/>
    <x v="9"/>
    <s v="2022-09-15T10:37:15.833000+00:00"/>
    <n v="85"/>
    <n v="0"/>
    <n v="0"/>
    <x v="16"/>
    <x v="0"/>
    <s v="43"/>
    <s v="URL"/>
    <x v="6"/>
    <x v="6"/>
    <s v="&lt;="/>
    <s v="?"/>
    <x v="0"/>
    <n v="0"/>
    <n v="0"/>
    <x v="3"/>
    <n v="0"/>
  </r>
  <r>
    <s v="d42ca90e-a8eb-4205-8c65-7a2e7df9f5b0"/>
    <x v="0"/>
    <s v="18be8578-fbf6-450f-9205-6cf00e205c6d"/>
    <m/>
    <x v="10"/>
    <s v="2022-09-15T11:00:00.912000+00:00"/>
    <n v="174"/>
    <n v="0"/>
    <n v="0"/>
    <x v="17"/>
    <x v="0"/>
    <s v="43"/>
    <s v="URL"/>
    <x v="8"/>
    <x v="8"/>
    <s v="&lt;="/>
    <s v="?"/>
    <x v="0"/>
    <n v="0"/>
    <n v="0"/>
    <x v="3"/>
    <n v="0"/>
  </r>
  <r>
    <s v="9ef56a0d-16cd-48ab-849a-970240a0238f"/>
    <x v="2"/>
    <s v="69659bf1-1a8e-4685-b5dc-34cc28f67a99"/>
    <s v="failed"/>
    <x v="11"/>
    <s v="2022-09-15T11:31:47.819000+00:00"/>
    <n v="193"/>
    <n v="22"/>
    <n v="0.11398963730569948"/>
    <x v="18"/>
    <x v="0"/>
    <s v="43"/>
    <s v="URL"/>
    <x v="9"/>
    <x v="9"/>
    <s v="&lt;="/>
    <s v="/"/>
    <x v="0"/>
    <s v="/"/>
    <n v="0"/>
    <x v="3"/>
    <n v="0"/>
  </r>
  <r>
    <s v="89d23ecb-f215-4fd2-a3f9-724d69ad19fe"/>
    <x v="0"/>
    <s v="82cf82c2-57a0-43db-913c-3b4073906f1e"/>
    <s v="failed"/>
    <x v="0"/>
    <s v="2022-09-15T12:51:54.592000+00:00"/>
    <n v="152"/>
    <n v="26"/>
    <n v="0.17105263157894737"/>
    <x v="19"/>
    <x v="0"/>
    <s v="43"/>
    <s v="URL"/>
    <x v="4"/>
    <x v="4"/>
    <n v="0"/>
    <s v="herkalibratie kasper"/>
    <x v="0"/>
    <n v="0"/>
    <n v="0"/>
    <x v="3"/>
    <n v="0"/>
  </r>
  <r>
    <s v="2b229780-a523-4034-a074-fe0f59797fae"/>
    <x v="0"/>
    <s v="82cf82c2-57a0-43db-913c-3b4073906f1e"/>
    <s v="failed"/>
    <x v="12"/>
    <s v="2022-09-15T12:52:48.036000+00:00"/>
    <n v="152"/>
    <n v="27"/>
    <n v="0.17763157894736842"/>
    <x v="20"/>
    <x v="0"/>
    <s v="43"/>
    <s v="URL"/>
    <x v="1"/>
    <x v="1"/>
    <n v="0"/>
    <s v="herkalibratie kasper"/>
    <x v="0"/>
    <n v="0"/>
    <n v="0"/>
    <x v="3"/>
    <n v="0"/>
  </r>
  <r>
    <s v="f90bb712-cd56-48e9-82c1-2d94af4da606"/>
    <x v="0"/>
    <s v="d2d176e9-972f-459a-af0b-8d548135a0be"/>
    <s v="failed"/>
    <x v="0"/>
    <s v="2022-09-15T15:10:30.642000+00:00"/>
    <n v="125"/>
    <n v="19"/>
    <n v="0.152"/>
    <x v="21"/>
    <x v="0"/>
    <s v="43"/>
    <s v="URL"/>
    <x v="4"/>
    <x v="4"/>
    <s v="Robot gaat vlak voor uitrijden lane in error, lane met controlebox"/>
    <n v="0"/>
    <x v="0"/>
    <n v="0"/>
    <n v="0"/>
    <x v="3"/>
    <n v="0"/>
  </r>
  <r>
    <s v="e3205a13-9c50-49b7-91cf-ef0c7271bc6e"/>
    <x v="2"/>
    <s v="012a2a77-16f5-4a0d-a0b5-e526e2a58ec4"/>
    <m/>
    <x v="0"/>
    <s v="2022-09-15T16:34:16.876000+00:00"/>
    <n v="140"/>
    <n v="1"/>
    <n v="7.1428571428571426E-3"/>
    <x v="22"/>
    <x v="2"/>
    <s v="43"/>
    <s v="URL"/>
    <x v="8"/>
    <x v="8"/>
    <s v="robot komt 'bruusk' uit lane, doet laneswithc, ah einde lijkt hij tegen de rails van volgende lane aan te botsen"/>
    <s v="20220922_xtheta_errors.docx"/>
    <x v="0"/>
    <n v="0"/>
    <n v="0"/>
    <x v="3"/>
    <n v="0"/>
  </r>
  <r>
    <s v="a371565a-88b0-41d8-9fb5-0227a7175c07"/>
    <x v="0"/>
    <s v="63b34c7b-3fde-4bb9-8ad9-5b91e7b1d2e5"/>
    <s v="failed"/>
    <x v="3"/>
    <s v="2022-09-15T23:44:24.574000+00:00"/>
    <n v="104"/>
    <n v="103"/>
    <n v="0.99"/>
    <x v="4"/>
    <x v="0"/>
    <s v="43"/>
    <s v="#[VRS_RobotData.xlsx]Errors!$N$128"/>
    <x v="4"/>
    <x v="4"/>
    <s v="Robot gaat vlak voor uitrijden lane in error, lane met controlebox"/>
    <n v="0"/>
    <x v="0"/>
    <n v="0"/>
    <n v="0"/>
    <x v="3"/>
    <n v="0"/>
  </r>
  <r>
    <s v="87f4aecc-1ff8-417c-befe-0cd40fd6d51d"/>
    <x v="2"/>
    <s v="aebe1f7a-2643-4f5a-9eee-55a00bfe18f9"/>
    <s v="failed"/>
    <x v="4"/>
    <s v="2022-09-16T02:03:15.146000+00:00"/>
    <n v="137"/>
    <n v="129"/>
    <n v="0.94160583941605835"/>
    <x v="23"/>
    <x v="2"/>
    <s v="43"/>
    <s v="URL"/>
    <x v="3"/>
    <x v="3"/>
    <s v="robot rijdt in de lane, komt aan het einde (wall) en gaat dan in error"/>
    <s v="20220922_xtheta_errors.docx"/>
    <x v="0"/>
    <s v="net voor einde zit er onder de rails een muurtje, ligt 1.5m voor effectieve beton. Destijds beslist om daar niet naar te kijken (zmin=0). MAAR: door nieuwe wielen =&gt; verschillende wielgroottes =&gt; kijkt de robot nu naar beneden. Robot ziet muurtje voordat de echte muur zichtbaar is. zmin op 0.1 =&gt; komt muurtje niet meer in beeld. MAAR we zien minder van de echte muur! Pitch verschil: 1.5deg =&gt; toch toevoegen als parameter in visie (twee tov !?"/>
    <s v="SW aanpassen zodat pitch in rekening wordt gebracht. Voorlopig afwachten of vaker voorvalt"/>
    <x v="4"/>
    <n v="0"/>
  </r>
  <r>
    <m/>
    <x v="3"/>
    <s v="855b3a58-ff09-40a1-9d64-50211ca6fd1a"/>
    <s v="completed"/>
    <x v="3"/>
    <s v="2022-09-16T11:10:04.784000+00:00"/>
    <n v="4"/>
    <n v="4"/>
    <n v="1"/>
    <x v="4"/>
    <x v="1"/>
    <s v="47"/>
    <m/>
    <x v="2"/>
    <x v="2"/>
    <n v="0"/>
    <n v="0"/>
    <x v="0"/>
    <n v="0"/>
    <n v="0"/>
    <x v="4"/>
    <n v="0"/>
  </r>
  <r>
    <s v="806a3753-f6bf-4d63-97cb-e7a491edb19c"/>
    <x v="2"/>
    <s v="d84652de-33ac-4fb3-bd44-afc186992275"/>
    <s v="failed"/>
    <x v="1"/>
    <s v="2022-09-16T13:24:41.962000+00:00"/>
    <n v="405"/>
    <n v="0"/>
    <n v="0"/>
    <x v="24"/>
    <x v="2"/>
    <s v="43"/>
    <s v="URL"/>
    <x v="10"/>
    <x v="10"/>
    <s v=""/>
    <s v=""/>
    <x v="0"/>
    <s v=""/>
    <s v=""/>
    <x v="4"/>
    <s v=""/>
  </r>
  <r>
    <s v="856a4da4-8114-44bb-8ccf-04268602455e"/>
    <x v="2"/>
    <s v="bc026fac-f8d5-4718-a7c3-f6a75f3c8b1d"/>
    <s v="failed"/>
    <x v="1"/>
    <s v="2022-09-16T13:46:17.935000+00:00"/>
    <n v="136"/>
    <n v="0"/>
    <n v="0"/>
    <x v="24"/>
    <x v="2"/>
    <s v="43"/>
    <s v="URL"/>
    <x v="10"/>
    <x v="10"/>
    <s v=""/>
    <s v=""/>
    <x v="0"/>
    <s v=""/>
    <s v=""/>
    <x v="4"/>
    <s v=""/>
  </r>
  <r>
    <s v="bdebb232-1f0b-4e5c-ab48-ae74f386b669"/>
    <x v="2"/>
    <s v="fd382148-9636-49c1-a1cf-d4ef0603c5a7"/>
    <s v="failed"/>
    <x v="1"/>
    <s v="2022-09-16T13:50:27.933000+00:00"/>
    <n v="139"/>
    <n v="0"/>
    <n v="0"/>
    <x v="24"/>
    <x v="2"/>
    <s v="43"/>
    <s v="URL"/>
    <x v="10"/>
    <x v="10"/>
    <s v=""/>
    <s v=""/>
    <x v="0"/>
    <s v=""/>
    <s v=""/>
    <x v="4"/>
    <s v=""/>
  </r>
  <r>
    <s v="59d3014d-e395-4c33-8a47-7ea73c1c967a"/>
    <x v="2"/>
    <s v="4584fe16-99a8-401e-a815-05c7aa159471"/>
    <s v="failed"/>
    <x v="1"/>
    <s v="2022-09-16T14:02:15.894000+00:00"/>
    <n v="271"/>
    <n v="0"/>
    <n v="0"/>
    <x v="24"/>
    <x v="2"/>
    <s v="43"/>
    <s v="URL"/>
    <x v="10"/>
    <x v="10"/>
    <s v=""/>
    <s v=""/>
    <x v="0"/>
    <s v=""/>
    <s v=""/>
    <x v="4"/>
    <s v=""/>
  </r>
  <r>
    <s v="4d2b19d8-0549-42b7-96c1-deb7a8607538"/>
    <x v="2"/>
    <s v="85fa7530-dcad-4eb1-82c5-64db87252e27"/>
    <s v="failed"/>
    <x v="1"/>
    <s v="2022-09-16T14:56:48.719000+00:00"/>
    <n v="275"/>
    <n v="0"/>
    <n v="0"/>
    <x v="24"/>
    <x v="2"/>
    <s v="43"/>
    <s v="URL"/>
    <x v="10"/>
    <x v="10"/>
    <s v=""/>
    <s v=""/>
    <x v="0"/>
    <s v=""/>
    <s v=""/>
    <x v="4"/>
    <s v=""/>
  </r>
  <r>
    <s v="2acb9cd4-c56a-4d1d-b585-faa4ae52d245"/>
    <x v="0"/>
    <s v="d2f73459-9cd4-46fb-990c-ba47f5681b93"/>
    <s v="failed"/>
    <x v="6"/>
    <s v="2022-09-16T20:22:19.435000+00:00"/>
    <n v="213"/>
    <n v="103"/>
    <n v="0.48356807511737088"/>
    <x v="21"/>
    <x v="0"/>
    <s v="43"/>
    <s v="URL"/>
    <x v="4"/>
    <x v="4"/>
    <s v="Robot rijdt richting gangpad, 4m voor het einde gaat hij in error. Lane met controlebox!"/>
    <s v=""/>
    <x v="0"/>
    <s v=""/>
    <s v=""/>
    <x v="4"/>
    <s v=""/>
  </r>
  <r>
    <m/>
    <x v="2"/>
    <s v="0be8683d-bf5a-439e-997a-5d9dfa3c2291"/>
    <s v="completed"/>
    <x v="3"/>
    <s v="2022-09-17T04:51:05.352000+00:00"/>
    <n v="3"/>
    <n v="3"/>
    <n v="1"/>
    <x v="4"/>
    <x v="2"/>
    <s v="43"/>
    <m/>
    <x v="2"/>
    <x v="2"/>
    <s v="/"/>
    <s v="/"/>
    <x v="0"/>
    <s v="/"/>
    <s v="/"/>
    <x v="5"/>
    <n v="0"/>
  </r>
  <r>
    <s v="b9bdf44d-93b7-4cf4-9a39-db2581dc0919"/>
    <x v="2"/>
    <s v="97edb9b1-fe70-4c57-9192-727dca8d3170"/>
    <s v="stopped"/>
    <x v="0"/>
    <s v="2022-09-18T17:10:52.662000+00:00"/>
    <n v="142"/>
    <n v="7"/>
    <n v="4.9295774647887321E-2"/>
    <x v="25"/>
    <x v="2"/>
    <s v="43"/>
    <s v="URL"/>
    <x v="7"/>
    <x v="7"/>
    <s v=""/>
    <s v=""/>
    <x v="0"/>
    <s v=""/>
    <s v=""/>
    <x v="6"/>
    <s v=""/>
  </r>
  <r>
    <s v="920bd4f8-c65c-48d8-aa35-8569e231a89e"/>
    <x v="0"/>
    <s v="b8272764-e0b2-48cd-ba67-c3ed9afe3305"/>
    <s v="failed"/>
    <x v="0"/>
    <s v="2022-09-18T22:03:30.014000+00:00"/>
    <n v="215"/>
    <n v="88"/>
    <n v="0.40930232558139534"/>
    <x v="19"/>
    <x v="0"/>
    <s v="43"/>
    <s v="URL"/>
    <x v="4"/>
    <x v="4"/>
    <s v=""/>
    <s v=""/>
    <x v="0"/>
    <s v=""/>
    <s v=""/>
    <x v="6"/>
    <s v=""/>
  </r>
  <r>
    <s v="3a0777c8-4860-4156-b8d7-fa3574303fc7"/>
    <x v="0"/>
    <s v="b8272764-e0b2-48cd-ba67-c3ed9afe3305"/>
    <s v="failed"/>
    <x v="6"/>
    <s v="2022-09-19T06:31:05.383000+00:00"/>
    <n v="215"/>
    <n v="111"/>
    <n v="0.51627906976744187"/>
    <x v="21"/>
    <x v="0"/>
    <s v="43"/>
    <s v="URL"/>
    <x v="4"/>
    <x v="4"/>
    <s v=""/>
    <s v=""/>
    <x v="0"/>
    <s v=""/>
    <s v=""/>
    <x v="7"/>
    <s v=""/>
  </r>
  <r>
    <s v="8544a7db-335e-4c02-8c62-755846dd6d82"/>
    <x v="2"/>
    <s v="9939c1b3-abe4-4786-a475-2ac9b955bbe3"/>
    <s v="stopped"/>
    <x v="0"/>
    <s v="2022-09-19T07:17:50.173000+00:00"/>
    <n v="82"/>
    <n v="2"/>
    <n v="2.4390243902439025E-2"/>
    <x v="26"/>
    <x v="2"/>
    <s v="43"/>
    <s v="URL"/>
    <x v="7"/>
    <x v="7"/>
    <s v="robot komt 'bruusk' uit lane, doet laneswithc, ah einde lijkt hij tegen de rails van volgende lane aan te botsen"/>
    <s v="20220922_xtheta_errors.docx"/>
    <x v="0"/>
    <s v="EOL open meting heel clean, maar toch 1.1m sprong inductieve. EOL open offset: +0.35 =&gt; niet duidelijk waarom.. VIsie xtheta: rail swaren zichtbaar, mara werden weggegooid door te strikte, redundante checks. =&gt; mogen dus aangepast worden! _x000a_Iets doen aan het op beton knallen? 2 opties: EOL open offset wegdoen? of Reduced velocity approach verlengen?_x000a_=&gt; voorlopig niet, helpt momenteel de treatments niet echt om zeep"/>
    <s v="Redundante visie-checks elimineren op alle 4 de robots: _x000a_Change max_rails_angle_diff to 5deg _x000a_Change max_rail_width to 100 (basically infinity) "/>
    <x v="7"/>
    <n v="0"/>
  </r>
  <r>
    <s v="bbd22aae-81dc-459c-95fe-7a4dd9e45bc5"/>
    <x v="0"/>
    <s v="789b6bb0-80ef-4489-807f-b6fbcac9c2d8"/>
    <s v="failed"/>
    <x v="6"/>
    <s v="2022-09-19T11:19:15.626000+00:00"/>
    <n v="133"/>
    <n v="65"/>
    <n v="0.48872180451127817"/>
    <x v="27"/>
    <x v="2"/>
    <s v="43"/>
    <s v="URL"/>
    <x v="4"/>
    <x v="4"/>
    <s v=""/>
    <s v=""/>
    <x v="0"/>
    <s v=""/>
    <s v=""/>
    <x v="7"/>
    <s v=""/>
  </r>
  <r>
    <m/>
    <x v="2"/>
    <s v="860138b0-9cc6-4fee-ac13-e0a6aa13332f"/>
    <s v="completed"/>
    <x v="3"/>
    <s v="2022-09-20T10:49:35.745000+00:00"/>
    <n v="4"/>
    <n v="4"/>
    <n v="1"/>
    <x v="4"/>
    <x v="2"/>
    <s v="43"/>
    <m/>
    <x v="2"/>
    <x v="2"/>
    <s v="/"/>
    <s v="/"/>
    <x v="0"/>
    <s v="/"/>
    <s v="/"/>
    <x v="8"/>
    <n v="0"/>
  </r>
  <r>
    <m/>
    <x v="2"/>
    <s v="d62c543d-d351-480b-9689-892b5a93251b"/>
    <s v="completed"/>
    <x v="3"/>
    <s v="2022-09-20T20:39:02.736000+00:00"/>
    <n v="54"/>
    <n v="54"/>
    <n v="1"/>
    <x v="4"/>
    <x v="0"/>
    <s v="43"/>
    <m/>
    <x v="2"/>
    <x v="2"/>
    <s v="/"/>
    <s v="/"/>
    <x v="0"/>
    <s v="/"/>
    <s v="/"/>
    <x v="8"/>
    <n v="0"/>
  </r>
  <r>
    <m/>
    <x v="3"/>
    <s v="dd1ad8b8-b1c4-4063-be86-458de64885bc"/>
    <s v="completed"/>
    <x v="3"/>
    <s v="2022-09-21T14:03:41.682000+00:00"/>
    <n v="2"/>
    <n v="2"/>
    <n v="1"/>
    <x v="4"/>
    <x v="1"/>
    <s v="47"/>
    <m/>
    <x v="2"/>
    <x v="2"/>
    <n v="0"/>
    <n v="0"/>
    <x v="0"/>
    <n v="0"/>
    <n v="0"/>
    <x v="9"/>
    <n v="0"/>
  </r>
  <r>
    <m/>
    <x v="3"/>
    <s v="a9f20d8f-38d3-4147-9683-e9b717b279ca"/>
    <s v="completed"/>
    <x v="3"/>
    <s v="2022-09-21T14:19:14.732000+00:00"/>
    <n v="2"/>
    <n v="2"/>
    <n v="1"/>
    <x v="4"/>
    <x v="1"/>
    <s v="47"/>
    <m/>
    <x v="2"/>
    <x v="2"/>
    <n v="0"/>
    <n v="0"/>
    <x v="0"/>
    <n v="0"/>
    <n v="0"/>
    <x v="9"/>
    <n v="0"/>
  </r>
  <r>
    <m/>
    <x v="3"/>
    <s v="57606645-1c40-41eb-8e45-f913cdad23ce"/>
    <s v="stopped"/>
    <x v="3"/>
    <s v="2022-09-21T15:03:11.235000+00:00"/>
    <n v="101"/>
    <n v="101"/>
    <n v="1"/>
    <x v="4"/>
    <x v="1"/>
    <s v="48"/>
    <m/>
    <x v="2"/>
    <x v="2"/>
    <n v="0"/>
    <n v="0"/>
    <x v="0"/>
    <n v="0"/>
    <n v="0"/>
    <x v="9"/>
    <n v="0"/>
  </r>
  <r>
    <s v="81a0605d-1ebe-4ff2-85b1-b773e2fef663"/>
    <x v="0"/>
    <s v="d7c8c990-fcad-4907-add2-92839fe32ae5"/>
    <m/>
    <x v="0"/>
    <s v="2022-09-21T16:20:41.528000+00:00"/>
    <n v="140"/>
    <n v="5"/>
    <n v="3.5714285714285712E-2"/>
    <x v="28"/>
    <x v="2"/>
    <s v="43"/>
    <s v="URL"/>
    <x v="4"/>
    <x v="4"/>
    <s v="Robot gaat in error vlak  voor het uitrijden van de lane, normale condities"/>
    <n v="0"/>
    <x v="0"/>
    <s v="max deviation x verkeerd ingesteld"/>
    <n v="0"/>
    <x v="9"/>
    <n v="0"/>
  </r>
  <r>
    <s v="2356f5d5-1d82-4d1b-9e4d-6a1c5e028ed5"/>
    <x v="2"/>
    <s v="c66653a7-bff2-4d6d-851c-4c84568e39e1"/>
    <s v="failed"/>
    <x v="13"/>
    <s v="2022-09-21T18:00:20.550000+00:00"/>
    <n v="82"/>
    <n v="35"/>
    <n v="0.42682926829268292"/>
    <x v="29"/>
    <x v="0"/>
    <s v="43"/>
    <s v="URL"/>
    <x v="10"/>
    <x v="10"/>
    <s v="&lt;="/>
    <s v="/"/>
    <x v="0"/>
    <s v="/"/>
    <s v="/"/>
    <x v="9"/>
    <n v="0"/>
  </r>
  <r>
    <s v="4ff7b473-4313-4801-9f83-bb2ede124477"/>
    <x v="3"/>
    <s v="1393cb0c-36a9-4248-84bb-d52294aa139f"/>
    <s v="failed"/>
    <x v="2"/>
    <s v="2022-09-23T22:33:16.585000+00:00"/>
    <n v="102"/>
    <n v="60"/>
    <n v="0.58823529411764708"/>
    <x v="30"/>
    <x v="3"/>
    <s v="48"/>
    <s v="URL"/>
    <x v="11"/>
    <x v="11"/>
    <s v="Robot valt van de rails (+/- ah einde van de lane)"/>
    <s v="/"/>
    <x v="0"/>
    <s v="/"/>
    <s v="/"/>
    <x v="10"/>
    <n v="0"/>
  </r>
  <r>
    <s v="c9099605-b5e0-41b1-9d4c-8b2538d8bf5c"/>
    <x v="3"/>
    <s v="c3f076e3-aa26-45ec-bbc2-c9bb19da0564"/>
    <s v="failed"/>
    <x v="0"/>
    <s v="2022-09-26T10:04:09.305000+00:00"/>
    <n v="102"/>
    <n v="0"/>
    <n v="0"/>
    <x v="31"/>
    <x v="3"/>
    <s v="48"/>
    <s v="URL"/>
    <x v="1"/>
    <x v="1"/>
    <s v="Robot staat (vermoedelijk) voor een rij, rijdt traag de rails op en gaat vervolgens in error."/>
    <s v="wrs verkeerd klaar gezet"/>
    <x v="0"/>
    <s v="Flank van inductieve komt binnen veel vroeger dan start missie"/>
    <s v=""/>
    <x v="11"/>
    <s v=""/>
  </r>
  <r>
    <s v="c374cb48-23d0-4b67-8cc4-af74e13b54d0"/>
    <x v="3"/>
    <s v="c3f076e3-aa26-45ec-bbc2-c9bb19da0564"/>
    <s v="failed"/>
    <x v="2"/>
    <s v="2022-09-26T10:05:04.263000+00:00"/>
    <n v="102"/>
    <n v="1"/>
    <n v="9.8039215686274508E-3"/>
    <x v="31"/>
    <x v="3"/>
    <s v="48"/>
    <s v="URL"/>
    <x v="1"/>
    <x v="1"/>
    <s v="Robot staat vermoedelijk op de rails op moment dat missie start, komt traag op gang en gaat in error"/>
    <s v="wrs verkeerd klaar gezet"/>
    <x v="0"/>
    <s v="Flank van inductieve komt binnen veel vroeger dan start missie"/>
    <e v="#REF!"/>
    <x v="11"/>
    <e v="#REF!"/>
  </r>
  <r>
    <m/>
    <x v="2"/>
    <s v="1611f5da-29cd-4e1f-810e-7ac5b9fca785"/>
    <s v="completed"/>
    <x v="3"/>
    <s v="2022-09-26T13:19:44.925000+00:00"/>
    <n v="4"/>
    <n v="4"/>
    <n v="1"/>
    <x v="4"/>
    <x v="0"/>
    <s v="43"/>
    <m/>
    <x v="2"/>
    <x v="2"/>
    <n v="0"/>
    <n v="0"/>
    <x v="0"/>
    <n v="0"/>
    <s v="Servicereport visit Wittenberg 20220928.pdf"/>
    <x v="11"/>
    <n v="0"/>
  </r>
  <r>
    <s v="207ccb9a-ac16-4405-92da-bfee5a302d67"/>
    <x v="3"/>
    <s v="505238ed-b23a-46d8-a648-1973c987c701"/>
    <s v="failed"/>
    <x v="2"/>
    <s v="2022-09-26T13:39:31.571000+00:00"/>
    <n v="101"/>
    <n v="61"/>
    <n v="0.60396039603960394"/>
    <x v="32"/>
    <x v="3"/>
    <s v="48"/>
    <s v="URL"/>
    <x v="6"/>
    <x v="6"/>
    <s v="robot start laneswitch, operator duwt bumper in, heftruck stond in de weg"/>
    <s v="/"/>
    <x v="0"/>
    <s v="/"/>
    <s v="/"/>
    <x v="11"/>
    <n v="0"/>
  </r>
  <r>
    <m/>
    <x v="3"/>
    <s v="821039ac-30bc-448a-8c78-936dfb186ae2"/>
    <s v="completed"/>
    <x v="3"/>
    <s v="2022-09-26T16:10:59.912000+00:00"/>
    <n v="40"/>
    <n v="40"/>
    <n v="1"/>
    <x v="4"/>
    <x v="3"/>
    <s v="48"/>
    <m/>
    <x v="2"/>
    <x v="2"/>
    <n v="0"/>
    <n v="0"/>
    <x v="0"/>
    <n v="0"/>
    <n v="0"/>
    <x v="11"/>
    <n v="0"/>
  </r>
  <r>
    <m/>
    <x v="3"/>
    <s v="ab03b8b9-de5f-464c-8c96-59600b7998e2"/>
    <s v="stopped"/>
    <x v="3"/>
    <s v="2022-09-27T15:36:08.199000+00:00"/>
    <n v="101"/>
    <n v="101"/>
    <n v="1"/>
    <x v="4"/>
    <x v="1"/>
    <s v="48"/>
    <m/>
    <x v="2"/>
    <x v="2"/>
    <n v="0"/>
    <n v="0"/>
    <x v="0"/>
    <n v="0"/>
    <n v="0"/>
    <x v="12"/>
    <n v="0"/>
  </r>
  <r>
    <m/>
    <x v="3"/>
    <s v="2cfb3651-8966-4d38-8267-e2a6009993e4"/>
    <s v="completed"/>
    <x v="3"/>
    <s v="2022-09-28T00:51:25.905000+00:00"/>
    <n v="102"/>
    <n v="102"/>
    <n v="1"/>
    <x v="4"/>
    <x v="3"/>
    <s v="48"/>
    <m/>
    <x v="2"/>
    <x v="2"/>
    <n v="0"/>
    <n v="0"/>
    <x v="0"/>
    <n v="0"/>
    <n v="0"/>
    <x v="13"/>
    <n v="0"/>
  </r>
  <r>
    <m/>
    <x v="0"/>
    <s v="6fe60279-7595-4c81-9435-e5aab4effe44"/>
    <s v="completed"/>
    <x v="3"/>
    <s v="2022-09-28T01:23:38.338000+00:00"/>
    <n v="124"/>
    <n v="124"/>
    <n v="1"/>
    <x v="4"/>
    <x v="2"/>
    <s v="43"/>
    <m/>
    <x v="2"/>
    <x v="2"/>
    <s v="/"/>
    <s v="/"/>
    <x v="0"/>
    <s v="/"/>
    <s v="/"/>
    <x v="13"/>
    <n v="0"/>
  </r>
  <r>
    <m/>
    <x v="3"/>
    <s v="466d514f-858d-4f83-9e3e-dbf759287118"/>
    <s v="stopped"/>
    <x v="3"/>
    <s v="2022-09-28T14:48:44.597000+00:00"/>
    <n v="101"/>
    <n v="101"/>
    <n v="1"/>
    <x v="4"/>
    <x v="1"/>
    <s v="48"/>
    <m/>
    <x v="2"/>
    <x v="2"/>
    <n v="0"/>
    <n v="0"/>
    <x v="0"/>
    <n v="0"/>
    <n v="0"/>
    <x v="13"/>
    <n v="0"/>
  </r>
  <r>
    <s v="c37603c9-3f67-48da-be96-0a5f23819042"/>
    <x v="0"/>
    <s v="a106be97-7c71-4f25-bc6d-23ca84eb8de3"/>
    <s v="failed"/>
    <x v="0"/>
    <s v="2022-09-28T18:16:09.459000+00:00"/>
    <n v="37"/>
    <n v="17"/>
    <n v="0.45945945945945948"/>
    <x v="33"/>
    <x v="0"/>
    <s v="43"/>
    <s v="URL"/>
    <x v="4"/>
    <x v="4"/>
    <s v="Robot gaat in error vlak voor einde van de lane (ter hoogte van wall), normale condities"/>
    <s v="remark ivm anomalie &gt; max diversion klopt"/>
    <x v="0"/>
    <s v="zmin staat nog altijd op 0, ziet grond. Anomalie staat waarschijnlijk groter dan max diversion -&gt; diverged to far"/>
    <s v="Servicereport visit Wittenberg 20220928.pdf"/>
    <x v="13"/>
    <s v="´control.json:  max_x_deviation stond bij deze error nog verkeerd, maar lijkt later wel te zijn aangepast (samen met ServiceReport?)  (hierdoor: 'diverged too far' ipv 'eol wall error'  +    zmin (zie hiernaast, ook aangepast in ServiceReport)"/>
  </r>
  <r>
    <s v="88600be4-fecc-45c9-9121-ffb818c7a3ce"/>
    <x v="3"/>
    <s v="5751be05-0e27-4696-aea1-42ed37dddbc3"/>
    <s v="failed"/>
    <x v="2"/>
    <s v="2022-09-28T19:52:40.330000+00:00"/>
    <n v="101"/>
    <n v="15"/>
    <n v="0.14851485148514851"/>
    <x v="34"/>
    <x v="1"/>
    <s v="48"/>
    <s v="URL"/>
    <x v="1"/>
    <x v="1"/>
    <s v=""/>
    <s v="220928.docx"/>
    <x v="0"/>
    <s v="slechte eol open door spook pixels: oplossing: inductive sensor regio vergroten? Extra use-case voor EOL open te verbeteren   +   filter realsense en preset!!"/>
    <s v=""/>
    <x v="13"/>
    <s v=""/>
  </r>
  <r>
    <s v="c01b71f8-8afc-455d-8d49-1cb1e63afa57"/>
    <x v="2"/>
    <s v="f142cc64-db52-417b-8035-18a00b5b66de"/>
    <s v="failed"/>
    <x v="7"/>
    <s v="2022-09-28T20:50:03.208000+00:00"/>
    <n v="61"/>
    <n v="21"/>
    <n v="0.34426229508196721"/>
    <x v="35"/>
    <x v="0"/>
    <s v="43"/>
    <s v="URL"/>
    <x v="5"/>
    <x v="5"/>
    <s v="Tijdens laneswitch duwt operator op noodknop, robot ging rij inrijden met spuitmachine"/>
    <s v="/"/>
    <x v="0"/>
    <s v="/"/>
    <s v="/"/>
    <x v="13"/>
    <n v="0"/>
  </r>
  <r>
    <s v="550dbbfa-ad87-490a-b6cb-97e9868db400"/>
    <x v="2"/>
    <s v="f7ca99b6-dd34-45a2-871d-584c6a7eb612"/>
    <s v="failed"/>
    <x v="0"/>
    <s v="2022-09-28T21:14:21.071000+00:00"/>
    <n v="61"/>
    <n v="4"/>
    <n v="6.5573770491803282E-2"/>
    <x v="36"/>
    <x v="0"/>
    <s v="43"/>
    <s v="URL"/>
    <x v="3"/>
    <x v="3"/>
    <s v="Robot rijdt in lane richting wall, op ong 10m van wall staat hij stil en gaat in error. Normale condities"/>
    <s v="220928.docx"/>
    <x v="0"/>
    <s v="eol vision staat aan maar doet geen metingen. Is de huidige schatting fout? foute predictie door front wheel slip"/>
    <n v="0"/>
    <x v="13"/>
    <s v="Met collision detectie detecteren!  Nieuwe ops-file nodig!   STRATEGIE: zeker integreren voor testen van Genson, daarna bekijken voor Wittenberg: update of mounten"/>
  </r>
  <r>
    <s v="54ed8e33-b078-476c-ae08-d18370b54092"/>
    <x v="2"/>
    <s v="f7ca99b6-dd34-45a2-871d-584c6a7eb612"/>
    <s v="failed"/>
    <x v="6"/>
    <s v="2022-09-28T23:23:33.816000+00:00"/>
    <n v="61"/>
    <n v="32"/>
    <n v="0.52459016393442626"/>
    <x v="37"/>
    <x v="0"/>
    <s v="43"/>
    <s v="URL"/>
    <x v="1"/>
    <x v="1"/>
    <s v="Robot rijdt richting gangpad, vertraagt te vroeg en staat ongv 3m voor einde stil op rails. Lane met Controlebox!"/>
    <n v="0"/>
    <x v="0"/>
    <n v="0"/>
    <n v="0"/>
    <x v="13"/>
    <n v="0"/>
  </r>
  <r>
    <s v="00d7743f-abdd-4f90-9023-8737c7992c94"/>
    <x v="0"/>
    <s v="86ff76ca-be3e-4446-9469-baa3c6414b40"/>
    <s v="failed"/>
    <x v="6"/>
    <s v="2022-09-29T00:03:21.657000+00:00"/>
    <n v="137"/>
    <n v="33"/>
    <n v="0.24087591240875914"/>
    <x v="21"/>
    <x v="0"/>
    <s v="43"/>
    <s v="URL"/>
    <x v="1"/>
    <x v="1"/>
    <s v="Robot rijdt richting gangpad, vertraagt te vroeg en staat ongv 3m voor einde stil op rails. Lane met Controlebox!"/>
    <n v="0"/>
    <x v="0"/>
    <n v="0"/>
    <n v="0"/>
    <x v="14"/>
    <n v="0"/>
  </r>
  <r>
    <m/>
    <x v="1"/>
    <s v="27d24b18-7ce8-4d6d-b2e7-616181ded90e"/>
    <s v="completed"/>
    <x v="3"/>
    <s v="2022-09-29T00:45:23.095000+00:00"/>
    <n v="101"/>
    <n v="101"/>
    <n v="1"/>
    <x v="4"/>
    <x v="1"/>
    <s v="48"/>
    <m/>
    <x v="2"/>
    <x v="2"/>
    <n v="0"/>
    <n v="0"/>
    <x v="0"/>
    <n v="0"/>
    <n v="0"/>
    <x v="14"/>
    <n v="0"/>
  </r>
  <r>
    <m/>
    <x v="3"/>
    <s v="c6de070b-fcb4-47ac-b95b-25aac91c4a09"/>
    <s v="stopped"/>
    <x v="3"/>
    <s v="2022-09-29T15:15:31.497000+00:00"/>
    <n v="102"/>
    <n v="102"/>
    <n v="1"/>
    <x v="4"/>
    <x v="3"/>
    <s v="48"/>
    <m/>
    <x v="2"/>
    <x v="2"/>
    <n v="0"/>
    <n v="0"/>
    <x v="0"/>
    <n v="0"/>
    <n v="0"/>
    <x v="14"/>
    <n v="0"/>
  </r>
  <r>
    <s v="935f4491-8261-4ca5-88d1-2666a0688b5e"/>
    <x v="3"/>
    <s v="8413f0bd-cb32-4169-82c7-d410df36633d"/>
    <s v="failed"/>
    <x v="2"/>
    <s v="2022-09-29T19:05:05.856000+00:00"/>
    <n v="101"/>
    <n v="10"/>
    <n v="9.9009900990099015E-2"/>
    <x v="38"/>
    <x v="1"/>
    <s v="48"/>
    <s v="URL"/>
    <x v="1"/>
    <x v="1"/>
    <s v="Robot rijdt uit lane gangpad terug op, lijkt tegen betonrand te botsen met achterwielen en te blijven haken. Op moment van error bolt de robot klein beetje terug"/>
    <s v="220928.docx"/>
    <x v="0"/>
    <s v="eol_open is clean, maar toch rijdt robot te kort. eol_open_offset vergroten ?"/>
    <n v="0"/>
    <x v="14"/>
    <n v="0"/>
  </r>
  <r>
    <s v="bd842b45-b9dc-453c-b96a-8665922009fc"/>
    <x v="0"/>
    <s v="28ece5d5-be78-4415-b6b9-d776e481c711"/>
    <s v="failed"/>
    <x v="6"/>
    <s v="2022-09-29T21:40:52.647000+00:00"/>
    <n v="99"/>
    <n v="22"/>
    <n v="0.22222222222222221"/>
    <x v="39"/>
    <x v="0"/>
    <s v="43"/>
    <s v="URL"/>
    <x v="4"/>
    <x v="4"/>
    <s v="Robot slipt/duwt tegen de rails (slijpschijfbug)"/>
    <n v="0"/>
    <x v="0"/>
    <n v="0"/>
    <n v="0"/>
    <x v="14"/>
    <n v="0"/>
  </r>
  <r>
    <m/>
    <x v="2"/>
    <s v="35f0b052-4ad9-4e89-8f04-6c3e3ae9364f"/>
    <s v="completed"/>
    <x v="3"/>
    <s v="2022-09-30T02:51:25.135000+00:00"/>
    <n v="173"/>
    <n v="173"/>
    <n v="1"/>
    <x v="4"/>
    <x v="0"/>
    <s v="43"/>
    <m/>
    <x v="2"/>
    <x v="2"/>
    <s v="/"/>
    <s v="/"/>
    <x v="0"/>
    <s v="/"/>
    <s v="/"/>
    <x v="15"/>
    <n v="0"/>
  </r>
  <r>
    <m/>
    <x v="0"/>
    <s v="fecf55b0-cf7d-4ec6-b5b8-f767b6734ede"/>
    <s v="stopped"/>
    <x v="3"/>
    <s v="2022-10-01T16:11:26.920000+00:00"/>
    <n v="150"/>
    <n v="2"/>
    <n v="1.3333333333333334E-2"/>
    <x v="4"/>
    <x v="0"/>
    <s v="43"/>
    <m/>
    <x v="2"/>
    <x v="2"/>
    <m/>
    <m/>
    <x v="0"/>
    <m/>
    <m/>
    <x v="16"/>
    <m/>
  </r>
  <r>
    <m/>
    <x v="0"/>
    <s v="9cd73f1d-66dc-4ad9-a5e1-0d684b5f172a"/>
    <s v="stopped"/>
    <x v="3"/>
    <s v="2022-10-01T16:18:40.309000+00:00"/>
    <n v="142"/>
    <n v="4"/>
    <n v="2.8169014084507043E-2"/>
    <x v="4"/>
    <x v="0"/>
    <s v="43"/>
    <m/>
    <x v="2"/>
    <x v="2"/>
    <m/>
    <m/>
    <x v="0"/>
    <m/>
    <m/>
    <x v="16"/>
    <m/>
  </r>
  <r>
    <m/>
    <x v="1"/>
    <s v="abf10a7d-1f26-42c1-9fd4-bc07d2f5e89b"/>
    <s v="stopped"/>
    <x v="3"/>
    <s v="2022-10-01T17:22:58.364000+00:00"/>
    <n v="101"/>
    <n v="0"/>
    <n v="0"/>
    <x v="4"/>
    <x v="1"/>
    <s v="48"/>
    <m/>
    <x v="2"/>
    <x v="2"/>
    <m/>
    <m/>
    <x v="0"/>
    <m/>
    <m/>
    <x v="16"/>
    <m/>
  </r>
  <r>
    <m/>
    <x v="1"/>
    <s v="9829e508-ff5b-4167-b653-261d048ebdfb"/>
    <s v="failed"/>
    <x v="2"/>
    <s v="2022-10-01T19:21:44.873000+00:00"/>
    <n v="101"/>
    <n v="7"/>
    <n v="6.9306930693069313E-2"/>
    <x v="40"/>
    <x v="1"/>
    <s v="48"/>
    <m/>
    <x v="3"/>
    <x v="3"/>
    <s v="NO DATA ??"/>
    <m/>
    <x v="0"/>
    <m/>
    <m/>
    <x v="16"/>
    <m/>
  </r>
  <r>
    <s v="15069aab-d9df-4af0-9e16-7b5dd3ee589a"/>
    <x v="3"/>
    <s v="2dd389e0-5b31-4a63-b744-542aa5bed70f"/>
    <s v="failed"/>
    <x v="2"/>
    <s v="2022-10-01T19:47:10.589000+00:00"/>
    <n v="101"/>
    <n v="14"/>
    <n v="0.13861386138613863"/>
    <x v="41"/>
    <x v="1"/>
    <s v="48"/>
    <s v="URL"/>
    <x v="4"/>
    <x v="4"/>
    <s v="Na laneswitch doet robot 1 retry, lijkt goed gepositioneerd. Wanneer hij wil verder rijden botst hij tegen rails en staat stil tot error."/>
    <s v="220928.docx"/>
    <x v="0"/>
    <s v="Verkeerde visie parameters max_rail_angle_diff, max_rail_width, min_rail_width"/>
    <n v="0"/>
    <x v="16"/>
    <s v="CHECK REPORT WITTENBERG!!!"/>
  </r>
  <r>
    <s v="1fb743f0-fe4b-41bf-ab5a-f58850ea60f9"/>
    <x v="2"/>
    <s v="b9fd17a6-7c88-47df-9d6c-9eb78b27a6c5"/>
    <s v="failed"/>
    <x v="4"/>
    <s v="2022-10-02T00:34:04.309000+00:00"/>
    <n v="138"/>
    <n v="119"/>
    <n v="0.8623188405797102"/>
    <x v="42"/>
    <x v="2"/>
    <s v="43"/>
    <s v="URL"/>
    <x v="3"/>
    <x v="3"/>
    <s v="Robot rijdt in lane richting wall, op ong 10m van wall staat hij stil en gaat in error. Normale condities"/>
    <n v="0"/>
    <x v="0"/>
    <s v="eol vision staat aan maar doet geen metingen. Is de huidige schatting fout? foute predictie door front wheel slip"/>
    <n v="0"/>
    <x v="17"/>
    <n v="0"/>
  </r>
  <r>
    <m/>
    <x v="3"/>
    <s v="acddfbd8-9eed-43e4-bc33-5f2aa6aa3eb9"/>
    <s v="failed"/>
    <x v="2"/>
    <s v="2022-10-02T18:37:20.953000+00:00"/>
    <n v="97"/>
    <n v="3"/>
    <n v="3.0927835051546393E-2"/>
    <x v="43"/>
    <x v="1"/>
    <s v="48"/>
    <m/>
    <x v="6"/>
    <x v="6"/>
    <m/>
    <m/>
    <x v="0"/>
    <m/>
    <m/>
    <x v="17"/>
    <m/>
  </r>
  <r>
    <s v="863a3b26-fb2a-464c-b2a6-8ab2872d33ff"/>
    <x v="1"/>
    <s v="a2a35f29-b631-43cc-86b0-7b6f1f77c09d"/>
    <s v="failed"/>
    <x v="2"/>
    <s v="2022-10-02T18:55:31.874000+00:00"/>
    <n v="93"/>
    <n v="8"/>
    <n v="8.6021505376344093E-2"/>
    <x v="44"/>
    <x v="1"/>
    <s v="48"/>
    <s v="URL"/>
    <x v="12"/>
    <x v="12"/>
    <s v="Robot doet laneswitch, 1 retry, rijdt daarna naar sideshiftpoint. Op moment dat sideshift begint te bewegen gaat robot in error."/>
    <s v=""/>
    <x v="0"/>
    <s v="Sideshift gaat in fout"/>
    <s v=""/>
    <x v="17"/>
    <s v=""/>
  </r>
  <r>
    <m/>
    <x v="0"/>
    <s v="840393d4-2994-47b5-8296-d7fd55038881"/>
    <s v="completed"/>
    <x v="3"/>
    <s v="2022-10-03T02:34:54.590000+00:00"/>
    <n v="137"/>
    <n v="137"/>
    <n v="1"/>
    <x v="4"/>
    <x v="0"/>
    <s v="43"/>
    <m/>
    <x v="2"/>
    <x v="2"/>
    <s v="/"/>
    <s v="/"/>
    <x v="0"/>
    <s v="/"/>
    <s v="/"/>
    <x v="18"/>
    <n v="0"/>
  </r>
  <r>
    <m/>
    <x v="0"/>
    <s v="99382840-3c9c-4400-81fa-f232dd176b2c"/>
    <s v="stopped"/>
    <x v="3"/>
    <s v="2022-10-03T05:37:03.507000+00:00"/>
    <n v="210"/>
    <n v="2"/>
    <n v="9.5238095238095247E-3"/>
    <x v="4"/>
    <x v="0"/>
    <s v="43"/>
    <m/>
    <x v="2"/>
    <x v="2"/>
    <m/>
    <m/>
    <x v="0"/>
    <m/>
    <m/>
    <x v="18"/>
    <m/>
  </r>
  <r>
    <m/>
    <x v="1"/>
    <s v="4b9f39ea-e32b-42c8-807c-d46dc6185d60"/>
    <s v="failed"/>
    <x v="2"/>
    <s v="2022-10-03T19:47:44.281000+00:00"/>
    <n v="102"/>
    <n v="23"/>
    <n v="0.22549019607843138"/>
    <x v="45"/>
    <x v="3"/>
    <s v="48"/>
    <m/>
    <x v="12"/>
    <x v="12"/>
    <m/>
    <m/>
    <x v="0"/>
    <m/>
    <m/>
    <x v="18"/>
    <m/>
  </r>
  <r>
    <m/>
    <x v="3"/>
    <s v="4410dd44-fd6e-457e-9efc-484f3eacefa0"/>
    <s v="completed"/>
    <x v="3"/>
    <s v="2022-10-04T00:22:09.967000+00:00"/>
    <n v="102"/>
    <n v="102"/>
    <n v="1"/>
    <x v="4"/>
    <x v="3"/>
    <s v="48"/>
    <m/>
    <x v="2"/>
    <x v="2"/>
    <m/>
    <m/>
    <x v="0"/>
    <m/>
    <m/>
    <x v="19"/>
    <m/>
  </r>
  <r>
    <s v="5da9325b-c842-463d-8c86-058f8ccd9df3"/>
    <x v="3"/>
    <s v="5b4ce608-93cf-4f9d-a5c5-f92e67c4a6af"/>
    <s v="failed"/>
    <x v="2"/>
    <s v="2022-10-04T20:25:16.311000+00:00"/>
    <n v="102"/>
    <n v="34"/>
    <n v="0.33333333333333331"/>
    <x v="46"/>
    <x v="3"/>
    <s v="48"/>
    <s v="URL"/>
    <x v="7"/>
    <x v="7"/>
    <s v="Robot doet laneswitch, 1 retry, rijdt daarna naar sideshiftpoint. Op moment dat sideshift begint te bewegen gaat robot in error."/>
    <s v=""/>
    <x v="0"/>
    <s v="Verkeerde visie parameters: max_rail_angle_diff, max_rail_width, min_rail_width"/>
    <s v=""/>
    <x v="19"/>
    <s v="CHECK REPORT WITTENBERG!!!  CHECK"/>
  </r>
  <r>
    <m/>
    <x v="1"/>
    <s v="97a328fe-5933-4196-8836-ff33424ad3d0"/>
    <s v="failed"/>
    <x v="2"/>
    <s v="2022-10-04T21:27:54.246000+00:00"/>
    <n v="101"/>
    <n v="50"/>
    <n v="0.49504950495049505"/>
    <x v="47"/>
    <x v="1"/>
    <s v="48"/>
    <m/>
    <x v="1"/>
    <x v="1"/>
    <s v="NO DATA ??"/>
    <m/>
    <x v="0"/>
    <m/>
    <m/>
    <x v="19"/>
    <m/>
  </r>
  <r>
    <s v="7d7702fe-0ff5-4774-bf6e-3ced16417eaf"/>
    <x v="2"/>
    <s v="d35ee0b1-948c-42d4-8c64-1ba170c3918d"/>
    <s v="failed"/>
    <x v="9"/>
    <s v="2022-10-04T21:58:58.839000+00:00"/>
    <n v="129"/>
    <n v="57"/>
    <n v="0.44186046511627908"/>
    <x v="48"/>
    <x v="2"/>
    <s v="43"/>
    <s v="URL"/>
    <x v="6"/>
    <x v="6"/>
    <s v="Robot botst tegen 024 op gangpad"/>
    <s v="/"/>
    <x v="0"/>
    <s v="/"/>
    <s v="/"/>
    <x v="19"/>
    <s v="/"/>
  </r>
  <r>
    <s v="b1d9470a-3e7b-4390-aa3f-fa1c128bd6bc"/>
    <x v="2"/>
    <s v="bc34f21e-2c6f-4b94-821a-bf61b9952834"/>
    <s v="failed"/>
    <x v="14"/>
    <s v="2022-10-05T05:35:13.933000+00:00"/>
    <n v="69"/>
    <n v="16"/>
    <n v="0.2318840579710145"/>
    <x v="49"/>
    <x v="2"/>
    <s v="43"/>
    <s v="URL"/>
    <x v="13"/>
    <x v="13"/>
    <s v="Robot rijdt richting gangpad, komt op gangpad maar gaat plots in error"/>
    <s v=""/>
    <x v="0"/>
    <s v=""/>
    <s v=""/>
    <x v="20"/>
    <s v=""/>
  </r>
  <r>
    <m/>
    <x v="0"/>
    <s v="544130df-55e5-4d32-a744-209426967cdd"/>
    <s v="completed"/>
    <x v="3"/>
    <s v="2022-10-05T08:08:32.113000+00:00"/>
    <n v="119"/>
    <n v="118"/>
    <n v="0.99159663865546221"/>
    <x v="4"/>
    <x v="0"/>
    <s v="43"/>
    <m/>
    <x v="2"/>
    <x v="2"/>
    <s v="/"/>
    <s v="/"/>
    <x v="0"/>
    <s v="/"/>
    <s v="/"/>
    <x v="20"/>
    <s v="/"/>
  </r>
  <r>
    <m/>
    <x v="1"/>
    <s v="606e5355-770c-41d0-be02-fa0443c5a7ee"/>
    <s v="stopped"/>
    <x v="3"/>
    <s v="2022-10-05T15:26:53.777000+00:00"/>
    <n v="54"/>
    <n v="0"/>
    <n v="0"/>
    <x v="4"/>
    <x v="1"/>
    <s v="48"/>
    <m/>
    <x v="2"/>
    <x v="2"/>
    <m/>
    <m/>
    <x v="0"/>
    <m/>
    <m/>
    <x v="20"/>
    <m/>
  </r>
  <r>
    <s v="534786b5-2b4b-4877-b23c-a423d80e67ff"/>
    <x v="3"/>
    <s v="468e88cf-3db8-4425-a027-634c6fc07a7d"/>
    <s v="failed"/>
    <x v="2"/>
    <s v="2022-10-05T18:50:13.563000+00:00"/>
    <n v="171"/>
    <n v="2"/>
    <n v="1.1695906432748537E-2"/>
    <x v="46"/>
    <x v="3"/>
    <s v="48"/>
    <s v="URL"/>
    <x v="7"/>
    <x v="7"/>
    <s v="Robot doet laneswitch, 1 retry, rijdt daarna naar sideshiftpoint. Op moment dat sideshift begint te bewegen gaat robot in error."/>
    <s v=""/>
    <x v="0"/>
    <s v="Verkeerde visie parameters: max_rail_angle_diff, max_rail_width, min_rail_width"/>
    <s v="Aangepast op 24/10"/>
    <x v="20"/>
    <s v=""/>
  </r>
  <r>
    <m/>
    <x v="1"/>
    <s v="50d1a2bc-7fe9-4912-8e4a-f9b07756fd00"/>
    <s v="failed"/>
    <x v="2"/>
    <s v="2022-10-05T20:38:26.059000+00:00"/>
    <n v="54"/>
    <n v="37"/>
    <n v="0.68518518518518523"/>
    <x v="50"/>
    <x v="1"/>
    <s v="48"/>
    <m/>
    <x v="11"/>
    <x v="11"/>
    <s v="NO DATA ??"/>
    <m/>
    <x v="0"/>
    <m/>
    <m/>
    <x v="20"/>
    <m/>
  </r>
  <r>
    <m/>
    <x v="0"/>
    <s v="3770afe2-fdd6-4530-85b7-d66b47fbf0a6"/>
    <s v="completed"/>
    <x v="3"/>
    <s v="2022-10-06T07:03:41.123000+00:00"/>
    <n v="45"/>
    <n v="45"/>
    <n v="1"/>
    <x v="4"/>
    <x v="0"/>
    <s v="43"/>
    <m/>
    <x v="2"/>
    <x v="2"/>
    <s v="/"/>
    <s v="/"/>
    <x v="0"/>
    <s v="/"/>
    <s v="/"/>
    <x v="21"/>
    <s v="/"/>
  </r>
  <r>
    <m/>
    <x v="1"/>
    <s v="e139fb67-d5f9-4b8a-be91-25e4d4a99707"/>
    <s v="stopped"/>
    <x v="3"/>
    <s v="2022-10-06T14:35:03.632000+00:00"/>
    <n v="102"/>
    <n v="0"/>
    <n v="0"/>
    <x v="4"/>
    <x v="3"/>
    <s v="48"/>
    <m/>
    <x v="2"/>
    <x v="2"/>
    <s v="/"/>
    <m/>
    <x v="0"/>
    <m/>
    <m/>
    <x v="21"/>
    <m/>
  </r>
  <r>
    <m/>
    <x v="1"/>
    <s v="b0e22aae-b9e7-473d-a953-8cb34f99898f"/>
    <s v="failed"/>
    <x v="2"/>
    <s v="2022-10-06T18:55:00.586000+00:00"/>
    <n v="102"/>
    <n v="8"/>
    <n v="7.8431372549019607E-2"/>
    <x v="51"/>
    <x v="3"/>
    <s v="48"/>
    <m/>
    <x v="12"/>
    <x v="12"/>
    <s v="NO DATA ??"/>
    <m/>
    <x v="0"/>
    <m/>
    <m/>
    <x v="21"/>
    <m/>
  </r>
  <r>
    <m/>
    <x v="3"/>
    <s v="7b3a7a36-41c5-482b-a236-28cbbe07b3d2"/>
    <s v="completed"/>
    <x v="3"/>
    <s v="2022-10-06T22:31:41.699000+00:00"/>
    <n v="69"/>
    <n v="69"/>
    <n v="1"/>
    <x v="4"/>
    <x v="3"/>
    <s v="48"/>
    <m/>
    <x v="2"/>
    <x v="2"/>
    <s v="/"/>
    <m/>
    <x v="0"/>
    <m/>
    <m/>
    <x v="21"/>
    <m/>
  </r>
  <r>
    <s v="bc67652d-e53a-4f28-aafb-0c5b5c521f7d"/>
    <x v="1"/>
    <s v="3a205900-9d60-492f-a4e2-4d7a92e8da93"/>
    <s v="failed"/>
    <x v="2"/>
    <s v="2022-10-07T18:51:38.597000+00:00"/>
    <n v="93"/>
    <n v="7"/>
    <n v="7.5268817204301078E-2"/>
    <x v="52"/>
    <x v="3"/>
    <s v="48"/>
    <s v="URL"/>
    <x v="12"/>
    <x v="12"/>
    <s v="Robot staat stil in gangpad, er is een operator erbij."/>
    <m/>
    <x v="0"/>
    <m/>
    <m/>
    <x v="22"/>
    <m/>
  </r>
  <r>
    <s v="e110b3b5-aaaa-43d5-b060-d48a35730524"/>
    <x v="1"/>
    <s v="016ff554-1151-4352-87ce-943471aa3a16"/>
    <s v="failed"/>
    <x v="0"/>
    <s v="2022-10-07T19:40:53.329000+00:00"/>
    <n v="86"/>
    <n v="0"/>
    <n v="0"/>
    <x v="52"/>
    <x v="3"/>
    <s v="48"/>
    <s v="URL"/>
    <x v="6"/>
    <x v="6"/>
    <s v="Robot staat stil in gangpad, er is een operator erbij."/>
    <s v=""/>
    <x v="0"/>
    <s v="Deze en volgende zijn hetzelfde?"/>
    <s v=""/>
    <x v="22"/>
    <s v="CHECK"/>
  </r>
  <r>
    <s v="e110b3b5-aaaa-43d5-b060-d48a35730524"/>
    <x v="1"/>
    <s v="b811041a-9e83-4016-9ad9-a6bac78704ca"/>
    <s v="failed"/>
    <x v="2"/>
    <s v="2022-10-07T19:40:53.329000+00:00"/>
    <n v="155"/>
    <n v="1"/>
    <n v="6.4516129032258064E-3"/>
    <x v="53"/>
    <x v="1"/>
    <s v="48"/>
    <s v="URL"/>
    <x v="14"/>
    <x v="14"/>
    <s v="FOUTE DATA"/>
    <s v=""/>
    <x v="0"/>
    <s v="Volgens mij klopt de error code hier niet , lijkt undervoltage"/>
    <s v=""/>
    <x v="22"/>
    <n v="1"/>
  </r>
  <r>
    <s v="c95fa8b2-1509-4754-9247-4a4406d0aa47"/>
    <x v="1"/>
    <s v="016ff554-1151-4352-87ce-943471aa3a16"/>
    <s v="failed"/>
    <x v="2"/>
    <s v="2022-10-07T19:41:42.627000+00:00"/>
    <n v="86"/>
    <n v="1"/>
    <n v="1.1627906976744186E-2"/>
    <x v="52"/>
    <x v="3"/>
    <s v="48"/>
    <s v="URL"/>
    <x v="6"/>
    <x v="6"/>
    <s v="Robot staat stil in gangpad, er is een operator erbij."/>
    <s v=""/>
    <x v="0"/>
    <s v=""/>
    <s v=""/>
    <x v="22"/>
    <n v="4"/>
  </r>
  <r>
    <s v="5820af8c-93fd-46e0-b31a-4cceb6b22103"/>
    <x v="3"/>
    <s v="9ebc899f-47f0-469e-9202-06c79bde4eca"/>
    <s v="failed"/>
    <x v="0"/>
    <s v="2022-10-07T22:41:38.291000+00:00"/>
    <n v="102"/>
    <n v="14"/>
    <n v="0.13725490196078433"/>
    <x v="41"/>
    <x v="1"/>
    <s v="48"/>
    <s v="URL"/>
    <x v="4"/>
    <x v="4"/>
    <s v="Robot doet laneswtich, 1 retry, lijkt goed te staan om verder te rijden op rails maar 'botst' tegen de rails en gaat in error"/>
    <n v="20221024"/>
    <x v="0"/>
    <s v="Visie lijkt juist te werken, y = 0.03, theta=1.77deg, sommige metingen worden weggegooid door verkeerde visie parameters: max_rail_angle_diff, max_rail_width, min_rail_width"/>
    <m/>
    <x v="22"/>
    <n v="1"/>
  </r>
  <r>
    <s v="2caec709-bb35-4b4a-b67d-dd1069a10fb1"/>
    <x v="3"/>
    <s v="9ebc899f-47f0-469e-9202-06c79bde4eca"/>
    <s v="failed"/>
    <x v="2"/>
    <s v="2022-10-07T22:41:38.291000+00:00"/>
    <n v="102"/>
    <n v="69"/>
    <n v="0.67647058823529416"/>
    <x v="54"/>
    <x v="1"/>
    <s v="48"/>
    <s v="URL"/>
    <x v="3"/>
    <x v="3"/>
    <s v="Robot rijdt richting einde van lane, botst tegen bijenkorf (!?) paar meter voor het einde gaat hij in error. Normale condities, naast palen."/>
    <m/>
    <x v="0"/>
    <s v="Did not receive 'eol_sensor' in time (timeout = 4.509 s) Het valt op hoe hard de robot van links naar rechts botst. Op seconde 23 botst de robot duidelijk ergens tegen. Dit zorgt er waarschijnlijk voor dat de positie schatting totaal de mist in gaat. Bijenkorf heeft het vermoedelijk niet overleefd. Muur is nog niet in beeld op het moment van de error."/>
    <m/>
    <x v="22"/>
    <n v="1"/>
  </r>
  <r>
    <s v="9871f540-0e10-4db0-90a6-1b23a7e4a5f2"/>
    <x v="1"/>
    <s v="2b61740f-dd1f-4445-80c8-172e8083cf83"/>
    <s v="failed"/>
    <x v="2"/>
    <s v="2022-10-09T18:47:19.901000+00:00"/>
    <n v="85"/>
    <n v="6"/>
    <n v="7.0588235294117646E-2"/>
    <x v="45"/>
    <x v="3"/>
    <s v="48"/>
    <s v="URL"/>
    <x v="6"/>
    <x v="6"/>
    <s v="Robot klapt sideshift uit, keert terug richting lane, wanneer hij de rails wil oprijden gaat hij in error. Goten bewegen zichtbaar mee =&gt; sidehisft niet juist uitgeklapt?"/>
    <m/>
    <x v="0"/>
    <s v="lijkt dat de sideshift ergens tegen zit"/>
    <m/>
    <x v="23"/>
    <n v="3.1"/>
  </r>
  <r>
    <s v="aee96255-b497-4807-b942-50418b25cf85"/>
    <x v="3"/>
    <s v="ab8780bc-ce77-4848-8a8b-7daf43850200"/>
    <s v="failed"/>
    <x v="2"/>
    <s v="2022-10-09T19:33:33.970000+00:00"/>
    <n v="101"/>
    <n v="19"/>
    <n v="0.18811881188118812"/>
    <x v="55"/>
    <x v="1"/>
    <s v="48"/>
    <s v="URL"/>
    <x v="5"/>
    <x v="5"/>
    <s v="Robot botst tijdens laneswitch tegen 032 (die in error staat aan het startpunt van de lane)"/>
    <m/>
    <x v="0"/>
    <m/>
    <m/>
    <x v="23"/>
    <n v="3.2"/>
  </r>
  <r>
    <s v="b792394c-21bb-409f-b558-9dfedebdbd96"/>
    <x v="3"/>
    <s v="4b67dd29-c64d-447f-a85f-2c38d16ec755"/>
    <s v="failed"/>
    <x v="2"/>
    <s v="2022-10-10T18:38:30.043000+00:00"/>
    <n v="102"/>
    <n v="3"/>
    <n v="2.9411764705882353E-2"/>
    <x v="56"/>
    <x v="3"/>
    <s v="48"/>
    <s v="URL"/>
    <x v="6"/>
    <x v="6"/>
    <s v="Laneswitch over sectiewissel. Robot botst tegen infrastructuur. Vermoedelijk verkeerd opgetekend in kaart."/>
    <m/>
    <x v="0"/>
    <m/>
    <m/>
    <x v="24"/>
    <n v="0"/>
  </r>
  <r>
    <m/>
    <x v="3"/>
    <s v="e5e08d18-ddf8-408f-bdb2-11cb47bdf64d"/>
    <s v="stopped"/>
    <x v="3"/>
    <s v="2022-10-11T14:17:49.160000+00:00"/>
    <n v="101"/>
    <n v="0"/>
    <n v="0"/>
    <x v="4"/>
    <x v="3"/>
    <s v="48"/>
    <m/>
    <x v="2"/>
    <x v="2"/>
    <s v="/"/>
    <m/>
    <x v="0"/>
    <m/>
    <m/>
    <x v="25"/>
    <m/>
  </r>
  <r>
    <s v="f3a89935-4cdc-49f2-82ab-c85741f0e9ca"/>
    <x v="3"/>
    <s v="320656ac-64c5-47e2-9724-9145c5b5a339"/>
    <s v="failed"/>
    <x v="2"/>
    <s v="2022-10-11T19:12:28.922000+00:00"/>
    <n v="86"/>
    <n v="11"/>
    <n v="0.12790697674418605"/>
    <x v="57"/>
    <x v="3"/>
    <s v="48"/>
    <s v="URL"/>
    <x v="8"/>
    <x v="8"/>
    <s v="Robot rijdt richting einde lane, lijkt te reageren op visie-metingen door bruusk af te remmen en daarna traagjes door te rijden, maar gaat dan toch in error. Op het einde staan regentonnen."/>
    <n v="20221024"/>
    <x v="0"/>
    <s v="SensorMonitorStrategy: Did not receive 'eol_sensor' in time (timeout = 4.510 s) initiele error is dit. Er zijn een paar metingen en daarna niets meer. Ton wordt niet als muur gezien door ronde vorm."/>
    <m/>
    <x v="25"/>
    <n v="0"/>
  </r>
  <r>
    <m/>
    <x v="0"/>
    <s v="38965ea3-b5b6-441f-a81b-05dcc5a18d91"/>
    <s v="completed"/>
    <x v="3"/>
    <s v="2022-10-12T03:13:52.390000+00:00"/>
    <n v="150"/>
    <n v="150"/>
    <n v="1"/>
    <x v="4"/>
    <x v="0"/>
    <s v="43"/>
    <m/>
    <x v="2"/>
    <x v="2"/>
    <s v="/"/>
    <s v="/"/>
    <x v="0"/>
    <s v="/"/>
    <s v="/"/>
    <x v="26"/>
    <s v="/"/>
  </r>
  <r>
    <m/>
    <x v="0"/>
    <s v="0f467601-5724-4b39-abf1-ccb1ce8f09cf"/>
    <s v="completed"/>
    <x v="3"/>
    <s v="2022-10-12T06:08:28.387000+00:00"/>
    <n v="28"/>
    <n v="28"/>
    <n v="1"/>
    <x v="4"/>
    <x v="0"/>
    <s v="43"/>
    <m/>
    <x v="2"/>
    <x v="2"/>
    <s v="/"/>
    <s v="/"/>
    <x v="0"/>
    <s v="/"/>
    <s v="/"/>
    <x v="26"/>
    <s v="/"/>
  </r>
  <r>
    <s v="b04ed7de-3ed0-4a1d-ac22-346ceb4de9cb"/>
    <x v="2"/>
    <s v="400518f3-604b-44d5-a3e9-cda36885e857"/>
    <s v="failed"/>
    <x v="1"/>
    <s v="2022-10-12T15:50:59.045000+00:00"/>
    <n v="150"/>
    <n v="0"/>
    <n v="0"/>
    <x v="17"/>
    <x v="0"/>
    <s v="43"/>
    <s v="URL"/>
    <x v="6"/>
    <x v="6"/>
    <s v="Joren ah testen, duwt bumper in"/>
    <s v="/"/>
    <x v="0"/>
    <s v="/"/>
    <s v="/"/>
    <x v="26"/>
    <n v="4"/>
  </r>
  <r>
    <s v="c733f4ad-eabf-48b4-91c9-d660a5cbe20d"/>
    <x v="0"/>
    <s v="0abd403c-4426-4a00-bcf2-bbf9b6a2c708"/>
    <s v="failed"/>
    <x v="1"/>
    <s v="2022-10-12T15:56:05.367000+00:00"/>
    <n v="150"/>
    <n v="0"/>
    <n v="0"/>
    <x v="17"/>
    <x v="0"/>
    <s v="43"/>
    <s v="URL"/>
    <x v="6"/>
    <x v="6"/>
    <s v="Robot staat in stockageplaats, gaat ineens in error"/>
    <m/>
    <x v="0"/>
    <m/>
    <m/>
    <x v="26"/>
    <n v="4"/>
  </r>
  <r>
    <m/>
    <x v="2"/>
    <s v="e7d90e25-891b-4913-a378-aac4c311c7a6"/>
    <s v="stopped"/>
    <x v="3"/>
    <s v="2022-10-12T16:04:41.554000+00:00"/>
    <n v="150"/>
    <n v="7"/>
    <n v="4.6666666666666669E-2"/>
    <x v="4"/>
    <x v="0"/>
    <s v="43"/>
    <m/>
    <x v="2"/>
    <x v="2"/>
    <m/>
    <m/>
    <x v="0"/>
    <m/>
    <m/>
    <x v="26"/>
    <m/>
  </r>
  <r>
    <s v="9e2b16bc-e5fd-4b34-9a80-99dfdb4442d7"/>
    <x v="2"/>
    <s v="db670c71-d21e-4af5-b8ca-05339e159783"/>
    <s v="failed"/>
    <x v="15"/>
    <s v="2022-10-13T04:35:01.790000+00:00"/>
    <n v="48"/>
    <n v="4"/>
    <n v="8.3333333333333329E-2"/>
    <x v="58"/>
    <x v="2"/>
    <s v="43"/>
    <s v="URL"/>
    <x v="14"/>
    <x v="14"/>
    <s v="Robot rijdt richting gangpad, 4m voor het einde gaat hij in error. Normale condities"/>
    <s v="220928.docx"/>
    <x v="0"/>
    <s v="visie doet geen metingen want nog te ver van het einde (trigger voor eol open metingen veel te vroeg) . Opvallend slechte eol wall metingen."/>
    <m/>
    <x v="27"/>
    <n v="1"/>
  </r>
  <r>
    <s v="fc0b4ef1-0c84-4f97-874d-12de5b84be6d"/>
    <x v="0"/>
    <s v="ab0c51ce-5ba4-4020-b686-aed823e718f2"/>
    <s v="stopped"/>
    <x v="0"/>
    <s v="2022-10-13T08:08:00.746000+00:00"/>
    <n v="91"/>
    <n v="58"/>
    <n v="0.63736263736263732"/>
    <x v="59"/>
    <x v="2"/>
    <s v="43"/>
    <s v="URL"/>
    <x v="4"/>
    <x v="4"/>
    <s v="Er hangt een ketting in de weg"/>
    <m/>
    <x v="0"/>
    <m/>
    <m/>
    <x v="27"/>
    <n v="3.1"/>
  </r>
  <r>
    <m/>
    <x v="2"/>
    <s v="581f0482-bfcc-4897-804b-ea113ccd51c6"/>
    <s v="stopped"/>
    <x v="3"/>
    <s v="2022-10-13T10:27:58.104000+00:00"/>
    <n v="44"/>
    <n v="30"/>
    <n v="0.68181818181818177"/>
    <x v="4"/>
    <x v="2"/>
    <s v="43"/>
    <m/>
    <x v="2"/>
    <x v="2"/>
    <m/>
    <m/>
    <x v="0"/>
    <m/>
    <m/>
    <x v="27"/>
    <m/>
  </r>
  <r>
    <m/>
    <x v="2"/>
    <s v="6fbf32cc-d8e0-422a-9597-365319f578a2"/>
    <s v="stopped"/>
    <x v="3"/>
    <s v="2022-10-13T11:26:44.173000+00:00"/>
    <n v="4"/>
    <n v="1"/>
    <n v="0.25"/>
    <x v="4"/>
    <x v="0"/>
    <s v="43"/>
    <m/>
    <x v="2"/>
    <x v="2"/>
    <m/>
    <m/>
    <x v="0"/>
    <m/>
    <m/>
    <x v="27"/>
    <m/>
  </r>
  <r>
    <m/>
    <x v="0"/>
    <s v="9569620c-f72a-4d5a-b0a7-523021d292e3"/>
    <s v="failed"/>
    <x v="3"/>
    <s v="2022-10-13T11:31:30.499000+00:00"/>
    <n v="150"/>
    <n v="0"/>
    <n v="0"/>
    <x v="4"/>
    <x v="0"/>
    <s v="43"/>
    <m/>
    <x v="2"/>
    <x v="2"/>
    <m/>
    <m/>
    <x v="0"/>
    <m/>
    <m/>
    <x v="27"/>
    <m/>
  </r>
  <r>
    <s v="a94bda7a-04d3-4bcf-8adc-6cdc069f6de6"/>
    <x v="0"/>
    <s v="9ae7d229-4038-46ef-8b75-183d40c97d7f"/>
    <s v="failed"/>
    <x v="1"/>
    <s v="2022-10-13T11:33:24.612000+00:00"/>
    <n v="150"/>
    <n v="0"/>
    <n v="0"/>
    <x v="17"/>
    <x v="0"/>
    <s v="43"/>
    <s v="URL"/>
    <x v="0"/>
    <x v="0"/>
    <m/>
    <m/>
    <x v="0"/>
    <s v="No data received from cams:"/>
    <m/>
    <x v="27"/>
    <n v="1"/>
  </r>
  <r>
    <m/>
    <x v="0"/>
    <s v="a0147324-949c-4180-ba80-2cd99d59303b"/>
    <m/>
    <x v="3"/>
    <s v="2022-10-13T12:33:24.612000+00:00"/>
    <n v="41"/>
    <n v="1"/>
    <n v="2.4390243902439025E-2"/>
    <x v="4"/>
    <x v="0"/>
    <s v="43"/>
    <m/>
    <x v="2"/>
    <x v="2"/>
    <m/>
    <m/>
    <x v="0"/>
    <m/>
    <m/>
    <x v="27"/>
    <m/>
  </r>
  <r>
    <m/>
    <x v="0"/>
    <s v="4036b344-3eff-4247-b426-61745f50dc85"/>
    <s v="failed"/>
    <x v="3"/>
    <s v="2022-10-13T15:59:31.937000+00:00"/>
    <n v="210"/>
    <n v="0"/>
    <n v="0"/>
    <x v="4"/>
    <x v="0"/>
    <s v="43"/>
    <m/>
    <x v="2"/>
    <x v="2"/>
    <m/>
    <m/>
    <x v="0"/>
    <m/>
    <m/>
    <x v="27"/>
    <m/>
  </r>
  <r>
    <s v="ae6aa843-61c4-47e7-8815-c74dd854fd32"/>
    <x v="3"/>
    <s v="a6b50e4b-cfc6-40eb-a2d6-c0688f64100c"/>
    <s v="failed"/>
    <x v="2"/>
    <s v="2022-10-13T21:28:18.232000+00:00"/>
    <n v="101"/>
    <n v="50"/>
    <n v="0.49504950495049505"/>
    <x v="47"/>
    <x v="1"/>
    <s v="48"/>
    <s v="URL"/>
    <x v="1"/>
    <x v="1"/>
    <s v="Robot rijdt niet ver genoeg van rails?"/>
    <s v="220928.docx"/>
    <x v="0"/>
    <s v="Goten lijken korter dan andere goten. goten stoppen eerder dan rails. offset toevoegen?"/>
    <m/>
    <x v="27"/>
    <n v="3.3"/>
  </r>
  <r>
    <s v="f9014157-3292-448c-8387-9e511d98fc17"/>
    <x v="2"/>
    <s v="5ebaff21-7608-4322-a60e-19a0cf187dd4"/>
    <s v="failed"/>
    <x v="15"/>
    <s v="2022-10-13T22:26:02.630000+00:00"/>
    <n v="139"/>
    <n v="83"/>
    <n v="0.59712230215827333"/>
    <x v="60"/>
    <x v="2"/>
    <s v="43"/>
    <s v="URL"/>
    <x v="14"/>
    <x v="14"/>
    <s v="Robot rijdt richting gangpad, 4m voor het einde gaat hij in error. Normale condities"/>
    <m/>
    <x v="0"/>
    <s v="er komt 1 meting binnnen maar vermoedelijk net te laat, want de meting zou wel geldig geweest zijn. Waarom komt de robot plots zo slecht uit ?"/>
    <m/>
    <x v="27"/>
    <n v="1"/>
  </r>
  <r>
    <s v="beec48ef-7d99-47d9-b056-af92e0ef4513"/>
    <x v="0"/>
    <s v="4779d98c-286d-4d30-a31f-906dbcfa67c7"/>
    <s v="failed"/>
    <x v="0"/>
    <s v="2022-10-14T02:13:21.621000+00:00"/>
    <n v="210"/>
    <n v="155"/>
    <n v="0.73809523809523814"/>
    <x v="61"/>
    <x v="0"/>
    <s v="43"/>
    <s v="URL"/>
    <x v="4"/>
    <x v="4"/>
    <s v="Robot schampt tegen PowerBEE op gangpad, slaagt er wel in verder te rijden maar komt volledig verkeerd uit, onderneemt paar retries, aligneert zich verkeerd, probeert toch door te rijden"/>
    <m/>
    <x v="0"/>
    <m/>
    <m/>
    <x v="28"/>
    <n v="3.2"/>
  </r>
  <r>
    <s v="12962c59-7b47-4c5b-8850-f7ec086e11b3"/>
    <x v="0"/>
    <s v="4779d98c-286d-4d30-a31f-906dbcfa67c7"/>
    <s v="failed"/>
    <x v="16"/>
    <s v="2022-10-14T02:14:07.345000+00:00"/>
    <n v="210"/>
    <n v="156"/>
    <n v="0.74285714285714288"/>
    <x v="62"/>
    <x v="0"/>
    <s v="43"/>
    <s v="URL"/>
    <x v="1"/>
    <x v="1"/>
    <s v="Recovery als mogelijk geclassificeert na vorige error, maar in praktijk niet mogelijk"/>
    <m/>
    <x v="0"/>
    <m/>
    <m/>
    <x v="28"/>
    <n v="3.3"/>
  </r>
  <r>
    <m/>
    <x v="2"/>
    <s v="c5077365-933f-4253-9a0c-c596d1ff8b84"/>
    <s v="completed"/>
    <x v="3"/>
    <s v="2022-10-14T08:02:28.231000+00:00"/>
    <n v="56"/>
    <n v="56"/>
    <n v="1"/>
    <x v="4"/>
    <x v="2"/>
    <s v="43"/>
    <m/>
    <x v="2"/>
    <x v="2"/>
    <m/>
    <m/>
    <x v="0"/>
    <m/>
    <m/>
    <x v="28"/>
    <m/>
  </r>
  <r>
    <m/>
    <x v="0"/>
    <s v="835afebe-4a4a-42a8-b11a-3c83e96cf7c5"/>
    <s v="completed"/>
    <x v="3"/>
    <s v="2022-10-14T08:05:35.535000+00:00"/>
    <n v="60"/>
    <n v="60"/>
    <n v="1"/>
    <x v="4"/>
    <x v="0"/>
    <s v="43"/>
    <m/>
    <x v="2"/>
    <x v="2"/>
    <m/>
    <m/>
    <x v="0"/>
    <m/>
    <m/>
    <x v="28"/>
    <m/>
  </r>
  <r>
    <s v="e225320b-3920-4120-b63d-6a82016bc661"/>
    <x v="3"/>
    <s v="98634ed6-4dd8-45a5-965f-fc023736059b"/>
    <s v="failed"/>
    <x v="2"/>
    <s v="2022-10-14T20:21:43.451000+00:00"/>
    <n v="48"/>
    <n v="23"/>
    <n v="0.47916666666666669"/>
    <x v="63"/>
    <x v="1"/>
    <s v="48"/>
    <s v="URL"/>
    <x v="1"/>
    <x v="1"/>
    <s v="Robot rijdt niet ver genoeg van rails? Er hangt een plantje voor de voorste cameras! (is dit het probleem?)"/>
    <m/>
    <x v="0"/>
    <s v="Goten lijken korter dan andere goten. goten stoppen eerder dan rails. offset toevoegen?"/>
    <m/>
    <x v="28"/>
    <n v="1"/>
  </r>
  <r>
    <m/>
    <x v="0"/>
    <s v="6f311cff-24f0-4556-8d5e-b4b86e1e4f31"/>
    <s v="completed"/>
    <x v="3"/>
    <s v="2022-10-15T03:37:47.540000+00:00"/>
    <n v="140"/>
    <n v="140"/>
    <n v="1"/>
    <x v="4"/>
    <x v="2"/>
    <s v="43"/>
    <m/>
    <x v="2"/>
    <x v="2"/>
    <s v="/"/>
    <s v="/"/>
    <x v="0"/>
    <s v="/"/>
    <s v="/"/>
    <x v="29"/>
    <s v="/"/>
  </r>
  <r>
    <m/>
    <x v="0"/>
    <s v="83358303-345d-41ef-8112-811a02eec778"/>
    <m/>
    <x v="3"/>
    <s v="2022-10-15T04:37:47.540000+00:00"/>
    <n v="3"/>
    <n v="1"/>
    <n v="0.33333333333333331"/>
    <x v="4"/>
    <x v="0"/>
    <s v="43"/>
    <m/>
    <x v="2"/>
    <x v="2"/>
    <m/>
    <m/>
    <x v="0"/>
    <s v="Uur manueel ingevuld (+1 tov vorige treatment)"/>
    <m/>
    <x v="29"/>
    <m/>
  </r>
  <r>
    <s v="da111275-cd35-4b68-92e2-6d771a516bbd"/>
    <x v="2"/>
    <s v="5085e937-c963-4366-acc9-06996a3aa515"/>
    <s v="failed"/>
    <x v="17"/>
    <s v="2022-10-15T04:46:16.405000+00:00"/>
    <n v="60"/>
    <n v="10"/>
    <n v="0.16666666666666666"/>
    <x v="64"/>
    <x v="0"/>
    <s v="43"/>
    <s v="URL"/>
    <x v="15"/>
    <x v="15"/>
    <s v="Robot doet laneswtich, 1 retry, lijkt goed te staan om verder te rijden op rails maar staat 20sec stil en gaat in error"/>
    <m/>
    <x v="0"/>
    <s v="GlobalPathPlanner: Did not recieve CALCULATED for path 0 in time =&gt; waarschijnlijk Lokale planner die geen traject vindt! (Meer feedback van LPP nodig!!!)_x000a_=&gt; parameter gpp_lpp_timeout staat hier lager (20s) ivm 024 (30s)"/>
    <s v="gpp_lpp_timeout=30 (stond op 20)"/>
    <x v="29"/>
    <n v="0"/>
  </r>
  <r>
    <m/>
    <x v="0"/>
    <s v="bd35226d-24fe-4dea-b45f-3566611ecf14"/>
    <s v="completed"/>
    <x v="3"/>
    <s v="2022-10-16T07:58:42.699000+00:00"/>
    <n v="2"/>
    <n v="2"/>
    <n v="1"/>
    <x v="4"/>
    <x v="0"/>
    <s v="43"/>
    <m/>
    <x v="2"/>
    <x v="2"/>
    <s v="/"/>
    <s v="/"/>
    <x v="0"/>
    <s v="/"/>
    <s v="/"/>
    <x v="30"/>
    <s v="/"/>
  </r>
  <r>
    <m/>
    <x v="0"/>
    <s v="ea72000b-5ebc-4de5-af34-da156f78fbef"/>
    <s v="completed"/>
    <x v="3"/>
    <s v="2022-10-16T08:09:20.692000+00:00"/>
    <n v="2"/>
    <n v="2"/>
    <n v="1"/>
    <x v="4"/>
    <x v="0"/>
    <s v="43"/>
    <m/>
    <x v="2"/>
    <x v="2"/>
    <s v="/"/>
    <s v="/"/>
    <x v="0"/>
    <s v="/"/>
    <s v="/"/>
    <x v="30"/>
    <s v="/"/>
  </r>
  <r>
    <m/>
    <x v="2"/>
    <s v="58e909ee-c262-482a-8ce2-082e78094526"/>
    <s v="completed"/>
    <x v="3"/>
    <s v="2022-10-16T09:02:07.293000+00:00"/>
    <n v="3"/>
    <n v="3"/>
    <n v="1"/>
    <x v="4"/>
    <x v="2"/>
    <s v="43"/>
    <m/>
    <x v="2"/>
    <x v="2"/>
    <s v="/"/>
    <s v="/"/>
    <x v="0"/>
    <s v="/"/>
    <s v="/"/>
    <x v="30"/>
    <s v="/"/>
  </r>
  <r>
    <s v="1ec79e63-9686-4adc-b045-f400ee2d4267"/>
    <x v="2"/>
    <s v="7eb097a4-1dce-4744-8c62-d3687e8c0968"/>
    <s v="failed"/>
    <x v="0"/>
    <s v="2022-10-16T19:52:07.792000+00:00"/>
    <n v="141"/>
    <n v="23"/>
    <n v="0.16312056737588654"/>
    <x v="65"/>
    <x v="2"/>
    <s v="43"/>
    <s v="URL"/>
    <x v="14"/>
    <x v="14"/>
    <s v="Robot rijdt richting gangpad, 4m voor het einde gaat hij in error. Normale condities"/>
    <m/>
    <x v="0"/>
    <s v="Er lijkt weer 1 meting net te laat zijn binnengekomen. het valt ook op dat EOL wall ameestal vrij bedenkelijk is"/>
    <m/>
    <x v="30"/>
    <n v="1"/>
  </r>
  <r>
    <s v="b78cb23d-1555-4473-ad6f-7edc8ae101c8"/>
    <x v="0"/>
    <s v="9469e056-a953-4cda-9cb3-b16d85beab54"/>
    <s v="failed"/>
    <x v="7"/>
    <s v="2022-10-17T03:23:37.192000+00:00"/>
    <n v="208"/>
    <n v="148"/>
    <n v="0.71153846153846156"/>
    <x v="66"/>
    <x v="0"/>
    <s v="43"/>
    <s v="URL"/>
    <x v="5"/>
    <x v="5"/>
    <s v="Robot rijdt 2m in en uit lane (reflecterende muur), doet laneswitch en botst ah einde tegen powerBEE"/>
    <s v="/"/>
    <x v="0"/>
    <s v="/"/>
    <s v="/"/>
    <x v="31"/>
    <n v="3.2"/>
  </r>
  <r>
    <s v="7092be2d-b1da-47a8-ab63-889a7926f68f"/>
    <x v="2"/>
    <s v="7eb097a4-1dce-4744-8c62-d3687e8c0968"/>
    <s v="failed"/>
    <x v="15"/>
    <s v="2022-10-17T05:03:14.328000+00:00"/>
    <n v="141"/>
    <n v="24"/>
    <n v="0.1702127659574468"/>
    <x v="65"/>
    <x v="2"/>
    <s v="43"/>
    <s v="URL"/>
    <x v="14"/>
    <x v="14"/>
    <s v="Robot rijdt richting gangpad, 4m voor het einde gaat hij in error. Normale condities"/>
    <m/>
    <x v="0"/>
    <s v="geen metingen. Te vroeg aan en terug uit gezet ? ja"/>
    <m/>
    <x v="31"/>
    <n v="1"/>
  </r>
  <r>
    <s v="330a3273-6b0c-4f49-8ea1-79ed10f24da5"/>
    <x v="0"/>
    <s v="ff9effd2-dd9b-43a7-b5bd-9b4ea89d818b"/>
    <s v="failed"/>
    <x v="1"/>
    <s v="2022-10-17T05:04:57.242000+00:00"/>
    <n v="60"/>
    <n v="0"/>
    <n v="0"/>
    <x v="66"/>
    <x v="0"/>
    <s v="43"/>
    <s v="URL"/>
    <x v="1"/>
    <x v="1"/>
    <s v="Operator staat bij de robot, robot start missie, rijdt 4m op de rails en gaat in error. Niet duidelijk of robot volledig op gangpad stond"/>
    <m/>
    <x v="0"/>
    <s v="timestamp van inductieve signaal komt een stuk voor de error binnen. Heel waarschijnlijk dat de robot is klaargezet met de inductieve al op de rail"/>
    <m/>
    <x v="31"/>
    <n v="4"/>
  </r>
  <r>
    <m/>
    <x v="3"/>
    <s v="7f1d31ee-08c1-4910-b834-1d038d4427e7"/>
    <s v="stopped"/>
    <x v="3"/>
    <s v="2022-10-17T18:30:38.304000+00:00"/>
    <n v="102"/>
    <n v="0"/>
    <n v="0"/>
    <x v="4"/>
    <x v="3"/>
    <s v="48"/>
    <m/>
    <x v="2"/>
    <x v="2"/>
    <s v="/"/>
    <s v="/"/>
    <x v="0"/>
    <s v="/"/>
    <s v="/"/>
    <x v="31"/>
    <m/>
  </r>
  <r>
    <s v="a33422de-387c-4c8a-a073-1ff9c6d351a8"/>
    <x v="3"/>
    <s v="675b5275-1a90-4a30-8ba7-96c1e7fa0bfd"/>
    <s v="failed"/>
    <x v="2"/>
    <s v="2022-10-17T18:45:46.547000+00:00"/>
    <n v="102"/>
    <n v="4"/>
    <n v="3.9215686274509803E-2"/>
    <x v="67"/>
    <x v="3"/>
    <s v="48"/>
    <s v="URL"/>
    <x v="4"/>
    <x v="4"/>
    <s v="Robot doet laneswtich, 1 retry, lijkt goed te staan om verder te rijden op rails maar 'botst' tegen de rails en gaat in error"/>
    <n v="20221024"/>
    <x v="0"/>
    <s v="Bedenkelijke metingen. Verkeerde visie parameters, misschien ook calibratie herbekijken?_x000a__x000a_Secondary xtheta regio invoeren!"/>
    <m/>
    <x v="31"/>
    <n v="0"/>
  </r>
  <r>
    <m/>
    <x v="2"/>
    <s v="e5df05bc-5b91-4f35-baa1-d66a04e28287"/>
    <s v="completed"/>
    <x v="3"/>
    <s v="2022-10-18T02:17:11.824000+00:00"/>
    <n v="139"/>
    <n v="139"/>
    <n v="1"/>
    <x v="4"/>
    <x v="2"/>
    <s v="43"/>
    <m/>
    <x v="2"/>
    <x v="2"/>
    <s v="/"/>
    <s v="/"/>
    <x v="0"/>
    <s v="/"/>
    <s v="/"/>
    <x v="32"/>
    <s v="/"/>
  </r>
  <r>
    <m/>
    <x v="0"/>
    <s v="05c3f48e-f8b4-45a2-a647-00802c4044e2"/>
    <s v="completed"/>
    <x v="3"/>
    <s v="2022-10-18T06:23:33.702000+00:00"/>
    <n v="191"/>
    <n v="191"/>
    <n v="1"/>
    <x v="4"/>
    <x v="0"/>
    <s v="43"/>
    <m/>
    <x v="2"/>
    <x v="2"/>
    <s v="/"/>
    <s v="/"/>
    <x v="0"/>
    <s v="/"/>
    <s v="/"/>
    <x v="32"/>
    <m/>
  </r>
  <r>
    <s v="b3b05081-ebd8-457c-81f1-8f52bd38a006"/>
    <x v="3"/>
    <s v="7339a748-d0a7-40a9-b7ca-d2f1695dc5bd"/>
    <s v="failed"/>
    <x v="2"/>
    <s v="2022-10-19T20:00:31.234000+00:00"/>
    <n v="102"/>
    <n v="26"/>
    <n v="0.25490196078431371"/>
    <x v="68"/>
    <x v="3"/>
    <s v="48"/>
    <s v="URL"/>
    <x v="3"/>
    <x v="3"/>
    <s v="Robot rijdt richting einde van de lane, lijkt niet te reageren op visie metingen en gaat in error. Op het einde staan regentonnen."/>
    <n v="20221024"/>
    <x v="0"/>
    <s v="Er is 1 meting die ook wordt meegenomen, daarna niets meer. Problemen met glanzende ton ? Ton is rond en dus geen metingen. Op het einde wel enkele metingen."/>
    <s v="Pixel count op 15 voor EOL wall"/>
    <x v="33"/>
    <n v="0"/>
  </r>
  <r>
    <s v="e0d13d3c-ec62-40f1-94b8-a108c28ef435"/>
    <x v="2"/>
    <s v="23fc0f28-2eb7-43ee-ab3f-65cd4b7be91e"/>
    <s v="failed"/>
    <x v="15"/>
    <s v="2022-10-19T20:04:18.708000+00:00"/>
    <n v="122"/>
    <n v="30"/>
    <n v="0.24590163934426229"/>
    <x v="69"/>
    <x v="4"/>
    <s v="43"/>
    <s v="URL"/>
    <x v="14"/>
    <x v="14"/>
    <s v="Robot rijdt richting gangpad, ongeveer 4m voor het einde gaat hij in error. Normale condities, met emmer aan de goot links van de robot."/>
    <n v="20221024"/>
    <x v="0"/>
    <s v="Geen perfecte EOL wall convergentie. Ongeveer 20cm fout. Zou geen probleem mogen zijn aan open kant. geen metingen gemaakt;"/>
    <s v="start_eol_open=0.5 (ipv 2.0).       NIET robot 024"/>
    <x v="33"/>
    <n v="1"/>
  </r>
  <r>
    <m/>
    <x v="1"/>
    <s v="a8f6fc74-4c8a-4a85-8263-c3c4db4b9b15"/>
    <s v="completed"/>
    <x v="3"/>
    <s v="2022-10-20T00:17:45.827000+00:00"/>
    <n v="101"/>
    <n v="101"/>
    <n v="1"/>
    <x v="4"/>
    <x v="1"/>
    <s v="48"/>
    <m/>
    <x v="2"/>
    <x v="2"/>
    <s v="/"/>
    <s v="/"/>
    <x v="0"/>
    <s v="/"/>
    <s v="/"/>
    <x v="34"/>
    <m/>
  </r>
  <r>
    <m/>
    <x v="0"/>
    <s v="9b07722e-f6e8-4966-8dde-5bf39e62e1b9"/>
    <s v="completed"/>
    <x v="3"/>
    <s v="2022-10-20T04:47:55.310000+00:00"/>
    <n v="140"/>
    <n v="140"/>
    <n v="1"/>
    <x v="4"/>
    <x v="2"/>
    <s v="43"/>
    <m/>
    <x v="2"/>
    <x v="2"/>
    <s v="/"/>
    <s v="/"/>
    <x v="0"/>
    <s v="/"/>
    <s v="/"/>
    <x v="34"/>
    <m/>
  </r>
  <r>
    <m/>
    <x v="4"/>
    <s v="0134f289-1bef-4453-a781-1190ee89629e"/>
    <s v="failed"/>
    <x v="0"/>
    <s v="2022-10-20T11:50:44.510000+00:00"/>
    <n v="40"/>
    <n v="1"/>
    <n v="2.5000000000000001E-2"/>
    <x v="70"/>
    <x v="5"/>
    <s v="14"/>
    <m/>
    <x v="16"/>
    <x v="16"/>
    <m/>
    <m/>
    <x v="0"/>
    <m/>
    <m/>
    <x v="34"/>
    <m/>
  </r>
  <r>
    <m/>
    <x v="4"/>
    <s v="0134f289-1bef-4453-a781-1190ee89629e"/>
    <s v="failed"/>
    <x v="18"/>
    <s v="2022-10-20T12:00:38.314000+00:00"/>
    <n v="40"/>
    <n v="4"/>
    <n v="0.1"/>
    <x v="71"/>
    <x v="5"/>
    <s v="14"/>
    <m/>
    <x v="8"/>
    <x v="8"/>
    <m/>
    <m/>
    <x v="0"/>
    <m/>
    <m/>
    <x v="34"/>
    <m/>
  </r>
  <r>
    <m/>
    <x v="4"/>
    <s v="80ea2ee3-4f64-47e0-a529-8431a3054236"/>
    <s v="stopped"/>
    <x v="3"/>
    <s v="2022-10-20T12:13:02.769000+00:00"/>
    <n v="37"/>
    <n v="0"/>
    <n v="0"/>
    <x v="4"/>
    <x v="5"/>
    <s v="14"/>
    <m/>
    <x v="2"/>
    <x v="2"/>
    <m/>
    <m/>
    <x v="0"/>
    <m/>
    <m/>
    <x v="34"/>
    <m/>
  </r>
  <r>
    <s v="292ab302-a28c-450c-a81e-b9150511c384"/>
    <x v="4"/>
    <s v="fd927407-10fa-41f2-8935-6a0a2f812689"/>
    <s v="failed"/>
    <x v="0"/>
    <s v="2022-10-20T12:35:01.053000+00:00"/>
    <n v="61"/>
    <n v="1"/>
    <n v="1.6393442622950821E-2"/>
    <x v="72"/>
    <x v="5"/>
    <s v="14"/>
    <s v="URL"/>
    <x v="3"/>
    <x v="3"/>
    <m/>
    <m/>
    <x v="0"/>
    <m/>
    <m/>
    <x v="34"/>
    <m/>
  </r>
  <r>
    <m/>
    <x v="4"/>
    <s v="fd927407-10fa-41f2-8935-6a0a2f812689"/>
    <s v="failed"/>
    <x v="0"/>
    <s v="2022-10-20T13:48:53.736000+00:00"/>
    <n v="61"/>
    <n v="0"/>
    <n v="0"/>
    <x v="72"/>
    <x v="5"/>
    <s v="14"/>
    <m/>
    <x v="3"/>
    <x v="3"/>
    <m/>
    <m/>
    <x v="0"/>
    <m/>
    <m/>
    <x v="34"/>
    <m/>
  </r>
  <r>
    <m/>
    <x v="4"/>
    <s v="fd927407-10fa-41f2-8935-6a0a2f812689"/>
    <s v="failed"/>
    <x v="0"/>
    <s v="2022-10-20T13:48:53.736000+00:00"/>
    <n v="61"/>
    <n v="24"/>
    <n v="0.39344262295081966"/>
    <x v="71"/>
    <x v="5"/>
    <s v="14"/>
    <m/>
    <x v="16"/>
    <x v="16"/>
    <m/>
    <m/>
    <x v="0"/>
    <m/>
    <m/>
    <x v="34"/>
    <m/>
  </r>
  <r>
    <m/>
    <x v="4"/>
    <s v="fd927407-10fa-41f2-8935-6a0a2f812689"/>
    <s v="failed"/>
    <x v="18"/>
    <s v="2022-10-20T13:48:53.736000+00:00"/>
    <n v="61"/>
    <n v="25"/>
    <n v="0.4098360655737705"/>
    <x v="71"/>
    <x v="5"/>
    <s v="14"/>
    <m/>
    <x v="16"/>
    <x v="16"/>
    <m/>
    <m/>
    <x v="0"/>
    <m/>
    <m/>
    <x v="34"/>
    <m/>
  </r>
  <r>
    <m/>
    <x v="4"/>
    <s v="27fef58f-190d-4570-b5ae-9b0a3e2f4a7e"/>
    <s v="stopped"/>
    <x v="3"/>
    <s v="2022-10-20T13:58:54.439000+00:00"/>
    <n v="57"/>
    <n v="2"/>
    <n v="3.5087719298245612E-2"/>
    <x v="4"/>
    <x v="5"/>
    <s v="14"/>
    <m/>
    <x v="2"/>
    <x v="2"/>
    <m/>
    <m/>
    <x v="0"/>
    <m/>
    <m/>
    <x v="34"/>
    <m/>
  </r>
  <r>
    <m/>
    <x v="4"/>
    <s v="e24bd7ff-4c2e-49d0-a62e-42cba1db2a58"/>
    <m/>
    <x v="3"/>
    <s v="2022-10-20T14:08:05.280000+00:00"/>
    <n v="2"/>
    <n v="2"/>
    <n v="1"/>
    <x v="4"/>
    <x v="5"/>
    <s v="14"/>
    <m/>
    <x v="2"/>
    <x v="2"/>
    <m/>
    <m/>
    <x v="0"/>
    <m/>
    <m/>
    <x v="34"/>
    <m/>
  </r>
  <r>
    <s v="cd1ea189-7590-4acd-a8cc-d278f5654a0a"/>
    <x v="4"/>
    <s v="b6fa36f4-13d6-4839-8c61-e984c34c5a41"/>
    <s v="failed"/>
    <x v="0"/>
    <s v="2022-10-20T15:39:03.585000+00:00"/>
    <n v="99"/>
    <n v="24"/>
    <n v="0.24242424242424243"/>
    <x v="73"/>
    <x v="5"/>
    <s v="14"/>
    <s v="URL"/>
    <x v="3"/>
    <x v="3"/>
    <m/>
    <m/>
    <x v="0"/>
    <m/>
    <m/>
    <x v="34"/>
    <m/>
  </r>
  <r>
    <m/>
    <x v="4"/>
    <s v="b6fa36f4-13d6-4839-8c61-e984c34c5a41"/>
    <s v="failed"/>
    <x v="0"/>
    <s v="2022-10-20T15:51:58.032000+00:00"/>
    <n v="99"/>
    <n v="26"/>
    <n v="0.26262626262626265"/>
    <x v="74"/>
    <x v="5"/>
    <s v="14"/>
    <m/>
    <x v="3"/>
    <x v="3"/>
    <m/>
    <m/>
    <x v="0"/>
    <m/>
    <m/>
    <x v="34"/>
    <m/>
  </r>
  <r>
    <m/>
    <x v="4"/>
    <s v="b6fa36f4-13d6-4839-8c61-e984c34c5a41"/>
    <s v="failed"/>
    <x v="18"/>
    <s v="2022-10-20T16:00:11.762000+00:00"/>
    <n v="99"/>
    <n v="27"/>
    <n v="0.27272727272727271"/>
    <x v="75"/>
    <x v="5"/>
    <s v="14"/>
    <m/>
    <x v="3"/>
    <x v="3"/>
    <m/>
    <m/>
    <x v="0"/>
    <m/>
    <m/>
    <x v="34"/>
    <m/>
  </r>
  <r>
    <s v="06a3d90d-0533-4761-884a-cd9b1f6ad923"/>
    <x v="2"/>
    <s v="58bc63e2-2b34-449b-b137-7ed2af600a82"/>
    <s v="failed"/>
    <x v="9"/>
    <s v="2022-10-20T16:13:30.416000+00:00"/>
    <n v="72"/>
    <n v="2"/>
    <n v="2.7777777777777776E-2"/>
    <x v="76"/>
    <x v="4"/>
    <s v="43"/>
    <s v="URL"/>
    <x v="6"/>
    <x v="6"/>
    <s v="Robot rijdt richting einde lane, reageert op visiemetingen maar blijft lang doorrijden. Vermoedelijk bumper getriggered door infrastructuur. Normale condities"/>
    <n v="20221024"/>
    <x v="0"/>
    <s v="Geen perfecte convergentie in EOL wall, maar ook niet dramatisch ... Zou normaal niet tegen de muur mogen zijn gereden._x000a__x000a_Fout id kaart? deze specifieke lane iets korter tekenen"/>
    <m/>
    <x v="34"/>
    <n v="6"/>
  </r>
  <r>
    <m/>
    <x v="4"/>
    <s v="63ed5f44-4dfe-4949-bd4c-11022a7ac373"/>
    <s v="stopped"/>
    <x v="3"/>
    <s v="2022-10-20T19:34:02.505000+00:00"/>
    <n v="72"/>
    <n v="48"/>
    <n v="0.66666666666666663"/>
    <x v="4"/>
    <x v="5"/>
    <s v="14"/>
    <m/>
    <x v="2"/>
    <x v="2"/>
    <m/>
    <m/>
    <x v="0"/>
    <m/>
    <m/>
    <x v="34"/>
    <m/>
  </r>
  <r>
    <m/>
    <x v="4"/>
    <s v="03577b40-4659-4ca3-a6df-2905c5108ce6"/>
    <s v="completed"/>
    <x v="3"/>
    <s v="2022-10-20T23:55:27.589000+00:00"/>
    <n v="77"/>
    <n v="77"/>
    <n v="1"/>
    <x v="4"/>
    <x v="5"/>
    <s v="14"/>
    <m/>
    <x v="2"/>
    <x v="2"/>
    <m/>
    <m/>
    <x v="0"/>
    <m/>
    <m/>
    <x v="34"/>
    <m/>
  </r>
  <r>
    <m/>
    <x v="0"/>
    <s v="a7027c69-f680-4888-a1f6-f848b182e898"/>
    <s v="completed"/>
    <x v="3"/>
    <s v="2022-10-21T01:26:51.313000+00:00"/>
    <n v="137"/>
    <n v="137"/>
    <n v="1"/>
    <x v="4"/>
    <x v="0"/>
    <s v="43"/>
    <m/>
    <x v="2"/>
    <x v="2"/>
    <s v="/"/>
    <s v="/"/>
    <x v="0"/>
    <s v="/"/>
    <s v="/"/>
    <x v="35"/>
    <s v="/"/>
  </r>
  <r>
    <m/>
    <x v="4"/>
    <s v="8b3732cf-9a30-40de-8b3e-d61d6ca9271d"/>
    <m/>
    <x v="3"/>
    <s v="2022-10-21T07:57:34.530000+00:00"/>
    <n v="2"/>
    <n v="2"/>
    <n v="1"/>
    <x v="4"/>
    <x v="5"/>
    <s v="14"/>
    <m/>
    <x v="2"/>
    <x v="2"/>
    <m/>
    <m/>
    <x v="0"/>
    <m/>
    <m/>
    <x v="35"/>
    <m/>
  </r>
  <r>
    <m/>
    <x v="4"/>
    <s v="6aab5cb1-c251-4f24-ae66-3198e75e308d"/>
    <m/>
    <x v="3"/>
    <s v="2022-10-21T08:02:20.524000+00:00"/>
    <n v="1"/>
    <n v="1"/>
    <n v="1"/>
    <x v="4"/>
    <x v="5"/>
    <s v="14"/>
    <m/>
    <x v="2"/>
    <x v="2"/>
    <m/>
    <m/>
    <x v="0"/>
    <m/>
    <m/>
    <x v="35"/>
    <m/>
  </r>
  <r>
    <m/>
    <x v="4"/>
    <s v="0577d958-bc63-4ddf-aa3a-2e51bab17a0d"/>
    <m/>
    <x v="3"/>
    <s v="2022-10-21T08:22:19.141000+00:00"/>
    <n v="2"/>
    <n v="2"/>
    <n v="1"/>
    <x v="4"/>
    <x v="5"/>
    <s v="14"/>
    <m/>
    <x v="2"/>
    <x v="2"/>
    <m/>
    <m/>
    <x v="0"/>
    <m/>
    <m/>
    <x v="35"/>
    <m/>
  </r>
  <r>
    <s v="51e2316d-446c-42c4-a4b0-9f044ad59a27"/>
    <x v="1"/>
    <s v="2eb09fcd-1632-4678-88f5-0af050852d95"/>
    <s v="failed"/>
    <x v="0"/>
    <s v="2022-10-21T20:58:12.420000+00:00"/>
    <n v="103"/>
    <n v="15"/>
    <n v="0.14563106796116504"/>
    <x v="41"/>
    <x v="1"/>
    <s v="48"/>
    <s v="URL"/>
    <x v="4"/>
    <x v="4"/>
    <s v="Robot doet laneswitch, 1 retry, lijkt goed te staan, wil verder rijden maar 'botst' tegen kop van de rails. DB time: 21u48"/>
    <n v="20221026"/>
    <x v="0"/>
    <s v="xtheta metingen lijken beetje raar tijdens retry, maar niet erg dramatisch. Wel insconsistentie ontdekt. Wittenberg kaart 43 heeft secondarty xtheta regions. Andere wittenberg kaart en dyson lijken dit niet te hebben."/>
    <m/>
    <x v="35"/>
    <n v="1"/>
  </r>
  <r>
    <s v="a5f30d44-33eb-462a-905f-c9d48d09b403"/>
    <x v="1"/>
    <s v="2eb09fcd-1632-4678-88f5-0af050852d95"/>
    <s v="failed"/>
    <x v="0"/>
    <s v="2022-10-21T20:58:46.805000+00:00"/>
    <n v="103"/>
    <n v="14"/>
    <n v="0.13592233009708737"/>
    <x v="41"/>
    <x v="1"/>
    <s v="48"/>
    <s v="URL"/>
    <x v="4"/>
    <x v="4"/>
    <s v="MINUUT -1 om logischer in lijst te staan. Operator programmeert (met hond) de robot, wanneer die wil vertrekken 'botst' hij onmiddelijk tegen de rails en gaat in error. DB tim: 22u58"/>
    <m/>
    <x v="0"/>
    <m/>
    <m/>
    <x v="35"/>
    <n v="1"/>
  </r>
  <r>
    <s v="066fee2c-658c-475e-a0a6-d356ffdd55c0"/>
    <x v="1"/>
    <s v="2eb09fcd-1632-4678-88f5-0af050852d95"/>
    <s v="failed"/>
    <x v="2"/>
    <s v="2022-10-21T20:59:46.736000+00:00"/>
    <n v="103"/>
    <n v="16"/>
    <n v="0.1553398058252427"/>
    <x v="41"/>
    <x v="1"/>
    <s v="48"/>
    <s v="URL"/>
    <x v="4"/>
    <x v="4"/>
    <s v="Operator rijdt robot manueel stukje terug naar voren, programmeert robot, wanneer deze wil vertrekken 'botst' hij weer tegen de rails. DB time: 23u00"/>
    <m/>
    <x v="0"/>
    <m/>
    <m/>
    <x v="35"/>
    <n v="1"/>
  </r>
  <r>
    <s v="9f28d37d-ba36-428a-a346-863fc3cc3a0f"/>
    <x v="3"/>
    <s v="892c995f-5aa6-4400-8678-5e035c0721a5"/>
    <s v="failed"/>
    <x v="2"/>
    <s v="2022-10-21T21:54:12.844000+00:00"/>
    <n v="101"/>
    <n v="49"/>
    <n v="0.48514851485148514"/>
    <x v="77"/>
    <x v="1"/>
    <s v="48"/>
    <s v="URL"/>
    <x v="1"/>
    <x v="1"/>
    <s v="Robot rijdt lane uit, maar schiet plots met hoge snelheid vooruit en steekt bijna hele gangpad over. EOL open foute metingen (punten van overzijde)?"/>
    <n v="20221024"/>
    <x v="0"/>
    <s v="Metingen verspringen plots 1m. Mogelijk door fel kunstlicht. Spookpixels"/>
    <m/>
    <x v="35"/>
    <n v="2"/>
  </r>
  <r>
    <m/>
    <x v="1"/>
    <s v="2eb09fcd-1632-4678-88f5-0af050852d95"/>
    <s v="completed"/>
    <x v="3"/>
    <s v="2022-10-22T02:08:45.363000+00:00"/>
    <n v="104"/>
    <n v="101"/>
    <n v="0.97115384615384615"/>
    <x v="4"/>
    <x v="1"/>
    <s v="48"/>
    <m/>
    <x v="2"/>
    <x v="2"/>
    <m/>
    <m/>
    <x v="0"/>
    <m/>
    <m/>
    <x v="36"/>
    <m/>
  </r>
  <r>
    <m/>
    <x v="2"/>
    <s v="d5e4c7f7-edb0-4d0e-a5ad-ece6fa5c6428"/>
    <s v="stopped"/>
    <x v="3"/>
    <s v="2022-10-22T16:26:59.100000+00:00"/>
    <n v="140"/>
    <n v="0"/>
    <n v="0"/>
    <x v="4"/>
    <x v="2"/>
    <s v="43"/>
    <m/>
    <x v="2"/>
    <x v="2"/>
    <s v="/"/>
    <s v="/"/>
    <x v="0"/>
    <s v="/"/>
    <s v="/"/>
    <x v="36"/>
    <s v="/"/>
  </r>
  <r>
    <s v="d1ebe2f9-7149-43ac-939b-4115ba06a77b"/>
    <x v="1"/>
    <s v="a4fb6611-b818-45fd-9589-0ac8084d0562"/>
    <s v="failed"/>
    <x v="2"/>
    <s v="2022-10-22T19:28:42.439000+00:00"/>
    <n v="102"/>
    <n v="8"/>
    <n v="7.8431372549019607E-2"/>
    <x v="51"/>
    <x v="3"/>
    <s v="48"/>
    <s v="URL"/>
    <x v="1"/>
    <x v="1"/>
    <s v="Robot rijdt lane uit, maar op moment dat voorwielen het gangpad op moeten rijden 'botst' de robot ergens tegen. Vermoedelijk is sideshift uitgeklapt aangezien geen kabel-geleiding zichtbaar is bij voorste camera's."/>
    <m/>
    <x v="0"/>
    <m/>
    <m/>
    <x v="36"/>
    <n v="3.1"/>
  </r>
  <r>
    <s v="a3341f36-ee94-428f-bc92-06499856a539"/>
    <x v="0"/>
    <s v="42c900de-a7bb-4b12-905f-619d93733d96"/>
    <s v="failed"/>
    <x v="9"/>
    <s v="2022-10-22T19:33:07.617000+00:00"/>
    <n v="136"/>
    <n v="44"/>
    <n v="0.3235294117647059"/>
    <x v="69"/>
    <x v="0"/>
    <s v="43"/>
    <s v="URL"/>
    <x v="6"/>
    <x v="6"/>
    <s v="Robot botst tijdens laneswitch tegen emmer, die waarschijnlijk klem geraakt met de rails en bumper triggert"/>
    <s v="/"/>
    <x v="0"/>
    <s v="/"/>
    <s v="/"/>
    <x v="36"/>
    <n v="3.2"/>
  </r>
  <r>
    <s v="f8f5c1c2-8486-4985-abdf-dab6a4e852d3"/>
    <x v="3"/>
    <s v="a242d2a1-bdb1-4fd7-a221-08c7f44433cb"/>
    <s v="failed"/>
    <x v="2"/>
    <s v="2022-10-22T19:36:31.651000+00:00"/>
    <n v="53"/>
    <n v="2"/>
    <n v="3.7735849056603772E-2"/>
    <x v="47"/>
    <x v="1"/>
    <s v="48"/>
    <s v="URL"/>
    <x v="1"/>
    <x v="1"/>
    <s v="(Slechts 1 camera achteraan) robot rijdt lane uit, zowel voor als achterwielen lijken op gangpad terecht te komen, maar misschien net te kort/te laat?"/>
    <m/>
    <x v="0"/>
    <s v="Komt inderdaad net te laat binnen. Bij het lichtjes uitbollen na het in error gaan komt uiteindelijke de inductieve binnen"/>
    <m/>
    <x v="36"/>
    <n v="1"/>
  </r>
  <r>
    <s v="3ab5794a-9506-4f7f-ab21-f5bfa1b9c90a"/>
    <x v="2"/>
    <s v="f405ab6d-d2c0-4dd2-b36c-4e023193ec3b"/>
    <s v="failed"/>
    <x v="9"/>
    <s v="2022-10-22T20:41:01.613000+00:00"/>
    <n v="140"/>
    <n v="46"/>
    <n v="0.32857142857142857"/>
    <x v="78"/>
    <x v="2"/>
    <s v="43"/>
    <s v="URL"/>
    <x v="6"/>
    <x v="6"/>
    <s v="Robot botst in gangpad tegen 024, die in error staat"/>
    <s v="/"/>
    <x v="0"/>
    <s v="/"/>
    <s v="/"/>
    <x v="36"/>
    <n v="3.2"/>
  </r>
  <r>
    <m/>
    <x v="0"/>
    <s v="00528254-b30c-4976-993c-b4b5580864de"/>
    <s v="stopped"/>
    <x v="3"/>
    <s v="2022-10-23T07:42:22.056000+00:00"/>
    <n v="58"/>
    <n v="35"/>
    <n v="0.60344827586206895"/>
    <x v="4"/>
    <x v="0"/>
    <s v="43"/>
    <m/>
    <x v="2"/>
    <x v="2"/>
    <s v="/"/>
    <s v="/"/>
    <x v="0"/>
    <s v="/"/>
    <s v="/"/>
    <x v="37"/>
    <s v="/"/>
  </r>
  <r>
    <m/>
    <x v="2"/>
    <s v="2aca7e91-037d-4d7e-b642-240bec0f0394"/>
    <s v="completed"/>
    <x v="3"/>
    <s v="2022-10-23T11:49:00.623000+00:00"/>
    <n v="94"/>
    <n v="94"/>
    <n v="1"/>
    <x v="4"/>
    <x v="2"/>
    <s v="43"/>
    <m/>
    <x v="2"/>
    <x v="2"/>
    <s v="/"/>
    <s v="/"/>
    <x v="0"/>
    <s v="/"/>
    <s v="/"/>
    <x v="37"/>
    <s v="/"/>
  </r>
  <r>
    <s v="a9f110cc-5445-4dbe-86a6-6354f27de516"/>
    <x v="0"/>
    <s v="f6e546ca-4dbd-40b6-a9f4-44821fc804a3"/>
    <s v="failed"/>
    <x v="10"/>
    <s v="2022-10-23T20:39:20.438000+00:00"/>
    <n v="89"/>
    <n v="68"/>
    <n v="0.7640449438202247"/>
    <x v="79"/>
    <x v="0"/>
    <s v="43"/>
    <s v="URL"/>
    <x v="8"/>
    <x v="8"/>
    <s v="Robot botst tegen ketting van swingsysteem, zowel ah eidne van laneswitch als wanneer hij in de rij wil rijden (tussendoor 1 retry). Wel vreemd: een seconde eerder had robot 0x0104001 (diverged too far...) getriggered..."/>
    <m/>
    <x v="0"/>
    <s v="race conditie in errors =&gt; opgelost bij sw 5.3"/>
    <m/>
    <x v="37"/>
    <n v="3.1"/>
  </r>
  <r>
    <s v="9e49965d-995d-4b1b-9944-5f34ce6b2152"/>
    <x v="2"/>
    <s v="29eff969-d82d-48b3-b6d8-b9fceb2a125c"/>
    <s v="failed"/>
    <x v="9"/>
    <s v="2022-10-24T01:40:58.465000+00:00"/>
    <n v="139"/>
    <n v="137"/>
    <n v="0.98561151079136688"/>
    <x v="80"/>
    <x v="4"/>
    <s v="43"/>
    <s v="URL"/>
    <x v="6"/>
    <x v="6"/>
    <s v="Robot botst tijdens laneswitch tegen 024 die in error staat"/>
    <s v="/"/>
    <x v="0"/>
    <s v="/"/>
    <s v="/"/>
    <x v="38"/>
    <n v="3.2"/>
  </r>
  <r>
    <s v="330703f6-266d-4806-9966-d681806e1219"/>
    <x v="3"/>
    <s v="cc6ab46e-75a9-419a-b4b9-2aa3946d94c3"/>
    <s v="failed"/>
    <x v="2"/>
    <s v="2022-10-24T21:35:09.029000+00:00"/>
    <n v="102"/>
    <n v="53"/>
    <n v="0.51960784313725494"/>
    <x v="81"/>
    <x v="3"/>
    <s v="48"/>
    <s v="URL"/>
    <x v="6"/>
    <x v="6"/>
    <s v="Robot rijdt richting wall, remt rustig af, gaat in error. Normale condities"/>
    <s v="OAG1XENLUM2204029.docx"/>
    <x v="0"/>
    <s v="De EOL wall is super clean. Het is niet duidelijk waar de robot net tegen rijdt omdat je het niet echt kan zien. Vermoedelijk tegen de metalen &quot;stop&quot; op de linker rail, maar het zou ook nog de dunne metalen buis kunnen zijn die aan de rail is bevestigd. Mogelijke oplossing is de afstand tussen muur en lane vergroten in inkscape"/>
    <m/>
    <x v="38"/>
    <n v="6"/>
  </r>
  <r>
    <s v="bfe5bbfa-92fe-4fe6-97e3-f3c28df675d3"/>
    <x v="1"/>
    <s v="d44500fb-c01a-4706-a378-12903325fed5"/>
    <s v="failed"/>
    <x v="0"/>
    <s v="2022-10-24T22:04:13.234000+00:00"/>
    <n v="78"/>
    <n v="26"/>
    <n v="0.33333333333333331"/>
    <x v="47"/>
    <x v="1"/>
    <s v="48"/>
    <s v="URL"/>
    <x v="1"/>
    <x v="1"/>
    <s v="Robot rijdt richting gangpad, komt beton op, maar lijkt met achterwielen te blijven haken achter betonrand. Normale condities"/>
    <s v="OAG1XENLUM2204032.docx"/>
    <x v="0"/>
    <s v="robot rijdt niet ver genoeg. Verhoog eol_open_offset"/>
    <m/>
    <x v="38"/>
    <n v="0"/>
  </r>
  <r>
    <s v="bbaf1ea5-cc86-43a9-87a2-27a691efc0c8"/>
    <x v="1"/>
    <s v="d44500fb-c01a-4706-a378-12903325fed5"/>
    <s v="failed"/>
    <x v="0"/>
    <s v="2022-10-24T22:04:13.234000+00:00"/>
    <n v="78"/>
    <n v="27"/>
    <n v="0.34615384615384615"/>
    <x v="47"/>
    <x v="1"/>
    <s v="48"/>
    <s v="URL"/>
    <x v="1"/>
    <x v="1"/>
    <s v="Operator stelt robot in, begint te rijden, gaat na 2m in error. Vermoedelijk nog op de rails met inductieve."/>
    <m/>
    <x v="0"/>
    <s v="operator fout"/>
    <m/>
    <x v="38"/>
    <n v="4"/>
  </r>
  <r>
    <s v="0ec1d96f-4686-4d7e-ae24-612e2f3e2f34"/>
    <x v="1"/>
    <s v="d44500fb-c01a-4706-a378-12903325fed5"/>
    <s v="failed"/>
    <x v="0"/>
    <s v="2022-10-24T22:04:13.234000+00:00"/>
    <n v="78"/>
    <n v="28"/>
    <n v="0.35897435897435898"/>
    <x v="47"/>
    <x v="1"/>
    <s v="48"/>
    <s v="URL"/>
    <x v="1"/>
    <x v="1"/>
    <s v="Robot rijdt richting gangpad, komt beton op, maar lijkt met achterwielen te blijven haken achter betonrand. Normale condities"/>
    <s v="OAG1XENLUM2204032.docx"/>
    <x v="0"/>
    <s v="robot rijdt niet ver genoeg. Verhoog eol_open_offset"/>
    <m/>
    <x v="38"/>
    <n v="0"/>
  </r>
  <r>
    <s v="bd0147a7-3de0-4622-95b2-c990de39038a"/>
    <x v="1"/>
    <s v="d44500fb-c01a-4706-a378-12903325fed5"/>
    <s v="failed"/>
    <x v="2"/>
    <s v="2022-10-24T22:04:13.234000+00:00"/>
    <n v="78"/>
    <n v="53"/>
    <n v="0.67948717948717952"/>
    <x v="63"/>
    <x v="1"/>
    <s v="48"/>
    <s v="URL"/>
    <x v="1"/>
    <x v="1"/>
    <s v="Robot rijdt richting gangpad, komt beton op, maar lijkt met achterwielen te blijven haken achter betonrand; geraakt er toch over maar net te laat/te kort? Normale condities"/>
    <s v="OAG1XENLUM2204032.docx"/>
    <x v="0"/>
    <s v="robot rijdt niet ver genoeg. Verhoog eol_open_offset. Dit geval zou niet opgevangen worden door inductive recovery, inductieve flank komt net binnen tijdens uitbollen in error! Flank detectie doen in error toestand?"/>
    <m/>
    <x v="38"/>
    <n v="0"/>
  </r>
  <r>
    <m/>
    <x v="0"/>
    <s v="1ec49981-05f5-4791-a2f8-c534a819d819"/>
    <s v="completed"/>
    <x v="3"/>
    <s v="2022-10-25T01:25:32.393000+00:00"/>
    <n v="136"/>
    <n v="136"/>
    <n v="1"/>
    <x v="4"/>
    <x v="0"/>
    <s v="43"/>
    <m/>
    <x v="2"/>
    <x v="2"/>
    <s v="/"/>
    <s v="/"/>
    <x v="0"/>
    <s v="/"/>
    <s v="/"/>
    <x v="39"/>
    <s v="/"/>
  </r>
  <r>
    <m/>
    <x v="2"/>
    <s v="51070668-1e22-4675-9071-991e03e17417"/>
    <s v="completed"/>
    <x v="3"/>
    <s v="2022-10-25T02:27:22.510000+00:00"/>
    <n v="139"/>
    <n v="139"/>
    <n v="1"/>
    <x v="4"/>
    <x v="2"/>
    <s v="43"/>
    <m/>
    <x v="2"/>
    <x v="2"/>
    <s v="/"/>
    <s v="/"/>
    <x v="0"/>
    <s v="/"/>
    <s v="/"/>
    <x v="39"/>
    <s v="/"/>
  </r>
  <r>
    <m/>
    <x v="4"/>
    <s v="a5bf87c2-df76-4323-9e5c-c52a951fbce1"/>
    <s v="failed"/>
    <x v="0"/>
    <s v="2022-10-25T14:55:55.331000+00:00"/>
    <n v="58"/>
    <n v="0"/>
    <n v="0"/>
    <x v="82"/>
    <x v="5"/>
    <s v="14"/>
    <m/>
    <x v="7"/>
    <x v="7"/>
    <m/>
    <m/>
    <x v="0"/>
    <m/>
    <m/>
    <x v="39"/>
    <m/>
  </r>
  <r>
    <m/>
    <x v="4"/>
    <s v="a5bf87c2-df76-4323-9e5c-c52a951fbce1"/>
    <s v="failed"/>
    <x v="18"/>
    <s v="2022-10-25T14:59:22.016000+00:00"/>
    <n v="58"/>
    <n v="1"/>
    <n v="1.7241379310344827E-2"/>
    <x v="82"/>
    <x v="5"/>
    <s v="14"/>
    <m/>
    <x v="7"/>
    <x v="7"/>
    <m/>
    <m/>
    <x v="0"/>
    <m/>
    <m/>
    <x v="39"/>
    <m/>
  </r>
  <r>
    <m/>
    <x v="4"/>
    <s v="b0f0f8dc-74ca-4964-a930-8e42d03bf030"/>
    <s v="failed"/>
    <x v="18"/>
    <s v="2022-10-25T15:01:42.391000+00:00"/>
    <n v="104"/>
    <n v="0"/>
    <n v="0"/>
    <x v="83"/>
    <x v="5"/>
    <s v="14"/>
    <m/>
    <x v="17"/>
    <x v="17"/>
    <m/>
    <m/>
    <x v="0"/>
    <m/>
    <m/>
    <x v="39"/>
    <m/>
  </r>
  <r>
    <s v="c366891f-15df-4ef0-acbf-b578166b2179"/>
    <x v="4"/>
    <s v="71fa317c-24e1-48e1-a49d-832834ba28b0"/>
    <s v="failed"/>
    <x v="18"/>
    <s v="2022-10-25T15:13:27.266000+00:00"/>
    <n v="18"/>
    <n v="2"/>
    <n v="0.1111111111111111"/>
    <x v="84"/>
    <x v="5"/>
    <s v="14"/>
    <s v="URL"/>
    <x v="5"/>
    <x v="5"/>
    <m/>
    <m/>
    <x v="0"/>
    <m/>
    <m/>
    <x v="39"/>
    <m/>
  </r>
  <r>
    <m/>
    <x v="4"/>
    <s v="5bf8d7c7-2610-447b-9d1d-4ac6f60fdbf5"/>
    <s v="stopped"/>
    <x v="3"/>
    <s v="2022-10-25T16:01:44.732000+00:00"/>
    <n v="69"/>
    <n v="0"/>
    <n v="0"/>
    <x v="4"/>
    <x v="5"/>
    <s v="14"/>
    <m/>
    <x v="2"/>
    <x v="2"/>
    <m/>
    <m/>
    <x v="0"/>
    <m/>
    <m/>
    <x v="39"/>
    <m/>
  </r>
  <r>
    <s v="44a73250-2efc-4ebe-b6ae-d753fb3d72e5"/>
    <x v="4"/>
    <s v="3b888e16-3363-4b7b-85d6-acdf0403e2cf"/>
    <s v="failed"/>
    <x v="18"/>
    <s v="2022-10-25T16:52:02.769000+00:00"/>
    <n v="76"/>
    <n v="16"/>
    <n v="0.21052631578947367"/>
    <x v="85"/>
    <x v="5"/>
    <s v="14"/>
    <s v="URL"/>
    <x v="6"/>
    <x v="6"/>
    <m/>
    <m/>
    <x v="0"/>
    <m/>
    <m/>
    <x v="39"/>
    <m/>
  </r>
  <r>
    <m/>
    <x v="2"/>
    <s v="1642a9c9-a3dc-43fa-bbc3-d41efb0e8477"/>
    <m/>
    <x v="3"/>
    <s v="2022-10-25T17:05:49.382000+00:00"/>
    <n v="140"/>
    <n v="0"/>
    <n v="0"/>
    <x v="4"/>
    <x v="2"/>
    <s v="43"/>
    <m/>
    <x v="2"/>
    <x v="2"/>
    <s v="TIMING verkeerd! (1uur verschil tov volgende genomen)"/>
    <m/>
    <x v="0"/>
    <m/>
    <m/>
    <x v="39"/>
    <m/>
  </r>
  <r>
    <s v="30ef5f88-cb85-4e36-b6dc-52d9e5d9013c"/>
    <x v="0"/>
    <s v="43bbfaf2-4a18-4eea-8886-b8cc3cc2a051"/>
    <s v="failed"/>
    <x v="5"/>
    <s v="2022-10-25T17:30:16.838000+00:00"/>
    <n v="171"/>
    <n v="1"/>
    <n v="5.8479532163742687E-3"/>
    <x v="86"/>
    <x v="0"/>
    <s v="43"/>
    <s v="URL"/>
    <x v="0"/>
    <x v="0"/>
    <s v="Robot staat in wacht-toestand, gaat in error."/>
    <m/>
    <x v="0"/>
    <s v="No data received from all cams. Is the camera node running?"/>
    <s v="/"/>
    <x v="39"/>
    <n v="1"/>
  </r>
  <r>
    <s v="e99ad4d5-fdcf-4be6-9a5c-3518b5231464"/>
    <x v="2"/>
    <s v="d7beb962-3464-4cfa-aff3-8f9af4cff5d5"/>
    <s v="failed"/>
    <x v="4"/>
    <s v="2022-10-25T18:05:49.382000+00:00"/>
    <n v="140"/>
    <n v="23"/>
    <n v="0.16428571428571428"/>
    <x v="65"/>
    <x v="2"/>
    <s v="43"/>
    <s v="URL"/>
    <x v="3"/>
    <x v="3"/>
    <s v="Robot nadert wall, stopt +/-4m voor einde, gaat in error"/>
    <s v="OAG1XENLUM2204023.docx"/>
    <x v="0"/>
    <s v="Metingen komen net te laat binnen en zijn op de grens van de anomalie detectie. Mogelijke oplossingen: vergroot timeout en anomalie detectie een beetje, geen timeout en ga ervanuit dat je altijd wel metingen zal hebben (risky ?), gebruik een &quot;distance-out&quot; ipv time-out zodat je anomalie en timeout beter kunt afstemmen."/>
    <s v="timeout afhankelijk van snelheid. TODO: verander time-out naar distance-out. Tijdelijk: timeout verhogen zodat deze er niet meer toe doet. Evt anomaly detectie ook beetje hoger zetten"/>
    <x v="39"/>
    <n v="1"/>
  </r>
  <r>
    <m/>
    <x v="0"/>
    <s v="1a90c596-ea19-409c-8c74-968afc080608"/>
    <s v="failed"/>
    <x v="3"/>
    <s v="2022-10-26T04:48:02.142000+00:00"/>
    <n v="2"/>
    <n v="0"/>
    <n v="0"/>
    <x v="4"/>
    <x v="0"/>
    <s v="43"/>
    <m/>
    <x v="2"/>
    <x v="2"/>
    <s v="/"/>
    <s v="/"/>
    <x v="0"/>
    <s v="/"/>
    <s v="/"/>
    <x v="40"/>
    <s v="/"/>
  </r>
  <r>
    <s v="46f18c8b-3fdb-40a4-8869-83af0cdfd5df"/>
    <x v="0"/>
    <s v="9c671ae5-b7b8-49cd-93ea-0ff3fc773ae2"/>
    <s v="failed"/>
    <x v="1"/>
    <s v="2022-10-26T04:57:49.183000+00:00"/>
    <n v="11"/>
    <n v="0"/>
    <n v="0"/>
    <x v="86"/>
    <x v="0"/>
    <s v="43"/>
    <s v="URL"/>
    <x v="0"/>
    <x v="0"/>
    <s v="Operator rijdt voorbij robot, gaat in error."/>
    <m/>
    <x v="0"/>
    <s v="No data received from cams: "/>
    <m/>
    <x v="40"/>
    <n v="1"/>
  </r>
  <r>
    <s v="75e77b9b-d3c3-4502-8946-83d1e7bc49bb"/>
    <x v="0"/>
    <s v="b6b843dc-35fe-4890-820f-7b6dd2aab88e"/>
    <s v="failed"/>
    <x v="1"/>
    <s v="2022-10-26T05:01:25.417000+00:00"/>
    <n v="7"/>
    <n v="0"/>
    <n v="0"/>
    <x v="87"/>
    <x v="0"/>
    <s v="43"/>
    <s v="URL"/>
    <x v="0"/>
    <x v="0"/>
    <s v="Robot staat stil, gaat in error"/>
    <m/>
    <x v="0"/>
    <s v="No data received from cams: "/>
    <m/>
    <x v="40"/>
    <n v="1"/>
  </r>
  <r>
    <m/>
    <x v="2"/>
    <s v="e6120b46-ac58-468b-bab3-991aefd26ce9"/>
    <s v="completed"/>
    <x v="3"/>
    <s v="2022-10-26T05:17:35.075000+00:00"/>
    <n v="5"/>
    <n v="5"/>
    <n v="1"/>
    <x v="4"/>
    <x v="2"/>
    <s v="43"/>
    <m/>
    <x v="2"/>
    <x v="2"/>
    <s v="/"/>
    <s v="/"/>
    <x v="0"/>
    <s v="/"/>
    <s v="/"/>
    <x v="40"/>
    <s v="/"/>
  </r>
  <r>
    <s v="4620d037-462c-4779-a2bb-d808c075f27c"/>
    <x v="2"/>
    <s v="47bc4d62-c287-4db0-834e-5a59e76d2d28"/>
    <s v="failed"/>
    <x v="4"/>
    <s v="2022-10-26T16:30:11.771000+00:00"/>
    <n v="116"/>
    <n v="3"/>
    <n v="2.5862068965517241E-2"/>
    <x v="88"/>
    <x v="2"/>
    <s v="43"/>
    <s v="URL"/>
    <x v="3"/>
    <x v="3"/>
    <s v="Robot nadert wall, stopt +/-4m voor einde, gaat in error"/>
    <s v="20221028.docx"/>
    <x v="0"/>
    <s v="Metingen komen net te laat binnen en wijken ook net meer dan 3m af. Er is niet meteen bewijs voor significante slip, onduidelijk waarom geschatte positie zo slecht is._x000a__x000a_combinatie: EOL wall regio verder opschuiven (langer wachten voordat algoritme aanschakelt), visie van verder laten kijken, timeout vergroten (maar holt functionaliteit uit)"/>
    <m/>
    <x v="40"/>
    <n v="1"/>
  </r>
  <r>
    <m/>
    <x v="1"/>
    <s v="a6e5df20-daae-48e9-b4e6-5f48ff5bbcc3"/>
    <s v="failed"/>
    <x v="2"/>
    <s v="2022-10-26T19:52:15.496000+00:00"/>
    <n v="101"/>
    <n v="7"/>
    <n v="6.9306930693069313E-2"/>
    <x v="13"/>
    <x v="1"/>
    <s v="47"/>
    <m/>
    <x v="3"/>
    <x v="3"/>
    <s v="NO DATA"/>
    <m/>
    <x v="0"/>
    <m/>
    <m/>
    <x v="40"/>
    <n v="1"/>
  </r>
  <r>
    <s v="568fa25b-beb9-48bd-b790-36909bd67c63"/>
    <x v="3"/>
    <s v="0d4312a1-4433-4b35-b2c5-ce1e350e4c40"/>
    <s v="failed"/>
    <x v="2"/>
    <s v="2022-10-26T22:22:23.395000+00:00"/>
    <n v="101"/>
    <n v="49"/>
    <n v="0.48514851485148514"/>
    <x v="89"/>
    <x v="1"/>
    <s v="48"/>
    <s v="URL"/>
    <x v="1"/>
    <x v="1"/>
    <s v="Robot rijdt richting gangpad, schiet over beton, gaat in error. TL lamp schijnt in camera?"/>
    <s v="OAG1XENLUM2204029.docx"/>
    <x v="0"/>
    <s v="Klopt: mogelijke oplossingen: highaccuracy preset/filter,   inductive region groter zetten, dynamic anomaly detection, new EOL algorithm ?"/>
    <s v="Inductive sensor regio groter zetten (+anomaly checken). TODO: adaptive anomaly detection"/>
    <x v="40"/>
    <n v="2"/>
  </r>
  <r>
    <m/>
    <x v="2"/>
    <s v="9fe81678-2f91-4562-84e4-0091d0a9d39b"/>
    <s v="completed"/>
    <x v="3"/>
    <s v="2022-10-27T05:27:10.072000+00:00"/>
    <n v="9"/>
    <n v="9"/>
    <n v="1"/>
    <x v="4"/>
    <x v="2"/>
    <s v="43"/>
    <m/>
    <x v="2"/>
    <x v="2"/>
    <s v="/"/>
    <s v="/"/>
    <x v="0"/>
    <s v="/"/>
    <s v="/"/>
    <x v="41"/>
    <s v="/"/>
  </r>
  <r>
    <s v="e15c43a2-ed38-42d5-97c8-6e16a858b632"/>
    <x v="0"/>
    <s v="9b9e7e61-05f7-4c43-b13a-7bc359aa676d"/>
    <s v="failed"/>
    <x v="4"/>
    <s v="2022-10-27T06:46:20.850000+00:00"/>
    <n v="211"/>
    <n v="206"/>
    <n v="0.976303317535545"/>
    <x v="36"/>
    <x v="0"/>
    <s v="43"/>
    <s v="URL"/>
    <x v="3"/>
    <x v="3"/>
    <s v="Robot rijdt richting wall, stopt +/-15-20m voor het einde. Normale condities. Tijdje geslipt tegen kop van rails?"/>
    <s v="20221028.docx"/>
    <x v="0"/>
    <s v="slip vermoeden klopt!"/>
    <m/>
    <x v="41"/>
    <n v="1"/>
  </r>
  <r>
    <s v="354dc72b-63a1-4b32-ba18-d7c08d614e78"/>
    <x v="3"/>
    <s v="680809e9-2312-4321-80b3-9adf45f71e67"/>
    <s v="failed"/>
    <x v="2"/>
    <s v="2022-10-28T22:00:56.530000+00:00"/>
    <n v="101"/>
    <n v="26"/>
    <n v="0.25742574257425743"/>
    <x v="90"/>
    <x v="1"/>
    <s v="48"/>
    <s v="URL"/>
    <x v="3"/>
    <x v="3"/>
    <s v="Robot rijdt naar einde van lane, vertraagt, gaat in error. Regentonnen aan einde van lane."/>
    <m/>
    <x v="0"/>
    <s v="gekend regenton probleem. Pas min_pxl_cnt aan"/>
    <m/>
    <x v="42"/>
    <m/>
  </r>
  <r>
    <s v="c513f95e-e1a7-4609-8268-4f6c70b6f206"/>
    <x v="1"/>
    <s v="69500654-b65a-4e21-81f1-35f5968c79f0"/>
    <s v="failed"/>
    <x v="2"/>
    <s v="2022-10-29T01:07:45.631000+00:00"/>
    <n v="101"/>
    <n v="81"/>
    <n v="0.80198019801980203"/>
    <x v="91"/>
    <x v="1"/>
    <s v="47"/>
    <s v="URL"/>
    <x v="6"/>
    <x v="6"/>
    <s v="Robot botst tegen paaltjef ah begin van de lane, vlak na laneswitch"/>
    <m/>
    <x v="0"/>
    <m/>
    <m/>
    <x v="43"/>
    <m/>
  </r>
  <r>
    <s v="2d85f2c0-c53a-415c-989e-8df8b412d0df"/>
    <x v="2"/>
    <s v="daaae932-7e41-40ed-947b-0a24729cccd1"/>
    <s v="failed"/>
    <x v="0"/>
    <s v="2022-10-29T02:08:45.658000+00:00"/>
    <n v="212"/>
    <n v="140"/>
    <n v="0.660377358490566"/>
    <x v="79"/>
    <x v="0"/>
    <s v="43"/>
    <s v="URL"/>
    <x v="4"/>
    <x v="4"/>
    <s v="Robot botst tegen ketting van het swingsysteem"/>
    <m/>
    <x v="0"/>
    <m/>
    <m/>
    <x v="43"/>
    <m/>
  </r>
  <r>
    <m/>
    <x v="0"/>
    <s v="1c01cadf-6289-4358-9bca-ca0ddfc879b3"/>
    <s v="completed"/>
    <x v="3"/>
    <s v="2022-10-29T03:07:35.489000+00:00"/>
    <n v="140"/>
    <n v="140"/>
    <n v="1"/>
    <x v="4"/>
    <x v="2"/>
    <s v="43"/>
    <m/>
    <x v="2"/>
    <x v="2"/>
    <s v="/"/>
    <s v="/"/>
    <x v="0"/>
    <s v="/"/>
    <s v="/"/>
    <x v="43"/>
    <s v="/"/>
  </r>
  <r>
    <s v="71e98731-cabb-43e7-9039-1d49bf374431"/>
    <x v="2"/>
    <s v="daaae932-7e41-40ed-947b-0a24729cccd1"/>
    <s v="failed"/>
    <x v="9"/>
    <s v="2022-10-29T03:39:29.978000+00:00"/>
    <n v="212"/>
    <n v="142"/>
    <n v="0.66981132075471694"/>
    <x v="92"/>
    <x v="0"/>
    <s v="43"/>
    <s v="URL"/>
    <x v="6"/>
    <x v="6"/>
    <s v="(Robot lijkt na vorige error toch automatisch te zijn herstart!?) _x000a_Robot rijdt voor en achteruit op midden van gangpad, lijkt telkens te botsen tegen muur maar bumper wordt pas na x aantal keren getriggered. 1 van de (vorige?) lanes heeft wel een ketting hangen tussen de goten"/>
    <m/>
    <x v="0"/>
    <s v="vreemd"/>
    <m/>
    <x v="43"/>
    <s v="????"/>
  </r>
  <r>
    <s v="10c140b4-0b1f-445d-9ae7-6d944af4bd74"/>
    <x v="2"/>
    <s v="e843ee27-fd10-4f53-a725-845984049816"/>
    <s v="failed"/>
    <x v="1"/>
    <s v="2022-10-29T04:36:30.942000+00:00"/>
    <n v="78"/>
    <n v="0"/>
    <n v="0"/>
    <x v="16"/>
    <x v="0"/>
    <s v="43"/>
    <s v="URL"/>
    <x v="1"/>
    <x v="1"/>
    <s v="operator stelt robot in, robot vertrekt, rijdt 10m, gaat in error."/>
    <m/>
    <x v="0"/>
    <s v="operator fout, inductieve al op rail.  Dit  gebeurt zo vaak dat ik me afvraag of ze dat eigenlijk wel weten ??"/>
    <m/>
    <x v="43"/>
    <m/>
  </r>
  <r>
    <s v="8e5af9df-466c-4e37-a084-a7696eb24768"/>
    <x v="2"/>
    <s v="fde67c23-33fc-4328-b9f2-bcf387faebcc"/>
    <s v="failed"/>
    <x v="1"/>
    <s v="2022-10-29T04:46:22.378000+00:00"/>
    <n v="77"/>
    <n v="0"/>
    <n v="0"/>
    <x v="16"/>
    <x v="0"/>
    <s v="43"/>
    <s v="URL"/>
    <x v="8"/>
    <x v="8"/>
    <s v="operator stelt robot in, robot vertrekt, rijdt 10m, gaat in error._x000a_Eerste error dei getriggered wordt: 0x1040102!?"/>
    <m/>
    <x v="0"/>
    <s v="hetzelfde"/>
    <m/>
    <x v="43"/>
    <m/>
  </r>
  <r>
    <m/>
    <x v="0"/>
    <s v="ab4c6131-88fc-4577-be3c-409454b5406d"/>
    <m/>
    <x v="3"/>
    <s v="2022-10-29T04:53:52.523000+00:00"/>
    <n v="78"/>
    <n v="0"/>
    <n v="0"/>
    <x v="4"/>
    <x v="0"/>
    <s v="43"/>
    <m/>
    <x v="2"/>
    <x v="2"/>
    <s v="NO DATA"/>
    <m/>
    <x v="0"/>
    <m/>
    <m/>
    <x v="43"/>
    <m/>
  </r>
  <r>
    <m/>
    <x v="0"/>
    <s v="111e74b1-f3f4-436e-b4f5-2367e0b67b33"/>
    <s v="stopped"/>
    <x v="3"/>
    <s v="2022-10-29T08:59:05.166000+00:00"/>
    <n v="78"/>
    <n v="52"/>
    <n v="0.66666666666666663"/>
    <x v="4"/>
    <x v="0"/>
    <s v="43"/>
    <m/>
    <x v="2"/>
    <x v="2"/>
    <s v="/"/>
    <s v="/"/>
    <x v="0"/>
    <s v="/"/>
    <s v="/"/>
    <x v="43"/>
    <s v="/"/>
  </r>
  <r>
    <s v="95e34354-8879-465e-99d4-89fd96e4eb83"/>
    <x v="0"/>
    <s v="c9d97824-2c4a-4378-8085-d8e471919fad"/>
    <s v="failed"/>
    <x v="4"/>
    <s v="2022-10-29T21:44:46.362000+00:00"/>
    <n v="140"/>
    <n v="68"/>
    <n v="0.48571428571428571"/>
    <x v="27"/>
    <x v="2"/>
    <s v="43"/>
    <s v="URL"/>
    <x v="3"/>
    <x v="3"/>
    <s v="Robot nadert einde van de lane, gaat in error +/- 6m voor het einde."/>
    <s v="OAG1XENLUM2204024"/>
    <x v="0"/>
    <s v="Niet duidelijk waarom robot zo slecht uitkomt. Mogelijke oplossingen: vergroot timeout en anomalie detectie een beetje, geen timeout en ga ervanuit dat je altijd wel metingen zal hebben (risky ?), gebruik een &quot;distance-out&quot; ipv time-out zodat je anomalie en timeout beter kunt afstemmen."/>
    <m/>
    <x v="43"/>
    <m/>
  </r>
  <r>
    <m/>
    <x v="2"/>
    <s v="420bb44d-f2e2-49f6-aff0-4d61f627c276"/>
    <s v="completed"/>
    <x v="3"/>
    <s v="2022-10-30T11:13:01.728000+00:00"/>
    <n v="2"/>
    <n v="2"/>
    <n v="1"/>
    <x v="4"/>
    <x v="2"/>
    <s v="43"/>
    <m/>
    <x v="2"/>
    <x v="2"/>
    <s v="/"/>
    <s v="/"/>
    <x v="0"/>
    <s v="/"/>
    <s v="/"/>
    <x v="44"/>
    <s v="/"/>
  </r>
  <r>
    <s v="ae0e17ee-71e4-45af-9425-3c023f4728bc"/>
    <x v="2"/>
    <s v="f528b872-d2ef-491b-a1d1-718aea690a2a"/>
    <s v="failed"/>
    <x v="10"/>
    <s v="2022-10-30T22:54:42.510000+00:00"/>
    <n v="140"/>
    <n v="70"/>
    <n v="0.5"/>
    <x v="93"/>
    <x v="2"/>
    <s v="43"/>
    <s v="URL"/>
    <x v="8"/>
    <x v="8"/>
    <s v="Robot nadert einde van de lane, gaat in error +/- 4m voor het einde. _x000a_Eerste error die getriggered wordt: 0x1040103!?"/>
    <s v="OAG1XENLUM2204023.docx"/>
    <x v="0"/>
    <s v="Niet duidelijk waarom robot zo slecht uitkomt. Mogelijke oplossingen: vergroot timeout en anomalie detectie een beetje, geen timeout en ga ervanuit dat je altijd wel metingen zal hebben (risky ?), gebruik een &quot;distance-out&quot; ipv time-out zodat je anomalie en timeout beter kunt afstemmen."/>
    <m/>
    <x v="44"/>
    <m/>
  </r>
  <r>
    <m/>
    <x v="0"/>
    <s v="7d646e65-3051-4133-9ce4-42bc307ebd8b"/>
    <s v="completed"/>
    <x v="3"/>
    <s v="2022-10-31T07:44:18.695000+00:00"/>
    <n v="211"/>
    <n v="211"/>
    <n v="1"/>
    <x v="4"/>
    <x v="0"/>
    <s v="43"/>
    <m/>
    <x v="2"/>
    <x v="2"/>
    <s v="/"/>
    <s v="/"/>
    <x v="0"/>
    <s v="/"/>
    <s v="/"/>
    <x v="45"/>
    <s v="/"/>
  </r>
  <r>
    <s v="6df26e5c-a6e9-4fd0-af0a-819c805c03a0"/>
    <x v="3"/>
    <s v="b2246845-4a6f-4e1a-a82c-89a92bdfe8b1"/>
    <s v="failed"/>
    <x v="2"/>
    <s v="2022-10-31T22:22:47.563000+00:00"/>
    <n v="101"/>
    <n v="49"/>
    <n v="0.48514851485148514"/>
    <x v="77"/>
    <x v="1"/>
    <s v="48"/>
    <s v="URL"/>
    <x v="1"/>
    <x v="1"/>
    <s v="Robot rijdt uit lane, schiet gangpad over, gaat in error. TL lampen in gangpad staan aan."/>
    <s v="OAG1XENLUM2204029.docx"/>
    <x v="0"/>
    <s v="highaccuracy presest,   inductive region groter zetten, dynamic anomaly detection, new EOL algorithm ?"/>
    <m/>
    <x v="45"/>
    <n v="2"/>
  </r>
  <r>
    <s v="9e5ffcb1-a380-48fc-bc0a-24e263f45683"/>
    <x v="1"/>
    <s v="e11df120-6f96-4ad7-9b5a-87081f89397c"/>
    <s v="failed"/>
    <x v="2"/>
    <s v="2022-10-31T22:36:10.658000+00:00"/>
    <n v="100"/>
    <n v="6"/>
    <n v="0.06"/>
    <x v="51"/>
    <x v="3"/>
    <s v="48"/>
    <s v="URL"/>
    <x v="1"/>
    <x v="1"/>
    <s v="Robot rijdt lane uit, vermoedelijk sideshift uitgeklapt, blijft ergens achter haken"/>
    <m/>
    <x v="0"/>
    <m/>
    <m/>
    <x v="45"/>
    <m/>
  </r>
  <r>
    <m/>
    <x v="2"/>
    <s v="5aebb854-3aa0-4ad9-bdd9-2c73f0effa46"/>
    <s v="failed"/>
    <x v="3"/>
    <s v="2022-11-01T16:27:41.343000+00:00"/>
    <n v="209"/>
    <n v="0"/>
    <n v="0"/>
    <x v="4"/>
    <x v="0"/>
    <s v="43"/>
    <m/>
    <x v="2"/>
    <x v="2"/>
    <s v="/"/>
    <s v="/"/>
    <x v="0"/>
    <s v="/"/>
    <s v="/"/>
    <x v="46"/>
    <s v="/"/>
  </r>
  <r>
    <m/>
    <x v="1"/>
    <s v="381dad2b-e07c-46d0-b1bf-cb246984975e"/>
    <s v="completed"/>
    <x v="3"/>
    <s v="2022-11-01T22:16:43.810000+00:00"/>
    <n v="48"/>
    <n v="48"/>
    <n v="1"/>
    <x v="4"/>
    <x v="1"/>
    <s v="48"/>
    <m/>
    <x v="2"/>
    <x v="2"/>
    <s v="/"/>
    <s v="/"/>
    <x v="0"/>
    <s v="/"/>
    <s v="/"/>
    <x v="46"/>
    <s v="/"/>
  </r>
  <r>
    <s v="650a59b9-4b8f-4293-a422-d26642a1da6d"/>
    <x v="0"/>
    <s v="c6fd2dc4-1f99-46c3-8b04-973676e2599c"/>
    <s v="failed"/>
    <x v="4"/>
    <s v="2022-11-01T23:11:50.246000+00:00"/>
    <n v="138"/>
    <n v="98"/>
    <n v="0.71014492753623193"/>
    <x v="94"/>
    <x v="2"/>
    <s v="43"/>
    <s v="URL"/>
    <x v="3"/>
    <x v="3"/>
    <s v="slijpschijfbug: robot duwt tegen rails, geraakt er toch op, gaat halverwege in error."/>
    <m/>
    <x v="0"/>
    <m/>
    <m/>
    <x v="46"/>
    <m/>
  </r>
  <r>
    <m/>
    <x v="0"/>
    <s v="62a634e4-4f8a-431f-b648-cf2fad82502d"/>
    <s v="completed"/>
    <x v="3"/>
    <s v="2022-11-02T06:16:21.752000+00:00"/>
    <n v="13"/>
    <n v="13"/>
    <n v="1"/>
    <x v="4"/>
    <x v="2"/>
    <s v="43"/>
    <m/>
    <x v="2"/>
    <x v="2"/>
    <s v="/"/>
    <s v="/"/>
    <x v="0"/>
    <s v="/"/>
    <s v="/"/>
    <x v="47"/>
    <s v="/"/>
  </r>
  <r>
    <m/>
    <x v="2"/>
    <s v="99ed2c93-4b8c-467f-a4f1-e4165a3bd66c"/>
    <s v="completed"/>
    <x v="3"/>
    <s v="2022-11-02T06:39:08.840000+00:00"/>
    <n v="21"/>
    <n v="21"/>
    <n v="1"/>
    <x v="4"/>
    <x v="0"/>
    <s v="43"/>
    <m/>
    <x v="2"/>
    <x v="2"/>
    <s v="/"/>
    <s v="/"/>
    <x v="0"/>
    <s v="/"/>
    <s v="/"/>
    <x v="47"/>
    <s v="/"/>
  </r>
  <r>
    <s v="171f59ec-0feb-456e-a5fa-b6b0eb7939ca"/>
    <x v="3"/>
    <s v="7074f801-fd93-4846-bde8-fbce7eba7523"/>
    <s v="failed"/>
    <x v="2"/>
    <s v="2022-11-02T21:31:55.752000+00:00"/>
    <n v="100"/>
    <n v="1"/>
    <n v="0.01"/>
    <x v="95"/>
    <x v="1"/>
    <s v="48"/>
    <s v="URL"/>
    <x v="6"/>
    <x v="6"/>
    <s v="Bot rijdt richting einde van lane, vertraagt, gaat in error."/>
    <m/>
    <x v="0"/>
    <s v="Op deze beelden is het iets duidelijker waar de robot waarschijnlijk tegen botst, namelijk de metalen &quot;stop&quot; op de linker rail."/>
    <m/>
    <x v="47"/>
    <m/>
  </r>
  <r>
    <m/>
    <x v="1"/>
    <s v="b204375b-c1e4-461f-80fb-fe1863dbba1a"/>
    <s v="failed"/>
    <x v="2"/>
    <s v="2022-11-02T22:25:25.572000+00:00"/>
    <n v="86"/>
    <n v="16"/>
    <n v="0.18604651162790697"/>
    <x v="96"/>
    <x v="3"/>
    <s v="48"/>
    <m/>
    <x v="14"/>
    <x v="14"/>
    <s v="NO DATA?"/>
    <m/>
    <x v="0"/>
    <m/>
    <m/>
    <x v="47"/>
    <m/>
  </r>
  <r>
    <m/>
    <x v="2"/>
    <s v="f61c5ddd-bd71-4510-8731-2b1ed82dfe9e"/>
    <s v="completed"/>
    <x v="3"/>
    <s v="2022-11-03T08:43:12.137000+00:00"/>
    <n v="3"/>
    <n v="3"/>
    <n v="1"/>
    <x v="4"/>
    <x v="0"/>
    <s v="43"/>
    <m/>
    <x v="2"/>
    <x v="2"/>
    <m/>
    <m/>
    <x v="0"/>
    <m/>
    <m/>
    <x v="48"/>
    <m/>
  </r>
  <r>
    <m/>
    <x v="4"/>
    <s v="bc58300d-0cef-479e-a919-f0948cbc7309"/>
    <s v="completed"/>
    <x v="3"/>
    <s v="2022-11-03T10:41:05.784000+00:00"/>
    <n v="1"/>
    <n v="1"/>
    <n v="1"/>
    <x v="4"/>
    <x v="5"/>
    <s v="14"/>
    <m/>
    <x v="2"/>
    <x v="2"/>
    <m/>
    <m/>
    <x v="0"/>
    <m/>
    <m/>
    <x v="48"/>
    <m/>
  </r>
  <r>
    <m/>
    <x v="4"/>
    <s v="eb65e2ae-8035-4a6f-ac0e-62dd91f3b95a"/>
    <s v="stopped"/>
    <x v="3"/>
    <s v="2022-11-03T10:51:42.506000+00:00"/>
    <n v="2"/>
    <n v="0"/>
    <n v="0"/>
    <x v="4"/>
    <x v="5"/>
    <s v="14"/>
    <m/>
    <x v="2"/>
    <x v="2"/>
    <m/>
    <m/>
    <x v="0"/>
    <m/>
    <m/>
    <x v="48"/>
    <m/>
  </r>
  <r>
    <m/>
    <x v="4"/>
    <s v="71eceb01-02b8-47f8-915f-df74e79402d8"/>
    <s v="completed"/>
    <x v="3"/>
    <s v="2022-11-03T10:58:36.983000+00:00"/>
    <n v="2"/>
    <n v="2"/>
    <n v="1"/>
    <x v="4"/>
    <x v="5"/>
    <s v="14"/>
    <m/>
    <x v="2"/>
    <x v="2"/>
    <m/>
    <m/>
    <x v="0"/>
    <m/>
    <m/>
    <x v="48"/>
    <m/>
  </r>
  <r>
    <m/>
    <x v="4"/>
    <s v="ffc86371-d0d9-4b8c-a8b2-e8793b82e145"/>
    <s v="failed"/>
    <x v="18"/>
    <s v="2022-11-03T11:08:05.485000+00:00"/>
    <n v="4"/>
    <n v="2"/>
    <n v="0.5"/>
    <x v="97"/>
    <x v="5"/>
    <s v="14"/>
    <m/>
    <x v="6"/>
    <x v="6"/>
    <m/>
    <m/>
    <x v="0"/>
    <m/>
    <m/>
    <x v="48"/>
    <m/>
  </r>
  <r>
    <m/>
    <x v="3"/>
    <s v="1a3d0b79-a564-47c5-b5b6-a6436aeee910"/>
    <s v="stopped"/>
    <x v="3"/>
    <s v="2022-11-03T17:41:51.806000+00:00"/>
    <n v="86"/>
    <n v="0"/>
    <n v="0"/>
    <x v="4"/>
    <x v="3"/>
    <s v="48"/>
    <m/>
    <x v="2"/>
    <x v="2"/>
    <m/>
    <m/>
    <x v="0"/>
    <m/>
    <m/>
    <x v="48"/>
    <m/>
  </r>
  <r>
    <s v="4e0617ca-bf55-420e-a028-ea0976e01d17"/>
    <x v="3"/>
    <s v="ce8b2e37-081c-4149-96e5-2a84e258dea8"/>
    <s v="failed"/>
    <x v="2"/>
    <s v="2022-11-03T21:40:01.147000+00:00"/>
    <n v="86"/>
    <n v="37"/>
    <n v="0.43023255813953487"/>
    <x v="81"/>
    <x v="3"/>
    <s v="48"/>
    <s v="URL"/>
    <x v="6"/>
    <x v="6"/>
    <s v="Robot rijdt richting einde van lane, vertraagt, lijkt iets te raken en gaat in error."/>
    <m/>
    <x v="0"/>
    <m/>
    <m/>
    <x v="48"/>
    <m/>
  </r>
  <r>
    <m/>
    <x v="1"/>
    <s v="95c7f3f1-5958-4179-90f8-11b1d78fbe40"/>
    <s v="failed"/>
    <x v="2"/>
    <s v="2022-11-03T22:25:18.407000+00:00"/>
    <n v="101"/>
    <n v="51"/>
    <n v="0.50495049504950495"/>
    <x v="98"/>
    <x v="1"/>
    <s v="48"/>
    <m/>
    <x v="6"/>
    <x v="6"/>
    <s v="NO DATA"/>
    <m/>
    <x v="0"/>
    <m/>
    <m/>
    <x v="48"/>
    <m/>
  </r>
  <r>
    <s v="0ecbc239-6539-46a5-ab52-6b43e38895e4"/>
    <x v="3"/>
    <s v="0e8a8d9c-3323-40d2-9e64-6329dbb07d59"/>
    <s v="failed"/>
    <x v="2"/>
    <s v="2022-11-04T22:45:36.669000+00:00"/>
    <n v="100"/>
    <n v="0"/>
    <n v="0"/>
    <x v="99"/>
    <x v="3"/>
    <s v="48"/>
    <s v="URL"/>
    <x v="1"/>
    <x v="1"/>
    <s v="Robot staat in verkeerde richting voor de rails."/>
    <m/>
    <x v="0"/>
    <m/>
    <m/>
    <x v="49"/>
    <m/>
  </r>
  <r>
    <m/>
    <x v="1"/>
    <s v="a2fa0258-c040-4b54-be17-aaa4e5909457"/>
    <s v="failed"/>
    <x v="2"/>
    <s v="2022-11-04T23:46:41.806000+00:00"/>
    <n v="81"/>
    <n v="11"/>
    <n v="0.13580246913580246"/>
    <x v="96"/>
    <x v="3"/>
    <s v="48"/>
    <m/>
    <x v="1"/>
    <x v="1"/>
    <s v="NO DATA"/>
    <m/>
    <x v="0"/>
    <m/>
    <m/>
    <x v="49"/>
    <m/>
  </r>
  <r>
    <s v="e1d323cf-85ac-4e69-96fb-a8da8476cbc3"/>
    <x v="3"/>
    <s v="fc254947-510b-43fc-9ba2-3f368fc09f2c"/>
    <s v="failed"/>
    <x v="2"/>
    <s v="2022-11-05T04:36:08.699000+00:00"/>
    <n v="99"/>
    <n v="98"/>
    <n v="0.98989898989898994"/>
    <x v="100"/>
    <x v="1"/>
    <s v="48"/>
    <s v="URL"/>
    <x v="5"/>
    <x v="5"/>
    <s v="Robot rijdt lane uit, klapt SS in/uit, doet 1 retry, wil verder rijden op de rails maar valt er af!? Goten zwieren mee"/>
    <m/>
    <x v="0"/>
    <m/>
    <m/>
    <x v="50"/>
    <m/>
  </r>
  <r>
    <m/>
    <x v="3"/>
    <s v="46ede687-f130-4895-b70e-6d71a4465424"/>
    <m/>
    <x v="3"/>
    <s v="2022-11-05T14:45:10.712000+00:00"/>
    <n v="201"/>
    <n v="0"/>
    <n v="0"/>
    <x v="4"/>
    <x v="1"/>
    <s v="47"/>
    <m/>
    <x v="2"/>
    <x v="2"/>
    <m/>
    <m/>
    <x v="0"/>
    <m/>
    <m/>
    <x v="50"/>
    <m/>
  </r>
  <r>
    <m/>
    <x v="0"/>
    <s v="d5223f81-9467-4359-9f0a-c8691bd24b47"/>
    <m/>
    <x v="3"/>
    <s v="2022-11-05T16:20:12.637000+00:00"/>
    <n v="205"/>
    <n v="93"/>
    <n v="0.45365853658536587"/>
    <x v="4"/>
    <x v="0"/>
    <s v="43"/>
    <m/>
    <x v="2"/>
    <x v="2"/>
    <m/>
    <m/>
    <x v="0"/>
    <m/>
    <m/>
    <x v="50"/>
    <m/>
  </r>
  <r>
    <s v="a5286539-9c77-4108-8963-9ef7e86bd3e7"/>
    <x v="1"/>
    <s v="5c90bff9-6bc5-4bf1-a657-b5b377dfe6ec"/>
    <s v="failed"/>
    <x v="2"/>
    <s v="2022-11-05T20:25:44.957000+00:00"/>
    <n v="179"/>
    <n v="16"/>
    <n v="8.9385474860335198E-2"/>
    <x v="101"/>
    <x v="3"/>
    <s v="47"/>
    <s v="URL"/>
    <x v="1"/>
    <x v="1"/>
    <s v="Robot rijdt lane uit, vermoedelijk sideshift uitgeklapt, blijft ergens achter haken"/>
    <m/>
    <x v="0"/>
    <m/>
    <m/>
    <x v="50"/>
    <m/>
  </r>
  <r>
    <s v="a5286539-9c77-4108-8963-9ef7e86bd3e7"/>
    <x v="1"/>
    <s v="b204375b-c1e4-461f-80fb-fe1863dbba1a"/>
    <s v="failed"/>
    <x v="2"/>
    <s v="2022-11-05T20:25:44.957000+00:00"/>
    <n v="86"/>
    <n v="16"/>
    <n v="0.18604651162790697"/>
    <x v="96"/>
    <x v="3"/>
    <s v="48"/>
    <s v="URL"/>
    <x v="14"/>
    <x v="14"/>
    <s v="WRONG DATA"/>
    <m/>
    <x v="0"/>
    <m/>
    <m/>
    <x v="50"/>
    <m/>
  </r>
  <r>
    <s v="77d97b75-47a2-4571-8879-bfd112ce5915"/>
    <x v="3"/>
    <s v="4239e2f3-d57d-4bd2-8279-5fc5ef3174cd"/>
    <s v="failed"/>
    <x v="2"/>
    <s v="2022-11-05T22:28:51.686000+00:00"/>
    <n v="201"/>
    <n v="51"/>
    <n v="0.2537313432835821"/>
    <x v="102"/>
    <x v="1"/>
    <s v="47"/>
    <s v="URL"/>
    <x v="6"/>
    <x v="6"/>
    <s v="Robot botst tegen emmer"/>
    <m/>
    <x v="0"/>
    <m/>
    <m/>
    <x v="50"/>
    <m/>
  </r>
  <r>
    <s v="fc12c2ed-bcf0-4d12-87bb-09ad07cc658a"/>
    <x v="2"/>
    <s v="5f476098-2196-4401-a678-6fc95a5012b9"/>
    <s v="failed"/>
    <x v="4"/>
    <s v="2022-11-06T00:55:04.860000+00:00"/>
    <n v="138"/>
    <n v="119"/>
    <n v="0.8623188405797102"/>
    <x v="42"/>
    <x v="2"/>
    <s v="43"/>
    <s v="URL"/>
    <x v="3"/>
    <x v="3"/>
    <s v="slijpschijfbug: robot duwt tegen rails, geraakt er toch op, gaat halverwege in error."/>
    <m/>
    <x v="0"/>
    <m/>
    <m/>
    <x v="51"/>
    <m/>
  </r>
  <r>
    <m/>
    <x v="0"/>
    <s v="7ed7c8eb-c866-4981-9dbf-d83701edf3f3"/>
    <s v="failed"/>
    <x v="3"/>
    <s v="2022-11-06T17:05:15.372000+00:00"/>
    <n v="111"/>
    <n v="0"/>
    <n v="0"/>
    <x v="4"/>
    <x v="0"/>
    <s v="43"/>
    <m/>
    <x v="2"/>
    <x v="2"/>
    <m/>
    <m/>
    <x v="0"/>
    <m/>
    <m/>
    <x v="51"/>
    <m/>
  </r>
  <r>
    <m/>
    <x v="2"/>
    <s v="074bdc11-5453-4a93-af9a-ee493d759dae"/>
    <s v="completed"/>
    <x v="3"/>
    <s v="2022-11-06T18:28:15.533000+00:00"/>
    <n v="19"/>
    <n v="19"/>
    <n v="1"/>
    <x v="4"/>
    <x v="2"/>
    <s v="43"/>
    <m/>
    <x v="2"/>
    <x v="2"/>
    <m/>
    <m/>
    <x v="0"/>
    <m/>
    <m/>
    <x v="51"/>
    <m/>
  </r>
  <r>
    <s v="83fe28cb-f872-484f-8076-bb783fbd7807"/>
    <x v="1"/>
    <s v="48831a01-57c2-4c47-a607-bc58869c5e9a"/>
    <s v="failed"/>
    <x v="2"/>
    <s v="2022-11-06T21:48:26.461000+00:00"/>
    <n v="102"/>
    <n v="40"/>
    <n v="0.39215686274509803"/>
    <x v="101"/>
    <x v="3"/>
    <s v="47"/>
    <s v="URL"/>
    <x v="1"/>
    <x v="1"/>
    <s v="Robot rijdt lane uit, vermoedelijk sideshift uitgeklapt, blijft ergens achter haken"/>
    <m/>
    <x v="0"/>
    <m/>
    <m/>
    <x v="51"/>
    <m/>
  </r>
  <r>
    <m/>
    <x v="0"/>
    <s v="f9dbc27c-e71d-4313-90ef-f0326fbdecb9"/>
    <s v="completed"/>
    <x v="3"/>
    <s v="2022-11-07T01:08:24.699000+00:00"/>
    <n v="110"/>
    <n v="110"/>
    <n v="1"/>
    <x v="4"/>
    <x v="0"/>
    <s v="43"/>
    <m/>
    <x v="2"/>
    <x v="2"/>
    <m/>
    <m/>
    <x v="0"/>
    <m/>
    <m/>
    <x v="52"/>
    <m/>
  </r>
  <r>
    <s v="f07a0147-35fe-4047-8bc6-eead9adb9d8d"/>
    <x v="3"/>
    <s v="142cfe6f-c2ff-480e-ac6d-c7f93739f816"/>
    <s v="failed"/>
    <x v="2"/>
    <s v="2022-11-07T01:24:55.145000+00:00"/>
    <n v="102"/>
    <n v="101"/>
    <n v="0.99019607843137258"/>
    <x v="103"/>
    <x v="3"/>
    <s v="48"/>
    <s v="URL"/>
    <x v="6"/>
    <x v="6"/>
    <s v="Robot rijdt lane uit, klapt SS uit, doet 1 retry, wil verder rijden op de rails maar valt er af/botst met SS + Goten zwieren mee"/>
    <m/>
    <x v="0"/>
    <m/>
    <m/>
    <x v="52"/>
    <m/>
  </r>
  <r>
    <m/>
    <x v="0"/>
    <s v="b10ea019-ca2a-4bf5-a62f-5221653387d6"/>
    <m/>
    <x v="3"/>
    <s v="2022-11-07T16:45:59.837000+00:00"/>
    <n v="205"/>
    <n v="190"/>
    <n v="0.92682926829268297"/>
    <x v="4"/>
    <x v="0"/>
    <s v="43"/>
    <m/>
    <x v="2"/>
    <x v="2"/>
    <m/>
    <m/>
    <x v="0"/>
    <m/>
    <m/>
    <x v="52"/>
    <m/>
  </r>
  <r>
    <m/>
    <x v="2"/>
    <s v="8455af76-4026-413f-b4c1-cd3c3e543f59"/>
    <s v="completed"/>
    <x v="3"/>
    <s v="2022-11-08T02:19:35.334000+00:00"/>
    <n v="138"/>
    <n v="138"/>
    <n v="1"/>
    <x v="4"/>
    <x v="2"/>
    <s v="43"/>
    <m/>
    <x v="2"/>
    <x v="2"/>
    <m/>
    <m/>
    <x v="0"/>
    <m/>
    <m/>
    <x v="53"/>
    <m/>
  </r>
  <r>
    <m/>
    <x v="2"/>
    <s v="a4775c12-e19e-47e7-b416-a7ab8c9dfd9f"/>
    <s v="completed"/>
    <x v="3"/>
    <s v="2022-11-08T09:06:58.101000+00:00"/>
    <n v="8"/>
    <n v="8"/>
    <n v="1"/>
    <x v="4"/>
    <x v="2"/>
    <s v="43"/>
    <m/>
    <x v="2"/>
    <x v="2"/>
    <m/>
    <m/>
    <x v="0"/>
    <m/>
    <m/>
    <x v="53"/>
    <m/>
  </r>
  <r>
    <m/>
    <x v="0"/>
    <s v="83eb394a-6363-43de-b498-045107db4137"/>
    <s v="completed"/>
    <x v="3"/>
    <s v="2022-11-08T11:01:36.727000+00:00"/>
    <n v="6"/>
    <n v="6"/>
    <n v="1"/>
    <x v="4"/>
    <x v="0"/>
    <s v="43"/>
    <m/>
    <x v="2"/>
    <x v="2"/>
    <m/>
    <m/>
    <x v="0"/>
    <m/>
    <m/>
    <x v="53"/>
    <m/>
  </r>
  <r>
    <m/>
    <x v="0"/>
    <s v="2c5c5e09-53a7-467b-8988-6404dd70d373"/>
    <s v="completed"/>
    <x v="3"/>
    <s v="2022-11-08T11:35:23.722000+00:00"/>
    <n v="8"/>
    <n v="8"/>
    <n v="1"/>
    <x v="4"/>
    <x v="0"/>
    <s v="43"/>
    <m/>
    <x v="2"/>
    <x v="2"/>
    <m/>
    <m/>
    <x v="0"/>
    <m/>
    <m/>
    <x v="53"/>
    <m/>
  </r>
  <r>
    <m/>
    <x v="0"/>
    <s v="2c85e66b-e59a-461e-91ff-98fefc45be84"/>
    <s v="completed"/>
    <x v="3"/>
    <s v="2022-11-08T12:16:30.720000+00:00"/>
    <n v="9"/>
    <n v="9"/>
    <n v="1"/>
    <x v="4"/>
    <x v="0"/>
    <s v="43"/>
    <m/>
    <x v="2"/>
    <x v="2"/>
    <m/>
    <m/>
    <x v="0"/>
    <m/>
    <m/>
    <x v="53"/>
    <m/>
  </r>
  <r>
    <s v="ba023877-727a-4db2-a6af-742664337034"/>
    <x v="0"/>
    <s v="05ea1acb-26b1-4496-84a1-22868e7a256f"/>
    <s v="failed"/>
    <x v="7"/>
    <s v="2022-11-08T17:42:53.099000+00:00"/>
    <n v="77"/>
    <n v="13"/>
    <n v="0.16883116883116883"/>
    <x v="104"/>
    <x v="2"/>
    <s v="43"/>
    <s v="URL"/>
    <x v="5"/>
    <x v="5"/>
    <s v="Robot rijdt lane uit, valt ineens stil op moment hij van de rails rijdt. In de logs:_x000a_ErrorHandlerComponent: component connected to error_in_1 changed error code from 0 to 9_x000a_"/>
    <m/>
    <x v="0"/>
    <m/>
    <m/>
    <x v="53"/>
    <m/>
  </r>
  <r>
    <s v="31be13af-9825-40c0-8909-fe8a82d3dca7"/>
    <x v="1"/>
    <s v="ec16fe99-3d96-4d54-939d-0fde4108219d"/>
    <s v="failed"/>
    <x v="2"/>
    <s v="2022-11-08T18:35:03.652000+00:00"/>
    <n v="101"/>
    <n v="15"/>
    <n v="0.14851485148514851"/>
    <x v="105"/>
    <x v="3"/>
    <s v="47"/>
    <s v="URL"/>
    <x v="1"/>
    <x v="1"/>
    <s v="Robot rijdt lane uit, vermoedelijk sideshift uitgeklapt, blijft ergens achter haken"/>
    <m/>
    <x v="0"/>
    <m/>
    <m/>
    <x v="53"/>
    <m/>
  </r>
  <r>
    <m/>
    <x v="0"/>
    <s v="bb65e631-6b8a-46da-83b4-8f8ff05f22c2"/>
    <s v="completed"/>
    <x v="3"/>
    <s v="2022-11-08T21:50:40.548000+00:00"/>
    <n v="47"/>
    <n v="47"/>
    <n v="1"/>
    <x v="4"/>
    <x v="0"/>
    <s v="43"/>
    <m/>
    <x v="2"/>
    <x v="2"/>
    <m/>
    <m/>
    <x v="0"/>
    <m/>
    <m/>
    <x v="53"/>
    <m/>
  </r>
  <r>
    <m/>
    <x v="3"/>
    <s v="65ad50d3-bfff-454c-9221-fd55b07a8941"/>
    <s v="failed"/>
    <x v="3"/>
    <s v="2022-11-08T23:40:40.709000+00:00"/>
    <n v="102"/>
    <n v="70"/>
    <n v="0.68627450980392157"/>
    <x v="4"/>
    <x v="3"/>
    <s v="47"/>
    <m/>
    <x v="2"/>
    <x v="2"/>
    <s v="NO DATA"/>
    <m/>
    <x v="0"/>
    <m/>
    <m/>
    <x v="53"/>
    <m/>
  </r>
  <r>
    <m/>
    <x v="1"/>
    <s v="d0f03235-2404-4e42-b817-72e97eb3c098"/>
    <s v="completed"/>
    <x v="3"/>
    <s v="2022-11-09T01:19:16.292000+00:00"/>
    <n v="85"/>
    <n v="84"/>
    <n v="0.9882352941176471"/>
    <x v="4"/>
    <x v="3"/>
    <s v="47"/>
    <m/>
    <x v="2"/>
    <x v="2"/>
    <s v="/"/>
    <m/>
    <x v="0"/>
    <m/>
    <m/>
    <x v="54"/>
    <m/>
  </r>
  <r>
    <m/>
    <x v="4"/>
    <s v="e3bc42c9-81d4-4a55-99a7-97b2b4105cb9"/>
    <s v="stopped"/>
    <x v="3"/>
    <s v="2022-11-09T13:11:57.179000+00:00"/>
    <n v="128"/>
    <n v="68"/>
    <n v="0.53125"/>
    <x v="4"/>
    <x v="5"/>
    <s v="14"/>
    <m/>
    <x v="2"/>
    <x v="2"/>
    <m/>
    <m/>
    <x v="0"/>
    <m/>
    <m/>
    <x v="54"/>
    <m/>
  </r>
  <r>
    <m/>
    <x v="4"/>
    <s v="3096c2f6-915e-4b04-82d5-520bf98342bf"/>
    <m/>
    <x v="3"/>
    <s v="2022-11-09T13:20:33.319000+00:00"/>
    <n v="3"/>
    <n v="3"/>
    <n v="1"/>
    <x v="4"/>
    <x v="5"/>
    <s v="14"/>
    <m/>
    <x v="2"/>
    <x v="2"/>
    <m/>
    <m/>
    <x v="0"/>
    <m/>
    <m/>
    <x v="54"/>
    <m/>
  </r>
  <r>
    <m/>
    <x v="4"/>
    <s v="dfe3041f-7180-45ce-b046-5e7424baf076"/>
    <s v="failed"/>
    <x v="18"/>
    <s v="2022-11-09T13:30:31.871000+00:00"/>
    <n v="133"/>
    <n v="2"/>
    <n v="1.5037593984962405E-2"/>
    <x v="106"/>
    <x v="5"/>
    <s v="14"/>
    <m/>
    <x v="5"/>
    <x v="5"/>
    <m/>
    <m/>
    <x v="0"/>
    <m/>
    <m/>
    <x v="54"/>
    <m/>
  </r>
  <r>
    <m/>
    <x v="4"/>
    <s v="379689b8-5017-43b1-88ba-f576228c35c2"/>
    <s v="stopped"/>
    <x v="3"/>
    <s v="2022-11-09T13:47:33.489000+00:00"/>
    <n v="7"/>
    <n v="2"/>
    <n v="0.2857142857142857"/>
    <x v="4"/>
    <x v="5"/>
    <s v="14"/>
    <m/>
    <x v="2"/>
    <x v="2"/>
    <m/>
    <m/>
    <x v="0"/>
    <m/>
    <m/>
    <x v="54"/>
    <m/>
  </r>
  <r>
    <m/>
    <x v="4"/>
    <s v="79752db5-da8b-4e9e-826f-ba71f0f49701"/>
    <m/>
    <x v="3"/>
    <s v="2022-11-09T13:52:13.715000+00:00"/>
    <n v="133"/>
    <n v="8"/>
    <n v="6.0150375939849621E-2"/>
    <x v="4"/>
    <x v="5"/>
    <s v="14"/>
    <m/>
    <x v="2"/>
    <x v="2"/>
    <m/>
    <m/>
    <x v="0"/>
    <m/>
    <m/>
    <x v="54"/>
    <m/>
  </r>
  <r>
    <m/>
    <x v="4"/>
    <s v="293ae8c9-4660-44f0-9e49-a96473a87963"/>
    <s v="stopped"/>
    <x v="3"/>
    <s v="2022-11-09T14:29:27.732000+00:00"/>
    <n v="134"/>
    <n v="0"/>
    <n v="0"/>
    <x v="4"/>
    <x v="5"/>
    <s v="14"/>
    <m/>
    <x v="2"/>
    <x v="2"/>
    <m/>
    <m/>
    <x v="0"/>
    <m/>
    <m/>
    <x v="54"/>
    <m/>
  </r>
  <r>
    <m/>
    <x v="4"/>
    <s v="6afebb5b-4ea4-414c-b57e-aed088bd8e88"/>
    <s v="stopped"/>
    <x v="3"/>
    <s v="2022-11-09T14:34:45.402000+00:00"/>
    <n v="134"/>
    <n v="0"/>
    <n v="0"/>
    <x v="4"/>
    <x v="5"/>
    <s v="14"/>
    <m/>
    <x v="2"/>
    <x v="2"/>
    <m/>
    <m/>
    <x v="0"/>
    <m/>
    <m/>
    <x v="54"/>
    <m/>
  </r>
  <r>
    <m/>
    <x v="3"/>
    <s v="214699a7-559b-4dd1-bb41-7cc61602994d"/>
    <m/>
    <x v="3"/>
    <s v="2022-11-09T15:49:39.489000+00:00"/>
    <n v="70"/>
    <n v="68"/>
    <n v="0.97142857142857142"/>
    <x v="4"/>
    <x v="3"/>
    <s v="47"/>
    <m/>
    <x v="2"/>
    <x v="2"/>
    <s v="NO DATA"/>
    <m/>
    <x v="0"/>
    <m/>
    <m/>
    <x v="54"/>
    <m/>
  </r>
  <r>
    <m/>
    <x v="2"/>
    <s v="a05d0118-4d80-44cd-9caa-1849b8071ecc"/>
    <s v="completed"/>
    <x v="3"/>
    <s v="2022-11-09T15:51:43.324000+00:00"/>
    <n v="4"/>
    <n v="4"/>
    <n v="1"/>
    <x v="4"/>
    <x v="0"/>
    <s v="43"/>
    <m/>
    <x v="2"/>
    <x v="2"/>
    <s v="/"/>
    <m/>
    <x v="0"/>
    <m/>
    <m/>
    <x v="54"/>
    <m/>
  </r>
  <r>
    <s v="d878c39c-bca5-4ebe-8de4-117b4cc677b4"/>
    <x v="1"/>
    <s v="aa0877be-3d1f-4ff8-a975-04e0036d7e1e"/>
    <s v="failed"/>
    <x v="0"/>
    <s v="2022-11-09T17:34:27.493000+00:00"/>
    <n v="102"/>
    <n v="6"/>
    <n v="5.8823529411764705E-2"/>
    <x v="3"/>
    <x v="1"/>
    <s v="47"/>
    <s v="URL"/>
    <x v="4"/>
    <x v="4"/>
    <s v="Robot doet laneswitch, 1 retry, wilt verder doorrijden maar botst tegen rails (?) en gaat in error"/>
    <m/>
    <x v="0"/>
    <m/>
    <m/>
    <x v="54"/>
    <m/>
  </r>
  <r>
    <s v="260abdf1-5df8-4807-991a-6e17261c7fa2"/>
    <x v="2"/>
    <s v="1e541d63-8e07-48d5-bf3c-83e5cf6223a0"/>
    <s v="failed"/>
    <x v="0"/>
    <s v="2022-11-09T20:33:55.898000+00:00"/>
    <n v="140"/>
    <n v="7"/>
    <n v="0.05"/>
    <x v="25"/>
    <x v="2"/>
    <s v="43"/>
    <s v="URL"/>
    <x v="3"/>
    <x v="3"/>
    <m/>
    <s v="OAG1XENLUM2204023.docx"/>
    <x v="0"/>
    <s v="eol wall timeout error. Krijgt net te laat de muur in beeld"/>
    <m/>
    <x v="54"/>
    <m/>
  </r>
  <r>
    <s v="63d55352-85a9-4a06-8ce1-333655619d3e"/>
    <x v="2"/>
    <s v="1e541d63-8e07-48d5-bf3c-83e5cf6223a0"/>
    <s v="failed"/>
    <x v="0"/>
    <s v="2022-11-09T20:39:35.066000+00:00"/>
    <n v="140"/>
    <n v="8"/>
    <n v="5.7142857142857141E-2"/>
    <x v="23"/>
    <x v="2"/>
    <s v="43"/>
    <s v="URL"/>
    <x v="3"/>
    <x v="3"/>
    <m/>
    <s v="OAG1XENLUM2204023.docx"/>
    <x v="0"/>
    <s v="eol wall timeout error. Krijgt net te laat de muur in beeld"/>
    <m/>
    <x v="54"/>
    <m/>
  </r>
  <r>
    <s v="3306be23-2d28-4961-b4ee-259c97ff5948"/>
    <x v="2"/>
    <s v="1e541d63-8e07-48d5-bf3c-83e5cf6223a0"/>
    <s v="failed"/>
    <x v="0"/>
    <s v="2022-11-09T20:45:15.089000+00:00"/>
    <n v="140"/>
    <n v="9"/>
    <n v="6.4285714285714279E-2"/>
    <x v="107"/>
    <x v="2"/>
    <s v="43"/>
    <s v="URL"/>
    <x v="3"/>
    <x v="3"/>
    <m/>
    <m/>
    <x v="0"/>
    <m/>
    <m/>
    <x v="54"/>
    <m/>
  </r>
  <r>
    <s v="e0e7f5dc-1369-47f1-9e70-48d046661970"/>
    <x v="2"/>
    <s v="1e541d63-8e07-48d5-bf3c-83e5cf6223a0"/>
    <s v="failed"/>
    <x v="0"/>
    <s v="2022-11-09T20:55:17.240000+00:00"/>
    <n v="140"/>
    <n v="11"/>
    <n v="7.857142857142857E-2"/>
    <x v="108"/>
    <x v="2"/>
    <s v="43"/>
    <s v="URL"/>
    <x v="3"/>
    <x v="3"/>
    <m/>
    <m/>
    <x v="0"/>
    <m/>
    <m/>
    <x v="54"/>
    <m/>
  </r>
  <r>
    <s v="bed6c2ba-af08-45d0-a28d-b43681ba0901"/>
    <x v="2"/>
    <s v="1e541d63-8e07-48d5-bf3c-83e5cf6223a0"/>
    <s v="failed"/>
    <x v="0"/>
    <s v="2022-11-09T21:00:41.311000+00:00"/>
    <n v="140"/>
    <n v="12"/>
    <n v="8.5714285714285715E-2"/>
    <x v="109"/>
    <x v="2"/>
    <s v="43"/>
    <s v="URL"/>
    <x v="3"/>
    <x v="3"/>
    <m/>
    <m/>
    <x v="0"/>
    <m/>
    <m/>
    <x v="54"/>
    <m/>
  </r>
  <r>
    <s v="a68d7208-028e-47bc-b1fc-a1d55d8ff714"/>
    <x v="2"/>
    <s v="1e541d63-8e07-48d5-bf3c-83e5cf6223a0"/>
    <s v="failed"/>
    <x v="0"/>
    <s v="2022-11-09T21:06:28.136000+00:00"/>
    <n v="140"/>
    <n v="13"/>
    <n v="9.285714285714286E-2"/>
    <x v="110"/>
    <x v="2"/>
    <s v="43"/>
    <s v="URL"/>
    <x v="3"/>
    <x v="3"/>
    <m/>
    <m/>
    <x v="0"/>
    <m/>
    <m/>
    <x v="54"/>
    <m/>
  </r>
  <r>
    <s v="9c531c19-3e7e-4ecb-ae8e-283efe924266"/>
    <x v="2"/>
    <s v="1e541d63-8e07-48d5-bf3c-83e5cf6223a0"/>
    <s v="failed"/>
    <x v="0"/>
    <s v="2022-11-09T21:12:06.464000+00:00"/>
    <n v="140"/>
    <n v="14"/>
    <n v="0.1"/>
    <x v="111"/>
    <x v="2"/>
    <s v="43"/>
    <s v="URL"/>
    <x v="3"/>
    <x v="3"/>
    <m/>
    <m/>
    <x v="0"/>
    <m/>
    <m/>
    <x v="54"/>
    <m/>
  </r>
  <r>
    <s v="6266bee8-e8dc-4f25-bda5-2fd2825662e0"/>
    <x v="2"/>
    <s v="1e541d63-8e07-48d5-bf3c-83e5cf6223a0"/>
    <s v="failed"/>
    <x v="0"/>
    <s v="2022-11-09T21:21:59.464000+00:00"/>
    <n v="140"/>
    <n v="16"/>
    <n v="0.11428571428571428"/>
    <x v="112"/>
    <x v="2"/>
    <s v="43"/>
    <s v="URL"/>
    <x v="3"/>
    <x v="3"/>
    <m/>
    <m/>
    <x v="0"/>
    <m/>
    <m/>
    <x v="54"/>
    <m/>
  </r>
  <r>
    <s v="b3f7c30e-098e-40af-b58a-6fba25ec6864"/>
    <x v="2"/>
    <s v="1e541d63-8e07-48d5-bf3c-83e5cf6223a0"/>
    <s v="failed"/>
    <x v="0"/>
    <s v="2022-11-09T21:31:49.262000+00:00"/>
    <n v="140"/>
    <n v="18"/>
    <n v="0.12857142857142856"/>
    <x v="113"/>
    <x v="2"/>
    <s v="43"/>
    <s v="URL"/>
    <x v="3"/>
    <x v="3"/>
    <m/>
    <m/>
    <x v="0"/>
    <m/>
    <m/>
    <x v="54"/>
    <m/>
  </r>
  <r>
    <s v="457f6930-50c0-485f-8064-0bb607cbb837"/>
    <x v="2"/>
    <s v="1e541d63-8e07-48d5-bf3c-83e5cf6223a0"/>
    <s v="failed"/>
    <x v="0"/>
    <s v="2022-11-09T21:46:27.188000+00:00"/>
    <n v="140"/>
    <n v="21"/>
    <n v="0.15"/>
    <x v="114"/>
    <x v="2"/>
    <s v="43"/>
    <s v="URL"/>
    <x v="3"/>
    <x v="3"/>
    <m/>
    <m/>
    <x v="0"/>
    <m/>
    <m/>
    <x v="54"/>
    <m/>
  </r>
  <r>
    <s v="39f2bd60-6cb3-4177-ad09-e28348a91b21"/>
    <x v="2"/>
    <s v="1e541d63-8e07-48d5-bf3c-83e5cf6223a0"/>
    <s v="failed"/>
    <x v="0"/>
    <s v="2022-11-09T21:56:34.284000+00:00"/>
    <n v="140"/>
    <n v="23"/>
    <n v="0.16428571428571428"/>
    <x v="65"/>
    <x v="2"/>
    <s v="43"/>
    <s v="URL"/>
    <x v="3"/>
    <x v="3"/>
    <m/>
    <m/>
    <x v="0"/>
    <m/>
    <m/>
    <x v="54"/>
    <m/>
  </r>
  <r>
    <s v="5429dc75-ae19-4cf9-abdf-f7ff959d602f"/>
    <x v="2"/>
    <s v="1e541d63-8e07-48d5-bf3c-83e5cf6223a0"/>
    <s v="failed"/>
    <x v="0"/>
    <s v="2022-11-09T22:06:23.204000+00:00"/>
    <n v="140"/>
    <n v="25"/>
    <n v="0.17857142857142858"/>
    <x v="115"/>
    <x v="2"/>
    <s v="43"/>
    <s v="URL"/>
    <x v="3"/>
    <x v="3"/>
    <m/>
    <m/>
    <x v="0"/>
    <m/>
    <m/>
    <x v="54"/>
    <m/>
  </r>
  <r>
    <s v="a57acdf0-c7a9-4949-baed-529cc987c04c"/>
    <x v="2"/>
    <s v="1e541d63-8e07-48d5-bf3c-83e5cf6223a0"/>
    <s v="failed"/>
    <x v="0"/>
    <s v="2022-11-09T22:20:53.943000+00:00"/>
    <n v="140"/>
    <n v="28"/>
    <n v="0.2"/>
    <x v="116"/>
    <x v="2"/>
    <s v="43"/>
    <s v="URL"/>
    <x v="3"/>
    <x v="3"/>
    <m/>
    <m/>
    <x v="0"/>
    <m/>
    <m/>
    <x v="54"/>
    <m/>
  </r>
  <r>
    <s v="0afaf6cc-1e23-4309-9c58-db6d4c5b099a"/>
    <x v="2"/>
    <s v="1e541d63-8e07-48d5-bf3c-83e5cf6223a0"/>
    <s v="failed"/>
    <x v="0"/>
    <s v="2022-11-09T22:30:56.230000+00:00"/>
    <n v="140"/>
    <n v="30"/>
    <n v="0.21428571428571427"/>
    <x v="117"/>
    <x v="2"/>
    <s v="43"/>
    <s v="URL"/>
    <x v="3"/>
    <x v="3"/>
    <m/>
    <m/>
    <x v="0"/>
    <m/>
    <m/>
    <x v="54"/>
    <m/>
  </r>
  <r>
    <s v="ac57fa53-1989-48e2-afbe-aaf024f2e548"/>
    <x v="2"/>
    <s v="1e541d63-8e07-48d5-bf3c-83e5cf6223a0"/>
    <s v="failed"/>
    <x v="0"/>
    <s v="2022-11-09T23:02:50.246000+00:00"/>
    <n v="140"/>
    <n v="37"/>
    <n v="0.26428571428571429"/>
    <x v="118"/>
    <x v="2"/>
    <s v="43"/>
    <s v="URL"/>
    <x v="3"/>
    <x v="3"/>
    <m/>
    <m/>
    <x v="0"/>
    <m/>
    <m/>
    <x v="54"/>
    <m/>
  </r>
  <r>
    <s v="9fa99f01-8f52-4a68-b239-85e6f8a5e245"/>
    <x v="2"/>
    <s v="1e541d63-8e07-48d5-bf3c-83e5cf6223a0"/>
    <s v="failed"/>
    <x v="0"/>
    <s v="2022-11-09T23:25:56.039000+00:00"/>
    <n v="140"/>
    <n v="42"/>
    <n v="0.3"/>
    <x v="119"/>
    <x v="2"/>
    <s v="43"/>
    <s v="URL"/>
    <x v="3"/>
    <x v="3"/>
    <m/>
    <m/>
    <x v="0"/>
    <m/>
    <s v="rail-wheel-radius aanpassen zodat robot 0.75m verder rijdt (~1mm verschil in wielstraal)"/>
    <x v="54"/>
    <m/>
  </r>
  <r>
    <m/>
    <x v="4"/>
    <s v="b516fa38-cea1-4049-b900-0f88ac9b667e"/>
    <s v="completed"/>
    <x v="3"/>
    <s v="2022-11-09T23:32:17.510000+00:00"/>
    <n v="133"/>
    <n v="133"/>
    <n v="1"/>
    <x v="4"/>
    <x v="5"/>
    <s v="14"/>
    <m/>
    <x v="2"/>
    <x v="2"/>
    <m/>
    <m/>
    <x v="0"/>
    <m/>
    <m/>
    <x v="54"/>
    <m/>
  </r>
  <r>
    <s v="669dc535-bf38-4348-b11a-5930b5c1b138"/>
    <x v="0"/>
    <s v="d46ee502-1c28-4b23-a897-97b3bb398b6e"/>
    <s v="failed"/>
    <x v="9"/>
    <s v="2022-11-10T01:10:48.289000+00:00"/>
    <n v="150"/>
    <n v="83"/>
    <n v="0.55333333333333334"/>
    <x v="120"/>
    <x v="0"/>
    <s v="43"/>
    <s v="URL"/>
    <x v="6"/>
    <x v="6"/>
    <s v="Tijdens laneswitch botst robot tegen 023"/>
    <s v="/"/>
    <x v="0"/>
    <s v="/"/>
    <s v="/"/>
    <x v="55"/>
    <s v="/"/>
  </r>
  <r>
    <s v="c817a3d8-a780-46dc-b417-a05c932b2f72"/>
    <x v="2"/>
    <s v="1e541d63-8e07-48d5-bf3c-83e5cf6223a0"/>
    <s v="failed"/>
    <x v="19"/>
    <s v="2022-11-10T01:15:10.376000+00:00"/>
    <n v="140"/>
    <n v="67"/>
    <n v="0.47857142857142859"/>
    <x v="121"/>
    <x v="2"/>
    <s v="43"/>
    <s v="URL"/>
    <x v="16"/>
    <x v="16"/>
    <s v="Robot botst tegen 024 op gangpad"/>
    <m/>
    <x v="0"/>
    <m/>
    <m/>
    <x v="55"/>
    <m/>
  </r>
  <r>
    <m/>
    <x v="2"/>
    <s v="8b2aa79d-be05-4929-81ce-65ac9720c99e"/>
    <s v="completed"/>
    <x v="3"/>
    <s v="2022-11-10T13:07:07.166000+00:00"/>
    <n v="8"/>
    <n v="8"/>
    <n v="1"/>
    <x v="4"/>
    <x v="0"/>
    <s v="43"/>
    <m/>
    <x v="2"/>
    <x v="2"/>
    <m/>
    <m/>
    <x v="0"/>
    <m/>
    <m/>
    <x v="55"/>
    <m/>
  </r>
  <r>
    <m/>
    <x v="2"/>
    <s v="794a6d99-b7ea-4ff3-9e10-ba2395f5c064"/>
    <s v="paused"/>
    <x v="3"/>
    <s v="2022-11-10T14:48:31.616000+00:00"/>
    <n v="1"/>
    <n v="1"/>
    <n v="1"/>
    <x v="4"/>
    <x v="0"/>
    <s v="43"/>
    <m/>
    <x v="2"/>
    <x v="2"/>
    <m/>
    <m/>
    <x v="0"/>
    <m/>
    <m/>
    <x v="55"/>
    <m/>
  </r>
  <r>
    <m/>
    <x v="2"/>
    <s v="c4e21d42-2136-4b26-9bfe-621c6cb115f2"/>
    <s v="paused"/>
    <x v="3"/>
    <s v="2022-11-10T15:14:32.613000+00:00"/>
    <n v="6"/>
    <n v="5"/>
    <n v="0.83333333333333337"/>
    <x v="4"/>
    <x v="0"/>
    <s v="43"/>
    <m/>
    <x v="3"/>
    <x v="3"/>
    <m/>
    <m/>
    <x v="0"/>
    <m/>
    <s v="Update 5.3.0 sw"/>
    <x v="55"/>
    <m/>
  </r>
  <r>
    <m/>
    <x v="0"/>
    <s v="182b3d58-a004-4372-83ca-5e6a455fa1d0"/>
    <s v="completed"/>
    <x v="3"/>
    <s v="2022-11-11T01:26:40.302000+00:00"/>
    <n v="137"/>
    <n v="137"/>
    <n v="1"/>
    <x v="4"/>
    <x v="2"/>
    <s v="43"/>
    <m/>
    <x v="2"/>
    <x v="2"/>
    <s v="/"/>
    <m/>
    <x v="0"/>
    <m/>
    <s v="Update 5.3.0 sw"/>
    <x v="56"/>
    <m/>
  </r>
  <r>
    <s v="9d8d49c9-30ac-4d43-8bbf-b3cc2301887a"/>
    <x v="2"/>
    <s v="dc3edf96-0c61-4f3c-9fa6-df6b5933df57"/>
    <s v="failed"/>
    <x v="0"/>
    <s v="2022-11-11T04:32:42.138000+00:00"/>
    <n v="386"/>
    <n v="176"/>
    <n v="0.45595854922279794"/>
    <x v="122"/>
    <x v="0"/>
    <s v="43"/>
    <s v="URL"/>
    <x v="18"/>
    <x v="18"/>
    <s v="Robot doet laneswitch, geen retry, rijdt verder en lijkt van rails af te vallen."/>
    <m/>
    <x v="0"/>
    <m/>
    <m/>
    <x v="56"/>
    <m/>
  </r>
  <r>
    <s v="9d8d49c9-30ac-4d43-8bbf-b3cc2301887a"/>
    <x v="2"/>
    <s v="dc3edf96-0c61-4f3c-9fa6-df6b5933df57"/>
    <s v="failed"/>
    <x v="20"/>
    <s v="2022-11-11T04:32:42.138000+00:00"/>
    <n v="386"/>
    <n v="177"/>
    <n v="0.45854922279792748"/>
    <x v="10"/>
    <x v="0"/>
    <s v="43"/>
    <s v="URL"/>
    <x v="19"/>
    <x v="19"/>
    <s v="zelfde beelden als vorige error"/>
    <m/>
    <x v="0"/>
    <m/>
    <m/>
    <x v="56"/>
    <m/>
  </r>
  <r>
    <m/>
    <x v="1"/>
    <s v="a29239f2-f777-4acc-b7e9-e76447a95da3"/>
    <s v="failed"/>
    <x v="2"/>
    <s v="2022-11-12T00:22:09.278000+00:00"/>
    <n v="101"/>
    <n v="85"/>
    <n v="0.84158415841584155"/>
    <x v="123"/>
    <x v="1"/>
    <s v="48"/>
    <m/>
    <x v="3"/>
    <x v="3"/>
    <s v="NO DATA"/>
    <m/>
    <x v="0"/>
    <m/>
    <m/>
    <x v="57"/>
    <m/>
  </r>
  <r>
    <m/>
    <x v="3"/>
    <s v="e4aeb255-781e-46b6-b49f-292b42744433"/>
    <s v="completed"/>
    <x v="3"/>
    <s v="2022-11-12T01:24:34.404000+00:00"/>
    <n v="101"/>
    <n v="101"/>
    <n v="1"/>
    <x v="4"/>
    <x v="1"/>
    <s v="48"/>
    <m/>
    <x v="2"/>
    <x v="2"/>
    <m/>
    <m/>
    <x v="0"/>
    <m/>
    <m/>
    <x v="57"/>
    <m/>
  </r>
  <r>
    <m/>
    <x v="3"/>
    <s v="83b7da82-dccf-4d5a-acae-d4c4113be34b"/>
    <m/>
    <x v="3"/>
    <s v="2022-11-12T16:08:10.400000+00:00"/>
    <n v="102"/>
    <n v="32"/>
    <n v="0.31372549019607843"/>
    <x v="4"/>
    <x v="3"/>
    <s v="48"/>
    <m/>
    <x v="2"/>
    <x v="2"/>
    <m/>
    <m/>
    <x v="0"/>
    <m/>
    <m/>
    <x v="57"/>
    <m/>
  </r>
  <r>
    <m/>
    <x v="0"/>
    <s v="90208104-1d1a-444c-b3f9-1ec929cd2550"/>
    <s v="stopped"/>
    <x v="0"/>
    <s v="2022-11-12T16:51:25.155000+00:00"/>
    <n v="187"/>
    <n v="1"/>
    <n v="5.3475935828877002E-3"/>
    <x v="124"/>
    <x v="0"/>
    <s v="43"/>
    <m/>
    <x v="20"/>
    <x v="20"/>
    <m/>
    <m/>
    <x v="0"/>
    <m/>
    <m/>
    <x v="57"/>
    <m/>
  </r>
  <r>
    <m/>
    <x v="2"/>
    <s v="107ecdf0-d614-4d56-aaef-ac18e3c1d08a"/>
    <m/>
    <x v="3"/>
    <s v="2022-11-12T16:54:29.167000+00:00"/>
    <n v="142"/>
    <n v="1"/>
    <n v="7.0422535211267607E-3"/>
    <x v="4"/>
    <x v="2"/>
    <s v="43"/>
    <m/>
    <x v="0"/>
    <x v="0"/>
    <s v="NO DATA"/>
    <m/>
    <x v="0"/>
    <m/>
    <m/>
    <x v="57"/>
    <m/>
  </r>
  <r>
    <m/>
    <x v="0"/>
    <s v="90208104-1d1a-444c-b3f9-1ec929cd2550"/>
    <s v="stopped"/>
    <x v="0"/>
    <s v="2022-11-12T16:55:13.111000+00:00"/>
    <n v="187"/>
    <n v="3"/>
    <n v="1.6042780748663103E-2"/>
    <x v="125"/>
    <x v="0"/>
    <s v="43"/>
    <m/>
    <x v="20"/>
    <x v="20"/>
    <m/>
    <m/>
    <x v="0"/>
    <m/>
    <m/>
    <x v="57"/>
    <m/>
  </r>
  <r>
    <m/>
    <x v="0"/>
    <s v="f63adda3-0bde-42c5-afb0-7f456d7101ed"/>
    <s v="failed"/>
    <x v="0"/>
    <s v="2022-11-12T16:57:41.615000+00:00"/>
    <n v="210"/>
    <n v="0"/>
    <n v="0"/>
    <x v="12"/>
    <x v="0"/>
    <s v="43"/>
    <m/>
    <x v="20"/>
    <x v="20"/>
    <m/>
    <m/>
    <x v="0"/>
    <m/>
    <m/>
    <x v="57"/>
    <m/>
  </r>
  <r>
    <m/>
    <x v="0"/>
    <s v="f63adda3-0bde-42c5-afb0-7f456d7101ed"/>
    <s v="failed"/>
    <x v="0"/>
    <s v="2022-11-12T16:58:16.754000+00:00"/>
    <n v="210"/>
    <n v="1"/>
    <n v="4.7619047619047623E-3"/>
    <x v="86"/>
    <x v="0"/>
    <s v="43"/>
    <m/>
    <x v="20"/>
    <x v="20"/>
    <m/>
    <m/>
    <x v="0"/>
    <m/>
    <m/>
    <x v="57"/>
    <m/>
  </r>
  <r>
    <m/>
    <x v="0"/>
    <s v="f63adda3-0bde-42c5-afb0-7f456d7101ed"/>
    <s v="failed"/>
    <x v="20"/>
    <s v="2022-11-12T16:59:00.387000+00:00"/>
    <n v="210"/>
    <n v="2"/>
    <n v="9.5238095238095247E-3"/>
    <x v="10"/>
    <x v="0"/>
    <s v="43"/>
    <m/>
    <x v="21"/>
    <x v="21"/>
    <m/>
    <m/>
    <x v="0"/>
    <m/>
    <m/>
    <x v="57"/>
    <m/>
  </r>
  <r>
    <m/>
    <x v="1"/>
    <s v="e74056f8-e117-4938-99e6-70445ce18696"/>
    <s v="failed"/>
    <x v="2"/>
    <s v="2022-11-12T19:47:19.391000+00:00"/>
    <n v="102"/>
    <n v="40"/>
    <n v="0.39215686274509803"/>
    <x v="126"/>
    <x v="3"/>
    <s v="48"/>
    <m/>
    <x v="1"/>
    <x v="1"/>
    <s v="NO DATA"/>
    <m/>
    <x v="0"/>
    <m/>
    <m/>
    <x v="57"/>
    <m/>
  </r>
  <r>
    <m/>
    <x v="2"/>
    <s v="c1f4fcd6-646d-44e9-865c-4de969556a6e"/>
    <s v="failed"/>
    <x v="20"/>
    <s v="2022-11-12T22:54:47.283000+00:00"/>
    <n v="219"/>
    <n v="80"/>
    <n v="0.36529680365296802"/>
    <x v="24"/>
    <x v="2"/>
    <s v="43"/>
    <m/>
    <x v="19"/>
    <x v="19"/>
    <m/>
    <m/>
    <x v="0"/>
    <m/>
    <m/>
    <x v="57"/>
    <m/>
  </r>
  <r>
    <m/>
    <x v="2"/>
    <s v="c1f4fcd6-646d-44e9-865c-4de969556a6e"/>
    <s v="failed"/>
    <x v="3"/>
    <s v="2022-11-12T22:54:49.286000+00:00"/>
    <n v="219"/>
    <n v="79"/>
    <n v="0.36073059360730592"/>
    <x v="4"/>
    <x v="2"/>
    <s v="43"/>
    <m/>
    <x v="22"/>
    <x v="22"/>
    <s v="NO DATA"/>
    <m/>
    <x v="0"/>
    <m/>
    <m/>
    <x v="57"/>
    <m/>
  </r>
  <r>
    <m/>
    <x v="0"/>
    <s v="c91f3f4a-506a-4e26-9567-fd8fc22ff0e8"/>
    <s v="failed"/>
    <x v="3"/>
    <s v="2022-11-13T01:10:21.704000+00:00"/>
    <n v="183"/>
    <n v="112"/>
    <n v="0.61202185792349728"/>
    <x v="4"/>
    <x v="0"/>
    <s v="43"/>
    <m/>
    <x v="18"/>
    <x v="18"/>
    <s v="NO DATA"/>
    <m/>
    <x v="0"/>
    <m/>
    <m/>
    <x v="58"/>
    <m/>
  </r>
  <r>
    <m/>
    <x v="2"/>
    <s v="5e3610ac-1879-43b4-b197-864c3da52370"/>
    <m/>
    <x v="3"/>
    <s v="2022-11-13T07:42:57.150000+00:00"/>
    <n v="80"/>
    <n v="28"/>
    <n v="0.35"/>
    <x v="4"/>
    <x v="2"/>
    <s v="43"/>
    <m/>
    <x v="2"/>
    <x v="2"/>
    <s v="NO ERRO CODE + NO DATA"/>
    <m/>
    <x v="0"/>
    <m/>
    <m/>
    <x v="58"/>
    <m/>
  </r>
  <r>
    <m/>
    <x v="0"/>
    <s v="14b18fd7-3cc5-412e-8907-9c59ee3ecceb"/>
    <s v="failed"/>
    <x v="3"/>
    <s v="2022-11-13T09:46:32.650000+00:00"/>
    <n v="140"/>
    <n v="26"/>
    <n v="0.18571428571428572"/>
    <x v="4"/>
    <x v="0"/>
    <s v="43"/>
    <m/>
    <x v="6"/>
    <x v="6"/>
    <s v="NO DATA"/>
    <m/>
    <x v="0"/>
    <m/>
    <m/>
    <x v="58"/>
    <m/>
  </r>
  <r>
    <s v="679af4f0-e8ef-415d-bc61-6682d08def87"/>
    <x v="2"/>
    <s v="67e5a962-99b6-427f-8cdc-dec180e75a34"/>
    <s v="failed"/>
    <x v="20"/>
    <s v="2022-11-13T10:23:01.696000+00:00"/>
    <n v="139"/>
    <n v="0"/>
    <n v="0"/>
    <x v="127"/>
    <x v="0"/>
    <s v="43"/>
    <s v="URL"/>
    <x v="23"/>
    <x v="23"/>
    <s v="Robot staat klaar , er gebeurt niets"/>
    <m/>
    <x v="0"/>
    <m/>
    <m/>
    <x v="58"/>
    <m/>
  </r>
  <r>
    <s v="642c3aa4-e849-4ebc-9668-b972f7169d15"/>
    <x v="2"/>
    <s v="01237251-4d94-4c17-bd17-20c50baeba79"/>
    <s v="failed"/>
    <x v="21"/>
    <s v="2022-11-13T10:26:41.688000+00:00"/>
    <n v="210"/>
    <n v="0"/>
    <n v="0"/>
    <x v="16"/>
    <x v="2"/>
    <s v="43"/>
    <s v="URL"/>
    <x v="24"/>
    <x v="24"/>
    <s v="Voertuig lijkt traag terug te rijden, heft zich van de rails in het midden van de lane. Lane vlak tegen 'opstekende rand'"/>
    <m/>
    <x v="0"/>
    <m/>
    <m/>
    <x v="58"/>
    <m/>
  </r>
  <r>
    <s v="0c7bf0ed-6646-43f3-9aec-e9e2cb487133"/>
    <x v="0"/>
    <s v="ab97f10b-0f6f-41e3-bd02-c0cabb9e3253"/>
    <s v="stopped"/>
    <x v="3"/>
    <s v="2022-11-13T10:28:20.493000+00:00"/>
    <n v="210"/>
    <n v="3"/>
    <n v="1.4285714285714285E-2"/>
    <x v="4"/>
    <x v="0"/>
    <s v="43"/>
    <s v="URL"/>
    <x v="4"/>
    <x v="4"/>
    <s v="Robot keert terug (recovery?) en heft zich van de rails"/>
    <m/>
    <x v="0"/>
    <m/>
    <m/>
    <x v="58"/>
    <m/>
  </r>
  <r>
    <m/>
    <x v="0"/>
    <s v="08296e76-f97b-43f7-b278-5062eb2b4b58"/>
    <s v="failed"/>
    <x v="3"/>
    <s v="2022-11-13T10:57:55.746000+00:00"/>
    <n v="179"/>
    <n v="0"/>
    <n v="0"/>
    <x v="4"/>
    <x v="0"/>
    <s v="43"/>
    <m/>
    <x v="20"/>
    <x v="20"/>
    <s v="NO DATA"/>
    <m/>
    <x v="0"/>
    <m/>
    <m/>
    <x v="58"/>
    <m/>
  </r>
  <r>
    <s v="cc45f801-fe22-496a-983c-1b560558125f"/>
    <x v="0"/>
    <s v="1b735ae0-4bfa-4d47-88ee-1cbb7d7770a6"/>
    <s v="failed"/>
    <x v="20"/>
    <s v="2022-11-13T11:10:08.504000+00:00"/>
    <n v="179"/>
    <n v="0"/>
    <n v="0"/>
    <x v="128"/>
    <x v="0"/>
    <s v="43"/>
    <s v="URL"/>
    <x v="23"/>
    <x v="23"/>
    <s v="Robot staat klaar, er gebeurt niets"/>
    <m/>
    <x v="0"/>
    <m/>
    <m/>
    <x v="58"/>
    <m/>
  </r>
  <r>
    <s v="afcd6d44-f756-43df-9899-b569157f5d1c"/>
    <x v="2"/>
    <s v="80679f4e-6eec-475f-9212-34e4f3a6c07c"/>
    <s v="failed"/>
    <x v="20"/>
    <s v="2022-11-13T11:15:42.085000+00:00"/>
    <n v="139"/>
    <n v="0"/>
    <n v="0"/>
    <x v="127"/>
    <x v="0"/>
    <s v="43"/>
    <s v="URL"/>
    <x v="23"/>
    <x v="23"/>
    <s v="voertuig wordt manueel bestuurd. Onduidelijke situatie"/>
    <m/>
    <x v="0"/>
    <m/>
    <m/>
    <x v="58"/>
    <m/>
  </r>
  <r>
    <m/>
    <x v="2"/>
    <s v="68ba7bbb-7d32-4642-aa81-41ec6a21618f"/>
    <m/>
    <x v="0"/>
    <s v="2022-11-13T11:17:21.088000+00:00"/>
    <n v="211"/>
    <n v="0"/>
    <n v="0"/>
    <x v="16"/>
    <x v="0"/>
    <s v="43"/>
    <m/>
    <x v="3"/>
    <x v="3"/>
    <s v="NO DATA"/>
    <m/>
    <x v="0"/>
    <m/>
    <m/>
    <x v="58"/>
    <m/>
  </r>
  <r>
    <s v="8e7c53ba-1821-422c-ae11-1ee6aad71afb"/>
    <x v="2"/>
    <s v="68ba7bbb-7d32-4642-aa81-41ec6a21618f"/>
    <m/>
    <x v="3"/>
    <s v="2022-11-13T11:24:33.778000+00:00"/>
    <n v="211"/>
    <n v="1"/>
    <n v="4.7393364928909956E-3"/>
    <x v="16"/>
    <x v="0"/>
    <s v="43"/>
    <s v="URL"/>
    <x v="25"/>
    <x v="25"/>
    <s v="Robot schuifelt over de rails, lijkt in het midden in error gaan (zie vorig event?). Robot schuifelt terug (recovery?) en gaat in error (half aftillend van rails). Lane vlak naast 'opstekende rand'"/>
    <m/>
    <x v="0"/>
    <m/>
    <m/>
    <x v="58"/>
    <m/>
  </r>
  <r>
    <m/>
    <x v="2"/>
    <s v="8c263c11-227f-4198-89c5-5164a2a57445"/>
    <s v="failed"/>
    <x v="3"/>
    <s v="2022-11-13T12:04:47.140000+00:00"/>
    <n v="139"/>
    <n v="7"/>
    <n v="5.0359712230215826E-2"/>
    <x v="4"/>
    <x v="2"/>
    <s v="43"/>
    <m/>
    <x v="6"/>
    <x v="6"/>
    <s v="NO DATA"/>
    <m/>
    <x v="0"/>
    <m/>
    <m/>
    <x v="58"/>
    <m/>
  </r>
  <r>
    <s v="8fdd0257-8466-4cd7-aa52-91f6c9b5d72e"/>
    <x v="0"/>
    <s v="5d0e01dd-18c3-46e4-94df-85b9301a27dd"/>
    <s v="failed"/>
    <x v="22"/>
    <s v="2022-11-13T12:04:59.229000+00:00"/>
    <n v="179"/>
    <n v="5"/>
    <n v="2.7932960893854747E-2"/>
    <x v="129"/>
    <x v="0"/>
    <s v="43"/>
    <s v="URL"/>
    <x v="6"/>
    <x v="6"/>
    <s v="Bumper wordt getriggerd door operator tijdens laneswitch."/>
    <m/>
    <x v="0"/>
    <m/>
    <m/>
    <x v="58"/>
    <m/>
  </r>
  <r>
    <s v="bd17b74d-3a43-499b-a6fc-38ca23237e3c"/>
    <x v="2"/>
    <s v="0c01fd00-cd2e-4bdd-b380-793978d68c0b"/>
    <s v="failed"/>
    <x v="23"/>
    <s v="2022-11-13T16:07:08.110000+00:00"/>
    <n v="210"/>
    <n v="2"/>
    <n v="9.5238095238095247E-3"/>
    <x v="76"/>
    <x v="0"/>
    <s v="43"/>
    <s v="URL"/>
    <x v="16"/>
    <x v="16"/>
    <s v="Robot botst tegen steuntje op rails"/>
    <m/>
    <x v="0"/>
    <m/>
    <m/>
    <x v="58"/>
    <n v="6"/>
  </r>
  <r>
    <s v="6674d940-eabf-4bdb-88f1-a95a4e0759b4"/>
    <x v="2"/>
    <s v="54acec1e-5750-4233-8c06-567ba7cfadb2"/>
    <s v="failed"/>
    <x v="21"/>
    <s v="2022-11-13T16:24:26.699000+00:00"/>
    <n v="210"/>
    <n v="0"/>
    <n v="0"/>
    <x v="16"/>
    <x v="0"/>
    <s v="43"/>
    <s v="URL"/>
    <x v="25"/>
    <x v="25"/>
    <s v="Robot keert terug (recovery?) en valt van de rails"/>
    <m/>
    <x v="0"/>
    <m/>
    <m/>
    <x v="58"/>
    <m/>
  </r>
  <r>
    <s v="a85d372d-4502-409e-bf69-58cfafc7a70e"/>
    <x v="3"/>
    <s v="3253a2c5-10d4-491e-bcea-de976ce8fddb"/>
    <s v="failed"/>
    <x v="2"/>
    <s v="2022-11-13T20:37:43.941000+00:00"/>
    <n v="102"/>
    <n v="20"/>
    <n v="0.19607843137254902"/>
    <x v="130"/>
    <x v="3"/>
    <s v="47"/>
    <s v="URL"/>
    <x v="4"/>
    <x v="4"/>
    <m/>
    <m/>
    <x v="0"/>
    <m/>
    <m/>
    <x v="58"/>
    <m/>
  </r>
  <r>
    <m/>
    <x v="1"/>
    <s v="264f7556-e9c7-43dc-99de-ea416a08cb4d"/>
    <s v="failed"/>
    <x v="2"/>
    <s v="2022-11-13T21:45:39.908000+00:00"/>
    <n v="102"/>
    <n v="40"/>
    <n v="0.39215686274509803"/>
    <x v="131"/>
    <x v="3"/>
    <s v="48"/>
    <m/>
    <x v="8"/>
    <x v="8"/>
    <m/>
    <m/>
    <x v="0"/>
    <m/>
    <m/>
    <x v="58"/>
    <m/>
  </r>
  <r>
    <s v="074d9325-c9f5-42b4-ad39-ec19036c06ab"/>
    <x v="0"/>
    <s v="f8ebac89-ad84-4c51-819a-c7bfaa1f82aa"/>
    <s v="failed"/>
    <x v="0"/>
    <s v="2022-11-13T21:49:04.311000+00:00"/>
    <n v="220"/>
    <n v="80"/>
    <n v="0.36363636363636365"/>
    <x v="132"/>
    <x v="2"/>
    <s v="43"/>
    <s v="URL"/>
    <x v="3"/>
    <x v="3"/>
    <s v="EMPTY DATA"/>
    <m/>
    <x v="0"/>
    <m/>
    <m/>
    <x v="58"/>
    <m/>
  </r>
  <r>
    <s v="6d4f4a43-6c54-48eb-97e6-021f9132a6fb"/>
    <x v="0"/>
    <s v="f8ebac89-ad84-4c51-819a-c7bfaa1f82aa"/>
    <s v="failed"/>
    <x v="24"/>
    <s v="2022-11-13T21:54:00.407000+00:00"/>
    <n v="220"/>
    <n v="81"/>
    <n v="0.36818181818181817"/>
    <x v="127"/>
    <x v="2"/>
    <s v="43"/>
    <s v="URL"/>
    <x v="5"/>
    <x v="5"/>
    <s v="EMPTY DATA"/>
    <m/>
    <x v="0"/>
    <m/>
    <m/>
    <x v="58"/>
    <m/>
  </r>
  <r>
    <m/>
    <x v="2"/>
    <s v="680bdb03-a850-42e1-b386-066c66116f84"/>
    <s v="failed"/>
    <x v="22"/>
    <s v="2022-11-14T12:03:22.223000+00:00"/>
    <n v="198"/>
    <n v="20"/>
    <n v="0.10101010101010101"/>
    <x v="122"/>
    <x v="0"/>
    <s v="43"/>
    <m/>
    <x v="6"/>
    <x v="6"/>
    <m/>
    <m/>
    <x v="0"/>
    <m/>
    <m/>
    <x v="59"/>
    <m/>
  </r>
  <r>
    <m/>
    <x v="0"/>
    <s v="cc81b302-0caf-486d-8c33-c56fd452bf0b"/>
    <s v="failed"/>
    <x v="25"/>
    <s v="2022-11-14T12:11:07.388000+00:00"/>
    <n v="59"/>
    <n v="27"/>
    <n v="0.4576271186440678"/>
    <x v="133"/>
    <x v="2"/>
    <s v="43"/>
    <m/>
    <x v="5"/>
    <x v="5"/>
    <m/>
    <m/>
    <x v="0"/>
    <m/>
    <m/>
    <x v="59"/>
    <m/>
  </r>
  <r>
    <m/>
    <x v="2"/>
    <s v="f8de2bf9-da2f-4a9d-ad82-f6cc686b54ec"/>
    <s v="stopped"/>
    <x v="3"/>
    <s v="2022-11-14T12:19:08.378000+00:00"/>
    <n v="210"/>
    <n v="0"/>
    <n v="0"/>
    <x v="4"/>
    <x v="0"/>
    <s v="43"/>
    <m/>
    <x v="2"/>
    <x v="2"/>
    <m/>
    <m/>
    <x v="0"/>
    <m/>
    <m/>
    <x v="59"/>
    <m/>
  </r>
  <r>
    <s v="30969e6c-b00d-4a59-9b25-c70f67e170d5"/>
    <x v="4"/>
    <s v="60d53348-3544-45ef-b98d-16326c54b721"/>
    <s v="failed"/>
    <x v="18"/>
    <s v="2022-11-14T16:07:34.054000+00:00"/>
    <n v="139"/>
    <n v="0"/>
    <n v="0"/>
    <x v="124"/>
    <x v="5"/>
    <s v="14"/>
    <s v="URL"/>
    <x v="2"/>
    <x v="2"/>
    <s v="Robot staat klaar, gaat in error. Normale condities"/>
    <m/>
    <x v="0"/>
    <m/>
    <m/>
    <x v="59"/>
    <m/>
  </r>
  <r>
    <m/>
    <x v="2"/>
    <s v="537de1f1-2e51-48a4-a755-fdb648743919"/>
    <s v="failed"/>
    <x v="23"/>
    <s v="2022-11-14T16:23:21.831000+00:00"/>
    <n v="210"/>
    <n v="2"/>
    <n v="9.5238095238095247E-3"/>
    <x v="76"/>
    <x v="0"/>
    <s v="43"/>
    <m/>
    <x v="16"/>
    <x v="16"/>
    <s v="(Robot botst tegen steuntje ah einde van de lane?)"/>
    <m/>
    <x v="0"/>
    <m/>
    <m/>
    <x v="59"/>
    <n v="6"/>
  </r>
  <r>
    <m/>
    <x v="1"/>
    <s v="538e5850-0ad2-4393-9c32-b8ea9aec4fb1"/>
    <s v="failed"/>
    <x v="0"/>
    <s v="2022-11-14T20:48:52.383000+00:00"/>
    <n v="102"/>
    <n v="8"/>
    <n v="7.8431372549019607E-2"/>
    <x v="134"/>
    <x v="1"/>
    <s v="48"/>
    <m/>
    <x v="3"/>
    <x v="3"/>
    <m/>
    <m/>
    <x v="0"/>
    <m/>
    <m/>
    <x v="59"/>
    <m/>
  </r>
  <r>
    <m/>
    <x v="1"/>
    <s v="538e5850-0ad2-4393-9c32-b8ea9aec4fb1"/>
    <s v="failed"/>
    <x v="0"/>
    <s v="2022-11-14T20:48:52.383000+00:00"/>
    <n v="102"/>
    <n v="9"/>
    <n v="8.8235294117647065E-2"/>
    <x v="134"/>
    <x v="1"/>
    <s v="48"/>
    <m/>
    <x v="1"/>
    <x v="1"/>
    <m/>
    <m/>
    <x v="0"/>
    <m/>
    <m/>
    <x v="59"/>
    <m/>
  </r>
  <r>
    <m/>
    <x v="1"/>
    <s v="538e5850-0ad2-4393-9c32-b8ea9aec4fb1"/>
    <s v="failed"/>
    <x v="2"/>
    <s v="2022-11-14T20:48:52.383000+00:00"/>
    <n v="102"/>
    <n v="17"/>
    <n v="0.16666666666666666"/>
    <x v="135"/>
    <x v="1"/>
    <s v="48"/>
    <m/>
    <x v="3"/>
    <x v="3"/>
    <m/>
    <m/>
    <x v="0"/>
    <m/>
    <m/>
    <x v="59"/>
    <m/>
  </r>
  <r>
    <m/>
    <x v="4"/>
    <s v="16501514-8889-4ef0-812a-2bbbf2ad53dc"/>
    <s v="completed"/>
    <x v="3"/>
    <s v="2022-11-14T21:52:25.576000+00:00"/>
    <n v="134"/>
    <n v="134"/>
    <n v="1"/>
    <x v="4"/>
    <x v="5"/>
    <s v="14"/>
    <m/>
    <x v="2"/>
    <x v="2"/>
    <m/>
    <m/>
    <x v="0"/>
    <m/>
    <m/>
    <x v="59"/>
    <m/>
  </r>
  <r>
    <m/>
    <x v="3"/>
    <s v="c9c469c4-5ef7-48e1-948c-9f41899067b3"/>
    <s v="failed"/>
    <x v="2"/>
    <s v="2022-11-14T22:22:51.442000+00:00"/>
    <n v="101"/>
    <n v="49"/>
    <n v="0.48514851485148514"/>
    <x v="77"/>
    <x v="1"/>
    <s v="48"/>
    <m/>
    <x v="1"/>
    <x v="1"/>
    <m/>
    <m/>
    <x v="0"/>
    <m/>
    <m/>
    <x v="59"/>
    <m/>
  </r>
  <r>
    <m/>
    <x v="0"/>
    <s v="c114f4c6-9e12-4e97-8da7-cd42c08fd55c"/>
    <s v="completed"/>
    <x v="3"/>
    <s v="2022-11-15T02:08:40.469000+00:00"/>
    <n v="139"/>
    <n v="139"/>
    <n v="1"/>
    <x v="4"/>
    <x v="2"/>
    <s v="43"/>
    <m/>
    <x v="2"/>
    <x v="2"/>
    <s v="/"/>
    <s v="/"/>
    <x v="0"/>
    <s v="/"/>
    <s v="/"/>
    <x v="60"/>
    <m/>
  </r>
  <r>
    <m/>
    <x v="2"/>
    <s v="bb8935da-10fe-4589-b21a-5691e922f5b3"/>
    <s v="completed"/>
    <x v="3"/>
    <s v="2022-11-15T07:17:48.104000+00:00"/>
    <n v="205"/>
    <n v="205"/>
    <n v="1"/>
    <x v="4"/>
    <x v="0"/>
    <s v="43"/>
    <m/>
    <x v="2"/>
    <x v="2"/>
    <s v="/"/>
    <s v="/"/>
    <x v="0"/>
    <s v="/"/>
    <s v="/"/>
    <x v="60"/>
    <m/>
  </r>
  <r>
    <m/>
    <x v="2"/>
    <s v="bb8935da-10fe-4589-b21a-5691e922f5b3"/>
    <s v="completed"/>
    <x v="3"/>
    <s v="2022-11-15T07:17:48.104000+00:00"/>
    <n v="205"/>
    <n v="205"/>
    <n v="1"/>
    <x v="4"/>
    <x v="0"/>
    <s v="43"/>
    <m/>
    <x v="2"/>
    <x v="2"/>
    <m/>
    <m/>
    <x v="0"/>
    <m/>
    <m/>
    <x v="60"/>
    <m/>
  </r>
  <r>
    <m/>
    <x v="0"/>
    <s v="6186d764-e4ec-4e41-b337-b4ede4d4b2bd"/>
    <m/>
    <x v="3"/>
    <s v="2022-11-15T09:14:22.930000+00:00"/>
    <n v="5"/>
    <n v="4"/>
    <n v="0.8"/>
    <x v="36"/>
    <x v="0"/>
    <s v="43"/>
    <m/>
    <x v="3"/>
    <x v="3"/>
    <m/>
    <m/>
    <x v="0"/>
    <m/>
    <m/>
    <x v="60"/>
    <m/>
  </r>
  <r>
    <m/>
    <x v="0"/>
    <s v="9e5f9be1-9ff6-4ee1-ae0d-542ad2970f7a"/>
    <s v="failed"/>
    <x v="0"/>
    <s v="2022-11-15T09:21:40.733000+00:00"/>
    <n v="6"/>
    <n v="0"/>
    <n v="0"/>
    <x v="124"/>
    <x v="0"/>
    <s v="43"/>
    <m/>
    <x v="6"/>
    <x v="6"/>
    <m/>
    <m/>
    <x v="0"/>
    <m/>
    <m/>
    <x v="60"/>
    <m/>
  </r>
  <r>
    <m/>
    <x v="2"/>
    <s v="6ea35a32-8f01-4640-ad3e-5f912276ca5f"/>
    <s v="completed"/>
    <x v="3"/>
    <s v="2022-11-15T09:22:44.590000+00:00"/>
    <n v="5"/>
    <n v="5"/>
    <n v="1"/>
    <x v="4"/>
    <x v="0"/>
    <s v="43"/>
    <m/>
    <x v="2"/>
    <x v="2"/>
    <m/>
    <m/>
    <x v="0"/>
    <m/>
    <m/>
    <x v="60"/>
    <m/>
  </r>
  <r>
    <m/>
    <x v="0"/>
    <s v="9e5f9be1-9ff6-4ee1-ae0d-542ad2970f7a"/>
    <s v="failed"/>
    <x v="20"/>
    <s v="2022-11-15T09:26:27.359000+00:00"/>
    <n v="6"/>
    <n v="1"/>
    <n v="0.16666666666666666"/>
    <x v="36"/>
    <x v="0"/>
    <s v="43"/>
    <m/>
    <x v="6"/>
    <x v="6"/>
    <m/>
    <m/>
    <x v="0"/>
    <m/>
    <m/>
    <x v="60"/>
    <m/>
  </r>
  <r>
    <m/>
    <x v="0"/>
    <s v="c5b0975d-077e-4616-b60d-6dd1c5a32e99"/>
    <s v="completed"/>
    <x v="3"/>
    <s v="2022-11-15T09:54:28.296000+00:00"/>
    <n v="5"/>
    <n v="5"/>
    <n v="1"/>
    <x v="4"/>
    <x v="0"/>
    <s v="43"/>
    <m/>
    <x v="2"/>
    <x v="2"/>
    <m/>
    <m/>
    <x v="0"/>
    <m/>
    <m/>
    <x v="60"/>
    <m/>
  </r>
  <r>
    <m/>
    <x v="2"/>
    <s v="20f46bbf-523a-4d7f-9479-c91cb526d672"/>
    <s v="stopped"/>
    <x v="3"/>
    <s v="2022-11-15T10:02:01.928000+00:00"/>
    <n v="5"/>
    <n v="0"/>
    <n v="0"/>
    <x v="4"/>
    <x v="0"/>
    <s v="43"/>
    <m/>
    <x v="2"/>
    <x v="2"/>
    <m/>
    <m/>
    <x v="0"/>
    <m/>
    <m/>
    <x v="60"/>
    <m/>
  </r>
  <r>
    <s v="0705a38e-f68a-4cda-82f3-656ddd09910a"/>
    <x v="2"/>
    <s v="ba5c4f2b-6beb-438a-835a-197cab492f1c"/>
    <s v="failed"/>
    <x v="23"/>
    <s v="2022-11-15T10:09:32.978000+00:00"/>
    <n v="5"/>
    <n v="1"/>
    <n v="0.2"/>
    <x v="136"/>
    <x v="0"/>
    <s v="43"/>
    <s v="URL"/>
    <x v="16"/>
    <x v="16"/>
    <m/>
    <m/>
    <x v="0"/>
    <m/>
    <m/>
    <x v="60"/>
    <m/>
  </r>
  <r>
    <m/>
    <x v="4"/>
    <s v="c84e0043-9d80-4e2a-b2b8-da8add02083f"/>
    <s v="completed"/>
    <x v="3"/>
    <s v="2022-11-15T12:15:30.966000+00:00"/>
    <n v="3"/>
    <n v="3"/>
    <n v="1"/>
    <x v="4"/>
    <x v="5"/>
    <s v="14"/>
    <m/>
    <x v="2"/>
    <x v="2"/>
    <m/>
    <m/>
    <x v="0"/>
    <m/>
    <m/>
    <x v="60"/>
    <m/>
  </r>
  <r>
    <m/>
    <x v="4"/>
    <s v="c93ac749-e908-402f-ac79-271db833e890"/>
    <s v="completed"/>
    <x v="3"/>
    <s v="2022-11-15T12:59:54.978000+00:00"/>
    <n v="7"/>
    <n v="7"/>
    <n v="1"/>
    <x v="4"/>
    <x v="5"/>
    <s v="14"/>
    <m/>
    <x v="2"/>
    <x v="2"/>
    <m/>
    <m/>
    <x v="0"/>
    <m/>
    <m/>
    <x v="60"/>
    <m/>
  </r>
  <r>
    <m/>
    <x v="1"/>
    <s v="678ba5d7-4ca6-4c2f-b828-f59e049bfac8"/>
    <s v="stopped"/>
    <x v="3"/>
    <s v="2022-11-15T13:16:20.381000+00:00"/>
    <n v="4"/>
    <n v="1"/>
    <n v="0.25"/>
    <x v="4"/>
    <x v="3"/>
    <s v="47"/>
    <m/>
    <x v="2"/>
    <x v="2"/>
    <m/>
    <m/>
    <x v="0"/>
    <m/>
    <m/>
    <x v="60"/>
    <m/>
  </r>
  <r>
    <m/>
    <x v="0"/>
    <s v="9ac7be1b-af95-4da3-ab10-baee05185b5b"/>
    <s v="failed"/>
    <x v="20"/>
    <s v="2022-11-15T15:49:13.465000+00:00"/>
    <n v="7"/>
    <n v="0"/>
    <n v="0"/>
    <x v="124"/>
    <x v="0"/>
    <s v="43"/>
    <m/>
    <x v="6"/>
    <x v="6"/>
    <m/>
    <m/>
    <x v="0"/>
    <m/>
    <m/>
    <x v="60"/>
    <m/>
  </r>
  <r>
    <m/>
    <x v="2"/>
    <s v="26fdf90d-7c11-4f10-8491-ca1328b551bc"/>
    <s v="failed"/>
    <x v="20"/>
    <s v="2022-11-15T15:54:33.906000+00:00"/>
    <n v="7"/>
    <n v="0"/>
    <n v="0"/>
    <x v="37"/>
    <x v="0"/>
    <s v="43"/>
    <m/>
    <x v="19"/>
    <x v="19"/>
    <m/>
    <m/>
    <x v="0"/>
    <m/>
    <m/>
    <x v="60"/>
    <m/>
  </r>
  <r>
    <m/>
    <x v="2"/>
    <s v="c9da4f0a-722a-4e39-95f0-f839dc23a500"/>
    <s v="stopped"/>
    <x v="3"/>
    <s v="2022-11-15T16:01:01.195000+00:00"/>
    <n v="7"/>
    <n v="0"/>
    <n v="0"/>
    <x v="4"/>
    <x v="0"/>
    <s v="43"/>
    <m/>
    <x v="2"/>
    <x v="2"/>
    <m/>
    <m/>
    <x v="0"/>
    <m/>
    <m/>
    <x v="60"/>
    <m/>
  </r>
  <r>
    <m/>
    <x v="2"/>
    <s v="9c9357aa-1dc3-4543-bab2-6dde71e6d74d"/>
    <s v="stopped"/>
    <x v="3"/>
    <s v="2022-11-15T16:02:31.385000+00:00"/>
    <n v="7"/>
    <n v="0"/>
    <n v="0"/>
    <x v="4"/>
    <x v="0"/>
    <s v="43"/>
    <m/>
    <x v="2"/>
    <x v="2"/>
    <m/>
    <m/>
    <x v="0"/>
    <m/>
    <m/>
    <x v="60"/>
    <m/>
  </r>
  <r>
    <m/>
    <x v="2"/>
    <s v="c8329ec5-e86f-4896-824b-4d1ed6441810"/>
    <s v="stopped"/>
    <x v="3"/>
    <s v="2022-11-15T16:05:56.226000+00:00"/>
    <n v="2"/>
    <n v="0"/>
    <n v="0"/>
    <x v="4"/>
    <x v="0"/>
    <s v="43"/>
    <m/>
    <x v="2"/>
    <x v="2"/>
    <m/>
    <m/>
    <x v="0"/>
    <m/>
    <m/>
    <x v="60"/>
    <m/>
  </r>
  <r>
    <m/>
    <x v="2"/>
    <s v="427080fb-aa76-4a69-9bbe-810c6fab1aa5"/>
    <s v="stopped"/>
    <x v="3"/>
    <s v="2022-11-15T16:06:41.374000+00:00"/>
    <n v="7"/>
    <n v="0"/>
    <n v="0"/>
    <x v="4"/>
    <x v="0"/>
    <s v="43"/>
    <m/>
    <x v="2"/>
    <x v="2"/>
    <m/>
    <m/>
    <x v="0"/>
    <m/>
    <m/>
    <x v="60"/>
    <m/>
  </r>
  <r>
    <m/>
    <x v="0"/>
    <s v="65a79015-1a19-4dcc-9ba3-95d5b927caf4"/>
    <s v="completed"/>
    <x v="3"/>
    <s v="2022-11-15T16:25:27.875000+00:00"/>
    <n v="8"/>
    <n v="8"/>
    <n v="1"/>
    <x v="4"/>
    <x v="0"/>
    <s v="43"/>
    <m/>
    <x v="2"/>
    <x v="2"/>
    <m/>
    <m/>
    <x v="0"/>
    <m/>
    <m/>
    <x v="60"/>
    <m/>
  </r>
  <r>
    <m/>
    <x v="2"/>
    <s v="48971270-46c3-42af-8f74-b29b63b08b33"/>
    <s v="completed"/>
    <x v="3"/>
    <s v="2022-11-15T16:36:46.133000+00:00"/>
    <n v="7"/>
    <n v="7"/>
    <n v="1"/>
    <x v="4"/>
    <x v="0"/>
    <s v="43"/>
    <m/>
    <x v="2"/>
    <x v="2"/>
    <m/>
    <m/>
    <x v="0"/>
    <m/>
    <m/>
    <x v="60"/>
    <m/>
  </r>
  <r>
    <m/>
    <x v="1"/>
    <s v="32b5b089-730e-443c-b76f-120bb6576e4d"/>
    <s v="stopped"/>
    <x v="3"/>
    <s v="2022-11-15T16:58:08.048000+00:00"/>
    <n v="3"/>
    <n v="0"/>
    <n v="0"/>
    <x v="4"/>
    <x v="1"/>
    <s v="48"/>
    <m/>
    <x v="2"/>
    <x v="2"/>
    <m/>
    <m/>
    <x v="0"/>
    <m/>
    <m/>
    <x v="60"/>
    <m/>
  </r>
  <r>
    <m/>
    <x v="3"/>
    <s v="8cad8490-8e6a-4425-a78f-2c09f69844df"/>
    <s v="completed"/>
    <x v="3"/>
    <s v="2022-11-15T18:03:18.698000+00:00"/>
    <n v="8"/>
    <n v="8"/>
    <n v="1"/>
    <x v="4"/>
    <x v="1"/>
    <s v="47"/>
    <m/>
    <x v="2"/>
    <x v="2"/>
    <m/>
    <m/>
    <x v="0"/>
    <m/>
    <m/>
    <x v="60"/>
    <m/>
  </r>
  <r>
    <m/>
    <x v="2"/>
    <s v="e956c4f8-e8a8-4f22-bff0-babfda42442c"/>
    <s v="stopped"/>
    <x v="3"/>
    <s v="2022-11-15T20:51:30.191000+00:00"/>
    <n v="139"/>
    <n v="0"/>
    <n v="0"/>
    <x v="4"/>
    <x v="2"/>
    <s v="43"/>
    <m/>
    <x v="2"/>
    <x v="2"/>
    <m/>
    <m/>
    <x v="0"/>
    <m/>
    <m/>
    <x v="60"/>
    <m/>
  </r>
  <r>
    <m/>
    <x v="2"/>
    <s v="3f5f0efb-f658-46ce-b1e5-d54e58e12bef"/>
    <s v="completed"/>
    <x v="3"/>
    <s v="2022-11-16T06:47:32.672000+00:00"/>
    <n v="139"/>
    <n v="138"/>
    <n v="0.9928057553956835"/>
    <x v="4"/>
    <x v="2"/>
    <s v="43"/>
    <m/>
    <x v="2"/>
    <x v="2"/>
    <m/>
    <m/>
    <x v="0"/>
    <m/>
    <m/>
    <x v="61"/>
    <m/>
  </r>
  <r>
    <m/>
    <x v="0"/>
    <s v="041b2186-cf0c-471e-8575-8c69107110fe"/>
    <s v="failed"/>
    <x v="0"/>
    <s v="2022-11-16T09:00:41.659000+00:00"/>
    <n v="179"/>
    <n v="166"/>
    <n v="0.92737430167597767"/>
    <x v="122"/>
    <x v="0"/>
    <s v="43"/>
    <m/>
    <x v="3"/>
    <x v="3"/>
    <m/>
    <m/>
    <x v="0"/>
    <m/>
    <m/>
    <x v="61"/>
    <m/>
  </r>
  <r>
    <m/>
    <x v="0"/>
    <s v="041b2186-cf0c-471e-8575-8c69107110fe"/>
    <s v="failed"/>
    <x v="20"/>
    <s v="2022-11-16T09:00:41.659000+00:00"/>
    <n v="179"/>
    <n v="167"/>
    <n v="0.93296089385474856"/>
    <x v="37"/>
    <x v="0"/>
    <s v="43"/>
    <m/>
    <x v="19"/>
    <x v="19"/>
    <m/>
    <m/>
    <x v="0"/>
    <m/>
    <m/>
    <x v="61"/>
    <m/>
  </r>
  <r>
    <m/>
    <x v="3"/>
    <s v="36373b3f-87be-47d5-b87b-e359a6e848c6"/>
    <s v="stopped"/>
    <x v="0"/>
    <s v="2022-11-16T09:55:50.742000+00:00"/>
    <n v="4"/>
    <n v="0"/>
    <n v="0"/>
    <x v="137"/>
    <x v="3"/>
    <s v="47"/>
    <m/>
    <x v="0"/>
    <x v="0"/>
    <m/>
    <m/>
    <x v="0"/>
    <m/>
    <m/>
    <x v="61"/>
    <m/>
  </r>
  <r>
    <m/>
    <x v="0"/>
    <s v="5a5c9462-dab7-42ba-8931-91c172ebcaa0"/>
    <s v="failed"/>
    <x v="20"/>
    <s v="2022-11-16T10:28:40.413000+00:00"/>
    <n v="5"/>
    <n v="0"/>
    <n v="0"/>
    <x v="36"/>
    <x v="0"/>
    <s v="43"/>
    <m/>
    <x v="19"/>
    <x v="19"/>
    <m/>
    <m/>
    <x v="0"/>
    <m/>
    <s v="vision heartbeat: 10 (alle robots)"/>
    <x v="61"/>
    <m/>
  </r>
  <r>
    <m/>
    <x v="0"/>
    <s v="94803e79-5e5e-424f-92e8-d62a82dd7d7d"/>
    <s v="failed"/>
    <x v="25"/>
    <s v="2022-11-16T11:27:48.659000+00:00"/>
    <n v="5"/>
    <n v="4"/>
    <n v="0.8"/>
    <x v="16"/>
    <x v="0"/>
    <s v="43"/>
    <m/>
    <x v="5"/>
    <x v="5"/>
    <m/>
    <m/>
    <x v="0"/>
    <m/>
    <s v="vision heartbeat: 10"/>
    <x v="61"/>
    <m/>
  </r>
  <r>
    <m/>
    <x v="3"/>
    <s v="ea352d32-6154-453d-b29d-5d518c5532a8"/>
    <s v="stopped"/>
    <x v="3"/>
    <s v="2022-11-16T11:38:39.289000+00:00"/>
    <n v="5"/>
    <n v="0"/>
    <n v="0"/>
    <x v="4"/>
    <x v="1"/>
    <s v="47"/>
    <m/>
    <x v="2"/>
    <x v="2"/>
    <m/>
    <m/>
    <x v="0"/>
    <m/>
    <m/>
    <x v="61"/>
    <m/>
  </r>
  <r>
    <s v="2dca83c5-32ea-43df-86f8-4d7856986e4d"/>
    <x v="3"/>
    <s v="029846f2-4afe-4000-b0fb-da53261b4b23"/>
    <s v="failed"/>
    <x v="0"/>
    <s v="2022-11-16T14:09:23.989000+00:00"/>
    <n v="170"/>
    <n v="0"/>
    <n v="0"/>
    <x v="138"/>
    <x v="1"/>
    <s v="47"/>
    <s v="URL"/>
    <x v="0"/>
    <x v="0"/>
    <m/>
    <m/>
    <x v="0"/>
    <m/>
    <m/>
    <x v="61"/>
    <m/>
  </r>
  <r>
    <s v="ce3c9cac-af0e-40be-bfc0-af4e51547db9"/>
    <x v="3"/>
    <s v="029846f2-4afe-4000-b0fb-da53261b4b23"/>
    <s v="failed"/>
    <x v="20"/>
    <s v="2022-11-16T14:10:38.869000+00:00"/>
    <n v="170"/>
    <n v="1"/>
    <n v="5.8823529411764705E-3"/>
    <x v="139"/>
    <x v="1"/>
    <s v="47"/>
    <s v="URL"/>
    <x v="6"/>
    <x v="6"/>
    <m/>
    <m/>
    <x v="0"/>
    <m/>
    <m/>
    <x v="61"/>
    <m/>
  </r>
  <r>
    <s v="4dfadc8d-0dba-48ed-a4cc-52a989249ae6"/>
    <x v="3"/>
    <s v="370d3f36-5f12-419a-9ca5-74c728476a98"/>
    <s v="failed"/>
    <x v="0"/>
    <s v="2022-11-16T14:29:19.055000+00:00"/>
    <n v="5"/>
    <n v="0"/>
    <n v="0"/>
    <x v="138"/>
    <x v="1"/>
    <s v="47"/>
    <s v="URL"/>
    <x v="0"/>
    <x v="0"/>
    <m/>
    <m/>
    <x v="0"/>
    <m/>
    <m/>
    <x v="61"/>
    <m/>
  </r>
  <r>
    <s v="71012e33-ce61-4bff-b794-d591689aae36"/>
    <x v="3"/>
    <s v="370d3f36-5f12-419a-9ca5-74c728476a98"/>
    <s v="failed"/>
    <x v="20"/>
    <s v="2022-11-16T14:30:55.154000+00:00"/>
    <n v="5"/>
    <n v="1"/>
    <n v="0.2"/>
    <x v="139"/>
    <x v="1"/>
    <s v="47"/>
    <s v="URL"/>
    <x v="6"/>
    <x v="6"/>
    <m/>
    <m/>
    <x v="0"/>
    <m/>
    <m/>
    <x v="61"/>
    <m/>
  </r>
  <r>
    <s v="de4fc6c1-405c-42aa-ba9f-1481c2171b93"/>
    <x v="3"/>
    <s v="2a345123-c225-4348-8582-98a5037539a2"/>
    <s v="stopped"/>
    <x v="0"/>
    <s v="2022-11-16T15:21:09.225000+00:00"/>
    <n v="8"/>
    <n v="0"/>
    <n v="0"/>
    <x v="138"/>
    <x v="1"/>
    <s v="47"/>
    <s v="URL"/>
    <x v="0"/>
    <x v="0"/>
    <m/>
    <m/>
    <x v="0"/>
    <m/>
    <s v="Update 5.3.0 sw"/>
    <x v="61"/>
    <m/>
  </r>
  <r>
    <m/>
    <x v="1"/>
    <s v="e9193aa5-3124-468b-bacd-fd4ab9dcee06"/>
    <s v="stopped"/>
    <x v="3"/>
    <s v="2022-11-16T16:16:40.638000+00:00"/>
    <n v="101"/>
    <n v="0"/>
    <n v="0"/>
    <x v="4"/>
    <x v="1"/>
    <s v="47"/>
    <m/>
    <x v="2"/>
    <x v="2"/>
    <m/>
    <m/>
    <x v="0"/>
    <m/>
    <s v="Update 5.3.0 sw"/>
    <x v="61"/>
    <m/>
  </r>
  <r>
    <m/>
    <x v="1"/>
    <s v="e00148ec-d541-441f-b322-5482ee142f25"/>
    <s v="stopped"/>
    <x v="3"/>
    <s v="2022-11-16T16:45:41.418000+00:00"/>
    <n v="101"/>
    <n v="2"/>
    <n v="1.9801980198019802E-2"/>
    <x v="4"/>
    <x v="1"/>
    <s v="47"/>
    <m/>
    <x v="2"/>
    <x v="2"/>
    <m/>
    <m/>
    <x v="0"/>
    <m/>
    <m/>
    <x v="61"/>
    <m/>
  </r>
  <r>
    <s v="8635a4e5-160f-4a43-a22f-51dc4e02cedc"/>
    <x v="1"/>
    <s v="5285580b-569e-4fdf-9b72-e869deb39016"/>
    <s v="failed"/>
    <x v="26"/>
    <s v="2022-11-16T17:16:58.712000+00:00"/>
    <n v="101"/>
    <n v="7"/>
    <n v="6.9306930693069313E-2"/>
    <x v="3"/>
    <x v="1"/>
    <s v="47"/>
    <s v="URL"/>
    <x v="18"/>
    <x v="18"/>
    <m/>
    <m/>
    <x v="0"/>
    <m/>
    <m/>
    <x v="61"/>
    <m/>
  </r>
  <r>
    <s v="f27c61ab-cbaf-4100-9338-fc4bef8bccc6"/>
    <x v="1"/>
    <s v="f551f9e6-e946-463e-a0cb-24a95e0b09a9"/>
    <s v="failed"/>
    <x v="0"/>
    <s v="2022-11-16T17:25:39.791000+00:00"/>
    <n v="93"/>
    <n v="0"/>
    <n v="0"/>
    <x v="140"/>
    <x v="1"/>
    <s v="47"/>
    <s v="URL"/>
    <x v="16"/>
    <x v="16"/>
    <m/>
    <m/>
    <x v="0"/>
    <m/>
    <m/>
    <x v="61"/>
    <m/>
  </r>
  <r>
    <s v="9ea15cda-d287-4c56-932c-82c0610f4c5d"/>
    <x v="1"/>
    <s v="f551f9e6-e946-463e-a0cb-24a95e0b09a9"/>
    <s v="failed"/>
    <x v="27"/>
    <s v="2022-11-16T18:01:19.502000+00:00"/>
    <n v="93"/>
    <n v="9"/>
    <n v="9.6774193548387094E-2"/>
    <x v="141"/>
    <x v="1"/>
    <s v="47"/>
    <s v="URL"/>
    <x v="6"/>
    <x v="6"/>
    <m/>
    <m/>
    <x v="0"/>
    <m/>
    <m/>
    <x v="61"/>
    <m/>
  </r>
  <r>
    <s v="809dba6b-a4e1-484f-8e25-7e1a122597d6"/>
    <x v="3"/>
    <s v="acd686a8-8742-45a3-81a6-7b6bf2edc6c6"/>
    <s v="failed"/>
    <x v="22"/>
    <s v="2022-11-16T18:30:06.583000+00:00"/>
    <n v="68"/>
    <n v="15"/>
    <n v="0.22058823529411764"/>
    <x v="142"/>
    <x v="1"/>
    <s v="47"/>
    <s v="URL"/>
    <x v="6"/>
    <x v="6"/>
    <m/>
    <m/>
    <x v="0"/>
    <m/>
    <m/>
    <x v="61"/>
    <m/>
  </r>
  <r>
    <m/>
    <x v="1"/>
    <s v="5c95dca3-6d6b-4c11-9943-488e3abedb75"/>
    <s v="completed"/>
    <x v="3"/>
    <s v="2022-11-16T21:51:39.095000+00:00"/>
    <n v="46"/>
    <n v="45"/>
    <n v="0.97826086956521741"/>
    <x v="4"/>
    <x v="1"/>
    <s v="47"/>
    <m/>
    <x v="2"/>
    <x v="2"/>
    <m/>
    <m/>
    <x v="0"/>
    <m/>
    <m/>
    <x v="61"/>
    <m/>
  </r>
  <r>
    <m/>
    <x v="2"/>
    <s v="e1ddc9df-5f54-4ef1-a13c-1f476c0cf110"/>
    <s v="completed"/>
    <x v="3"/>
    <s v="2022-11-17T02:39:04.782000+00:00"/>
    <n v="139"/>
    <n v="139"/>
    <n v="1"/>
    <x v="4"/>
    <x v="2"/>
    <s v="43"/>
    <m/>
    <x v="2"/>
    <x v="2"/>
    <m/>
    <m/>
    <x v="0"/>
    <m/>
    <m/>
    <x v="62"/>
    <m/>
  </r>
  <r>
    <s v="600b8d9c-c2e9-4791-8ae8-8c726bf16392"/>
    <x v="0"/>
    <s v="7e03ad05-e099-4238-9e91-d10617a3ef70"/>
    <s v="failed"/>
    <x v="28"/>
    <s v="2022-11-17T06:18:01.946000+00:00"/>
    <n v="213"/>
    <n v="189"/>
    <n v="0.88732394366197187"/>
    <x v="143"/>
    <x v="0"/>
    <s v="43"/>
    <s v="URL"/>
    <x v="10"/>
    <x v="10"/>
    <m/>
    <m/>
    <x v="0"/>
    <m/>
    <m/>
    <x v="62"/>
    <m/>
  </r>
  <r>
    <s v="ded9506f-bfa4-408a-bd0b-6da8d4e3cd4d"/>
    <x v="2"/>
    <s v="33e52f81-6182-4fbf-a4dd-28489050e9d7"/>
    <s v="failed"/>
    <x v="20"/>
    <s v="2022-11-17T09:28:00.184000+00:00"/>
    <n v="4"/>
    <n v="0"/>
    <n v="0"/>
    <x v="124"/>
    <x v="0"/>
    <s v="43"/>
    <s v="URL"/>
    <x v="23"/>
    <x v="23"/>
    <m/>
    <m/>
    <x v="0"/>
    <m/>
    <m/>
    <x v="62"/>
    <m/>
  </r>
  <r>
    <m/>
    <x v="2"/>
    <s v="7f8cf300-1419-4640-a902-73b71132ee71"/>
    <s v="failed"/>
    <x v="23"/>
    <s v="2022-11-17T09:45:17.226000+00:00"/>
    <n v="4"/>
    <n v="2"/>
    <n v="0.5"/>
    <x v="144"/>
    <x v="0"/>
    <s v="43"/>
    <m/>
    <x v="16"/>
    <x v="16"/>
    <m/>
    <m/>
    <x v="0"/>
    <m/>
    <m/>
    <x v="62"/>
    <m/>
  </r>
  <r>
    <s v="b0632092-a998-4c19-811e-cef2dec260c4"/>
    <x v="3"/>
    <s v="bb6a563b-519c-4439-8e11-2eca47171465"/>
    <s v="stopped"/>
    <x v="0"/>
    <s v="2022-11-17T12:37:47.449000+00:00"/>
    <n v="15"/>
    <n v="1"/>
    <n v="6.6666666666666666E-2"/>
    <x v="145"/>
    <x v="1"/>
    <s v="47"/>
    <s v="URL"/>
    <x v="0"/>
    <x v="0"/>
    <m/>
    <m/>
    <x v="0"/>
    <m/>
    <m/>
    <x v="62"/>
    <m/>
  </r>
  <r>
    <s v="9ee36b93-2b7d-47ff-8c4f-4875c97d79cd"/>
    <x v="3"/>
    <s v="bb6a563b-519c-4439-8e11-2eca47171465"/>
    <s v="stopped"/>
    <x v="0"/>
    <s v="2022-11-17T12:43:34.973000+00:00"/>
    <n v="15"/>
    <n v="3"/>
    <n v="0.2"/>
    <x v="124"/>
    <x v="1"/>
    <s v="47"/>
    <s v="URL"/>
    <x v="6"/>
    <x v="6"/>
    <m/>
    <m/>
    <x v="0"/>
    <m/>
    <m/>
    <x v="62"/>
    <m/>
  </r>
  <r>
    <m/>
    <x v="1"/>
    <s v="9f4196c4-758f-40d3-bc0c-c13e07786a69"/>
    <s v="stopped"/>
    <x v="3"/>
    <s v="2022-11-17T14:05:31.819000+00:00"/>
    <n v="5"/>
    <n v="0"/>
    <n v="0"/>
    <x v="4"/>
    <x v="1"/>
    <s v="47"/>
    <m/>
    <x v="2"/>
    <x v="2"/>
    <m/>
    <m/>
    <x v="0"/>
    <m/>
    <m/>
    <x v="62"/>
    <m/>
  </r>
  <r>
    <m/>
    <x v="3"/>
    <s v="1d1b4c54-645b-4284-affe-5aa4b1002198"/>
    <s v="stopped"/>
    <x v="3"/>
    <s v="2022-11-17T14:55:02.200000+00:00"/>
    <n v="6"/>
    <n v="1"/>
    <n v="0.16666666666666666"/>
    <x v="4"/>
    <x v="1"/>
    <s v="47"/>
    <m/>
    <x v="2"/>
    <x v="2"/>
    <m/>
    <m/>
    <x v="0"/>
    <m/>
    <m/>
    <x v="62"/>
    <m/>
  </r>
  <r>
    <m/>
    <x v="3"/>
    <s v="058941a3-de70-449f-9378-fe08a9759aa5"/>
    <s v="failed"/>
    <x v="23"/>
    <s v="2022-11-17T15:24:14.313000+00:00"/>
    <n v="10"/>
    <n v="6"/>
    <n v="0.6"/>
    <x v="146"/>
    <x v="3"/>
    <s v="47"/>
    <m/>
    <x v="16"/>
    <x v="16"/>
    <m/>
    <m/>
    <x v="0"/>
    <m/>
    <m/>
    <x v="62"/>
    <m/>
  </r>
  <r>
    <s v="16a5e89a-ec64-4e5c-9291-63fc5f648211"/>
    <x v="3"/>
    <s v="dab87a8f-c512-4d24-bde5-8ea3556e5b6f"/>
    <s v="failed"/>
    <x v="0"/>
    <s v="2022-11-17T15:47:25.461000+00:00"/>
    <n v="51"/>
    <n v="1"/>
    <n v="1.9607843137254902E-2"/>
    <x v="147"/>
    <x v="1"/>
    <s v="47"/>
    <s v="URL"/>
    <x v="0"/>
    <x v="0"/>
    <m/>
    <m/>
    <x v="0"/>
    <m/>
    <m/>
    <x v="62"/>
    <m/>
  </r>
  <r>
    <s v="76704aa8-6cef-4e2d-bb0b-d1cdd2e2b184"/>
    <x v="3"/>
    <s v="dab87a8f-c512-4d24-bde5-8ea3556e5b6f"/>
    <s v="failed"/>
    <x v="29"/>
    <s v="2022-11-17T15:50:22.124000+00:00"/>
    <n v="51"/>
    <n v="3"/>
    <n v="5.8823529411764705E-2"/>
    <x v="148"/>
    <x v="1"/>
    <s v="47"/>
    <s v="URL"/>
    <x v="0"/>
    <x v="0"/>
    <m/>
    <m/>
    <x v="0"/>
    <m/>
    <m/>
    <x v="62"/>
    <m/>
  </r>
  <r>
    <m/>
    <x v="0"/>
    <s v="159ae2fd-183b-4c64-a250-aa903ef91606"/>
    <s v="failed"/>
    <x v="30"/>
    <s v="2022-11-18T02:02:16.978000+00:00"/>
    <n v="139"/>
    <n v="138"/>
    <n v="0.9928057553956835"/>
    <x v="127"/>
    <x v="2"/>
    <s v="43"/>
    <m/>
    <x v="3"/>
    <x v="3"/>
    <m/>
    <m/>
    <x v="0"/>
    <m/>
    <m/>
    <x v="63"/>
    <m/>
  </r>
  <r>
    <m/>
    <x v="2"/>
    <s v="250d5985-6731-4f62-ab6c-12b2bbf3ee12"/>
    <s v="completed"/>
    <x v="3"/>
    <s v="2022-11-18T06:13:58.340000+00:00"/>
    <n v="213"/>
    <n v="213"/>
    <n v="1"/>
    <x v="4"/>
    <x v="0"/>
    <s v="43"/>
    <m/>
    <x v="2"/>
    <x v="2"/>
    <m/>
    <m/>
    <x v="0"/>
    <m/>
    <m/>
    <x v="63"/>
    <m/>
  </r>
  <r>
    <m/>
    <x v="2"/>
    <s v="8d48e510-8e49-4719-a3a4-6201c27552c6"/>
    <s v="failed"/>
    <x v="0"/>
    <s v="2022-11-21T15:26:21.778000+00:00"/>
    <n v="139"/>
    <n v="0"/>
    <n v="0"/>
    <x v="22"/>
    <x v="2"/>
    <s v="43"/>
    <m/>
    <x v="19"/>
    <x v="19"/>
    <m/>
    <m/>
    <x v="0"/>
    <m/>
    <m/>
    <x v="64"/>
    <m/>
  </r>
  <r>
    <m/>
    <x v="2"/>
    <s v="8d48e510-8e49-4719-a3a4-6201c27552c6"/>
    <s v="failed"/>
    <x v="20"/>
    <s v="2022-11-21T15:27:27.428000+00:00"/>
    <n v="139"/>
    <n v="1"/>
    <n v="7.1942446043165471E-3"/>
    <x v="22"/>
    <x v="2"/>
    <s v="43"/>
    <m/>
    <x v="19"/>
    <x v="19"/>
    <m/>
    <m/>
    <x v="0"/>
    <m/>
    <m/>
    <x v="64"/>
    <m/>
  </r>
  <r>
    <m/>
    <x v="0"/>
    <s v="e124df2a-df17-4f7e-a27a-b08f7dafc697"/>
    <s v="failed"/>
    <x v="26"/>
    <s v="2022-11-21T19:16:21.161000+00:00"/>
    <n v="193"/>
    <n v="51"/>
    <n v="0.26424870466321243"/>
    <x v="79"/>
    <x v="0"/>
    <s v="43"/>
    <m/>
    <x v="18"/>
    <x v="18"/>
    <m/>
    <m/>
    <x v="0"/>
    <m/>
    <m/>
    <x v="64"/>
    <m/>
  </r>
  <r>
    <m/>
    <x v="2"/>
    <s v="2f53a726-b8cc-4506-a1e2-69c5a6cae414"/>
    <s v="failed"/>
    <x v="28"/>
    <s v="2022-11-21T21:41:07.701000+00:00"/>
    <n v="138"/>
    <n v="86"/>
    <n v="0.62318840579710144"/>
    <x v="149"/>
    <x v="2"/>
    <s v="43"/>
    <m/>
    <x v="10"/>
    <x v="10"/>
    <m/>
    <m/>
    <x v="0"/>
    <m/>
    <m/>
    <x v="64"/>
    <m/>
  </r>
  <r>
    <m/>
    <x v="2"/>
    <s v="5a96b7e0-9e81-4005-a108-0b95d8f4c9af"/>
    <s v="failed"/>
    <x v="31"/>
    <s v="2022-11-24T16:55:32.873000+00:00"/>
    <n v="140"/>
    <n v="1"/>
    <n v="7.1428571428571426E-3"/>
    <x v="24"/>
    <x v="2"/>
    <s v="43"/>
    <m/>
    <x v="19"/>
    <x v="19"/>
    <m/>
    <m/>
    <x v="0"/>
    <m/>
    <m/>
    <x v="65"/>
    <m/>
  </r>
  <r>
    <s v="81ebc368-e847-4bf2-9517-c91c31acd9bc"/>
    <x v="2"/>
    <s v="401c8e82-decd-4705-b9ba-d4cbcbfacb02"/>
    <s v="failed"/>
    <x v="0"/>
    <s v="2022-11-25T05:43:08.168000+00:00"/>
    <n v="139"/>
    <n v="0"/>
    <n v="0"/>
    <x v="124"/>
    <x v="2"/>
    <s v="43"/>
    <s v="URL"/>
    <x v="0"/>
    <x v="0"/>
    <m/>
    <m/>
    <x v="0"/>
    <m/>
    <m/>
    <x v="66"/>
    <m/>
  </r>
  <r>
    <s v="81ebc368-e847-4bf2-9517-c91c31acd9bc"/>
    <x v="2"/>
    <s v="1ef0b49e-d80a-4f27-8963-319570e08373"/>
    <s v="failed"/>
    <x v="20"/>
    <s v="2022-11-25T05:43:08.168000+00:00"/>
    <n v="139"/>
    <n v="0"/>
    <n v="0"/>
    <x v="24"/>
    <x v="2"/>
    <s v="43"/>
    <s v="URL"/>
    <x v="19"/>
    <x v="19"/>
    <m/>
    <m/>
    <x v="0"/>
    <m/>
    <m/>
    <x v="66"/>
    <m/>
  </r>
  <r>
    <s v="81ebc368-e847-4bf2-9517-c91c31acd9bc"/>
    <x v="2"/>
    <s v="7596bffd-1b3f-4cbd-8ca2-b5adc6ba48ba"/>
    <s v="failed"/>
    <x v="0"/>
    <s v="2022-11-25T05:43:08.168000+00:00"/>
    <n v="140"/>
    <n v="0"/>
    <n v="0"/>
    <x v="24"/>
    <x v="2"/>
    <s v="43"/>
    <s v="URL"/>
    <x v="19"/>
    <x v="19"/>
    <m/>
    <m/>
    <x v="0"/>
    <m/>
    <m/>
    <x v="66"/>
    <m/>
  </r>
  <r>
    <s v="81ebc368-e847-4bf2-9517-c91c31acd9bc"/>
    <x v="2"/>
    <s v="7596bffd-1b3f-4cbd-8ca2-b5adc6ba48ba"/>
    <s v="failed"/>
    <x v="20"/>
    <s v="2022-11-25T05:43:08.168000+00:00"/>
    <n v="140"/>
    <n v="1"/>
    <n v="7.1428571428571426E-3"/>
    <x v="24"/>
    <x v="2"/>
    <s v="43"/>
    <s v="URL"/>
    <x v="19"/>
    <x v="19"/>
    <m/>
    <m/>
    <x v="0"/>
    <m/>
    <m/>
    <x v="66"/>
    <m/>
  </r>
  <r>
    <s v="1e5b2987-32ef-46a5-b123-91aa72d26a9f"/>
    <x v="2"/>
    <s v="401c8e82-decd-4705-b9ba-d4cbcbfacb02"/>
    <s v="failed"/>
    <x v="20"/>
    <s v="2022-11-25T05:46:48.837000+00:00"/>
    <n v="139"/>
    <n v="1"/>
    <n v="7.1942446043165471E-3"/>
    <x v="150"/>
    <x v="2"/>
    <s v="43"/>
    <s v="URL"/>
    <x v="0"/>
    <x v="0"/>
    <m/>
    <m/>
    <x v="0"/>
    <m/>
    <m/>
    <x v="66"/>
    <m/>
  </r>
  <r>
    <m/>
    <x v="0"/>
    <s v="b5a5ef43-8dea-43f7-90d4-1d47b453fb30"/>
    <s v="completed"/>
    <x v="3"/>
    <s v="2022-11-25T06:52:30.193000+00:00"/>
    <n v="213"/>
    <n v="211"/>
    <n v="0.99061032863849763"/>
    <x v="4"/>
    <x v="0"/>
    <s v="43"/>
    <m/>
    <x v="2"/>
    <x v="2"/>
    <m/>
    <m/>
    <x v="0"/>
    <m/>
    <m/>
    <x v="66"/>
    <m/>
  </r>
  <r>
    <m/>
    <x v="2"/>
    <s v="d5ba5845-e116-43d6-b025-4b0b3f495957"/>
    <s v="failed"/>
    <x v="0"/>
    <s v="2022-11-25T07:24:22.009000+00:00"/>
    <n v="138"/>
    <n v="0"/>
    <n v="0"/>
    <x v="124"/>
    <x v="2"/>
    <s v="43"/>
    <m/>
    <x v="19"/>
    <x v="19"/>
    <m/>
    <m/>
    <x v="0"/>
    <m/>
    <m/>
    <x v="66"/>
    <m/>
  </r>
  <r>
    <m/>
    <x v="2"/>
    <s v="d5ba5845-e116-43d6-b025-4b0b3f495957"/>
    <s v="failed"/>
    <x v="20"/>
    <s v="2022-11-25T07:25:40.501000+00:00"/>
    <n v="138"/>
    <n v="1"/>
    <n v="7.246376811594203E-3"/>
    <x v="151"/>
    <x v="2"/>
    <s v="43"/>
    <m/>
    <x v="19"/>
    <x v="19"/>
    <m/>
    <m/>
    <x v="0"/>
    <m/>
    <m/>
    <x v="66"/>
    <m/>
  </r>
  <r>
    <s v="2f9d153e-b6df-49a1-a876-f3159fdd19ff "/>
    <x v="0"/>
    <s v="UNKNOWN"/>
    <s v="failed"/>
    <x v="3"/>
    <s v="2022-11-25T17:21:00.000+00:00"/>
    <m/>
    <m/>
    <m/>
    <x v="4"/>
    <x v="6"/>
    <m/>
    <s v="URL"/>
    <x v="2"/>
    <x v="2"/>
    <s v="Robot rijdt uit lane, vliegt walkway over, tot over de rails aan overkant"/>
    <s v="OAG1XENLUM202204024.docx"/>
    <x v="0"/>
    <m/>
    <m/>
    <x v="66"/>
    <m/>
  </r>
  <r>
    <s v="60941112-ffe7-44f9-815f-0103bcaf308a"/>
    <x v="4"/>
    <s v="c00c8974-0c91-4777-b6f3-8523f198d0a2"/>
    <s v="failed"/>
    <x v="18"/>
    <s v="2022-11-25T18:50:37.287000+00:00"/>
    <n v="132"/>
    <n v="0"/>
    <n v="0"/>
    <x v="124"/>
    <x v="5"/>
    <s v="14"/>
    <s v="URL"/>
    <x v="2"/>
    <x v="2"/>
    <s v="Robot wil starten in eerste rij, gaat na 1m in error. Normale condities. Geen vreemde logs in visie."/>
    <m/>
    <x v="0"/>
    <m/>
    <m/>
    <x v="66"/>
    <m/>
  </r>
  <r>
    <s v="3d91938d-399d-4df1-88cd-70c7ae4fc715"/>
    <x v="4"/>
    <s v="85a5e7eb-d2a0-416f-818a-29b3fcdf0eca"/>
    <s v="failed"/>
    <x v="18"/>
    <s v="2022-11-25T18:56:34.449000+00:00"/>
    <n v="132"/>
    <n v="0"/>
    <n v="0"/>
    <x v="152"/>
    <x v="5"/>
    <s v="14"/>
    <s v="URL"/>
    <x v="7"/>
    <x v="7"/>
    <s v="Robot wil starten in eerste rij, gaat na 1m in error. Normale condities. Geen vreemde logs in visie."/>
    <m/>
    <x v="0"/>
    <s v="visie heeft geen metingen gemaakt Trigger msg contains wrong algorithm type 'wall' (Dit blijkt normaal te zijn, heeft te maken met cpp vs python stuk)"/>
    <m/>
    <x v="66"/>
    <m/>
  </r>
  <r>
    <s v="58667922-bf57-47c5-9e25-c47185ab451a"/>
    <x v="4"/>
    <s v="2094fc3a-3e97-402d-bff1-9545a11c38d9"/>
    <s v="failed"/>
    <x v="18"/>
    <s v="2022-11-25T18:58:32.631000+00:00"/>
    <n v="133"/>
    <n v="0"/>
    <n v="0"/>
    <x v="153"/>
    <x v="5"/>
    <s v="14"/>
    <s v="URL"/>
    <x v="17"/>
    <x v="17"/>
    <s v="Robot wil starten in eerste rij, gaat na 1m in error. Normale condities. Geen vreemde logs in visie."/>
    <m/>
    <x v="0"/>
    <s v="visie heeft geen metingen gemaakt Trigger msg contains wrong algorithm type 'wall' (Dit blijkt normaal te zijn, heeft te maken met cpp vs python stuk)"/>
    <m/>
    <x v="66"/>
    <m/>
  </r>
  <r>
    <m/>
    <x v="4"/>
    <s v="6e875d60-1ccf-4829-9c3c-75035a08097a"/>
    <s v="failed"/>
    <x v="18"/>
    <s v="2022-11-25T18:59:59.681000+00:00"/>
    <n v="133"/>
    <n v="0"/>
    <n v="0"/>
    <x v="153"/>
    <x v="5"/>
    <s v="14"/>
    <m/>
    <x v="17"/>
    <x v="17"/>
    <m/>
    <m/>
    <x v="0"/>
    <m/>
    <m/>
    <x v="66"/>
    <m/>
  </r>
  <r>
    <s v="0bb39984-7965-46ce-b3a2-d91c0db2b9e8"/>
    <x v="4"/>
    <s v="ae298f13-36d8-4ad0-8a92-05d68ca003d9"/>
    <s v="failed"/>
    <x v="0"/>
    <s v="2022-11-25T19:10:49.890000+00:00"/>
    <n v="136"/>
    <n v="2"/>
    <n v="1.4705882352941176E-2"/>
    <x v="154"/>
    <x v="5"/>
    <s v="14"/>
    <s v="URL"/>
    <x v="7"/>
    <x v="7"/>
    <s v="Robot rijdt uit eerste lane met SS uitgeklapt, gaat naar SS waypoint, klapt in, keert terug naar startpunt van die rij, gaat in error. Normale condities. In de logs: &quot;No data received from cams: back_right&quot;. Robot doet recovery!?"/>
    <s v="OAG1XENLUM2209040"/>
    <x v="0"/>
    <m/>
    <m/>
    <x v="66"/>
    <m/>
  </r>
  <r>
    <s v="c66f1011-e258-47ee-a826-fb7cac9e2662"/>
    <x v="4"/>
    <s v="ae298f13-36d8-4ad0-8a92-05d68ca003d9"/>
    <s v="failed"/>
    <x v="18"/>
    <s v="2022-11-25T23:58:56.074000+00:00"/>
    <n v="136"/>
    <n v="114"/>
    <n v="0.83823529411764708"/>
    <x v="155"/>
    <x v="5"/>
    <s v="14"/>
    <s v="URL"/>
    <x v="3"/>
    <x v="3"/>
    <s v="Robot rijdt na recovery vorige error 4 uur lang verder. Robot rijdt richting einde van lane, vertraagt, stopt, gaat in error. Normale condities. Geen vreemde logs in visie"/>
    <s v="OAG1XENLUM2209040"/>
    <x v="0"/>
    <m/>
    <m/>
    <x v="66"/>
    <m/>
  </r>
  <r>
    <s v="4dfb1a2e-9f62-4052-9c01-0b077fefd045"/>
    <x v="2"/>
    <s v="bcb38fda-9144-479d-ba22-25498632a7b3"/>
    <s v="failed"/>
    <x v="22"/>
    <s v="2022-11-26T04:31:30.031000+00:00"/>
    <n v="213"/>
    <n v="194"/>
    <n v="0.91079812206572774"/>
    <x v="156"/>
    <x v="0"/>
    <s v="43"/>
    <s v="URL"/>
    <x v="6"/>
    <x v="6"/>
    <s v="power bee botsing"/>
    <m/>
    <x v="0"/>
    <s v="botsing"/>
    <m/>
    <x v="67"/>
    <m/>
  </r>
  <r>
    <m/>
    <x v="0"/>
    <s v="323968d6-e325-4120-ad1a-c38d422bcf78"/>
    <s v="failed"/>
    <x v="0"/>
    <s v="2022-11-27T15:32:41.526000+00:00"/>
    <n v="138"/>
    <n v="0"/>
    <n v="0"/>
    <x v="22"/>
    <x v="2"/>
    <s v="43"/>
    <m/>
    <x v="19"/>
    <x v="19"/>
    <m/>
    <m/>
    <x v="0"/>
    <m/>
    <m/>
    <x v="68"/>
    <m/>
  </r>
  <r>
    <m/>
    <x v="0"/>
    <s v="323968d6-e325-4120-ad1a-c38d422bcf78"/>
    <s v="failed"/>
    <x v="20"/>
    <s v="2022-11-27T15:33:31.614000+00:00"/>
    <n v="138"/>
    <n v="1"/>
    <n v="7.246376811594203E-3"/>
    <x v="124"/>
    <x v="2"/>
    <s v="43"/>
    <m/>
    <x v="3"/>
    <x v="3"/>
    <m/>
    <m/>
    <x v="0"/>
    <m/>
    <m/>
    <x v="68"/>
    <m/>
  </r>
  <r>
    <s v="544d2f7b-2146-4093-8758-aa577288dece"/>
    <x v="2"/>
    <s v="d6e75d79-b7de-4e3f-bfac-879046b4e095"/>
    <s v="failed"/>
    <x v="20"/>
    <s v="2022-11-27T15:50:07.950000+00:00"/>
    <n v="212"/>
    <n v="0"/>
    <n v="0"/>
    <x v="124"/>
    <x v="0"/>
    <s v="43"/>
    <s v="URL"/>
    <x v="0"/>
    <x v="0"/>
    <s v="URL en db id kloppen niet"/>
    <m/>
    <x v="0"/>
    <s v="?"/>
    <m/>
    <x v="68"/>
    <m/>
  </r>
  <r>
    <s v="544d2f7b-2146-4093-8758-aa577288dece"/>
    <x v="2"/>
    <s v="7d0aa1b8-fcd0-45de-a9ee-446c30cf023b"/>
    <s v="failed"/>
    <x v="0"/>
    <s v="2022-11-27T15:50:07.950000+00:00"/>
    <n v="213"/>
    <n v="0"/>
    <n v="0"/>
    <x v="124"/>
    <x v="0"/>
    <s v="43"/>
    <s v="URL"/>
    <x v="19"/>
    <x v="19"/>
    <s v="URL en db id kloppen niet"/>
    <m/>
    <x v="0"/>
    <s v="?"/>
    <m/>
    <x v="68"/>
    <m/>
  </r>
  <r>
    <s v="544d2f7b-2146-4093-8758-aa577288dece"/>
    <x v="2"/>
    <s v="7d0aa1b8-fcd0-45de-a9ee-446c30cf023b"/>
    <s v="failed"/>
    <x v="20"/>
    <s v="2022-11-27T15:50:07.950000+00:00"/>
    <n v="213"/>
    <n v="1"/>
    <n v="4.6948356807511738E-3"/>
    <x v="136"/>
    <x v="0"/>
    <s v="43"/>
    <s v="URL"/>
    <x v="7"/>
    <x v="7"/>
    <s v="URL en db id kloppen niet"/>
    <m/>
    <x v="0"/>
    <s v="?"/>
    <m/>
    <x v="68"/>
    <m/>
  </r>
  <r>
    <s v="41ef1713-ee06-47d8-8244-75bf09bb4e16"/>
    <x v="0"/>
    <s v="c9d2dd4f-728e-443a-93fd-234ac3f282ff"/>
    <m/>
    <x v="0"/>
    <s v="2022-11-27T22:39:13.100000+00:00"/>
    <n v="138"/>
    <n v="98"/>
    <n v="0.71014492753623193"/>
    <x v="94"/>
    <x v="2"/>
    <s v="43"/>
    <s v="URL"/>
    <x v="25"/>
    <x v="25"/>
    <m/>
    <m/>
    <x v="0"/>
    <s v="Trajectory generation time out na collision detection"/>
    <m/>
    <x v="68"/>
    <m/>
  </r>
  <r>
    <s v="c5fcb3db-65e3-46bd-9d8c-aaabde87fbca"/>
    <x v="0"/>
    <s v="c9d2dd4f-728e-443a-93fd-234ac3f282ff"/>
    <m/>
    <x v="0"/>
    <s v="2022-11-28T00:06:18.599000+00:00"/>
    <n v="138"/>
    <n v="119"/>
    <n v="0.8623188405797102"/>
    <x v="42"/>
    <x v="2"/>
    <s v="43"/>
    <s v="URL"/>
    <x v="18"/>
    <x v="18"/>
    <m/>
    <m/>
    <x v="0"/>
    <s v="correcte voorwiel slip detectie (te zien op beelden). Gebeurt na collision detection."/>
    <m/>
    <x v="69"/>
    <m/>
  </r>
  <r>
    <s v="61b0d84c-305a-4782-ae3a-46e7ba6c7379"/>
    <x v="0"/>
    <s v="c9d2dd4f-728e-443a-93fd-234ac3f282ff"/>
    <m/>
    <x v="3"/>
    <s v="2022-11-28T01:21:37.007000+00:00"/>
    <n v="138"/>
    <n v="137"/>
    <n v="0.99275362318840576"/>
    <x v="24"/>
    <x v="2"/>
    <s v="43"/>
    <s v="URL"/>
    <x v="3"/>
    <x v="3"/>
    <m/>
    <m/>
    <x v="0"/>
    <s v="eol_sensor' received more than 10 invalid measurement in a row. Mogelijk doordat de mod_base_width niet meer bestaat en is vervangen door een andere parameter die momenteel nog veel te breed stond ingesteld."/>
    <m/>
    <x v="69"/>
    <m/>
  </r>
  <r>
    <m/>
    <x v="3"/>
    <s v="c5dde4cb-4e32-4c31-b016-5670aef5063f"/>
    <s v="stopped"/>
    <x v="3"/>
    <s v="2022-11-29T13:25:59.504000+00:00"/>
    <n v="3"/>
    <n v="1"/>
    <n v="0.33333333333333331"/>
    <x v="4"/>
    <x v="1"/>
    <s v="47"/>
    <m/>
    <x v="2"/>
    <x v="2"/>
    <m/>
    <m/>
    <x v="0"/>
    <m/>
    <m/>
    <x v="70"/>
    <m/>
  </r>
  <r>
    <m/>
    <x v="3"/>
    <s v="08be5767-e5fb-4676-9654-fa2029dcb642"/>
    <s v="stopped"/>
    <x v="3"/>
    <s v="2022-11-29T13:29:35.550000+00:00"/>
    <n v="3"/>
    <n v="1"/>
    <n v="0.33333333333333331"/>
    <x v="4"/>
    <x v="1"/>
    <s v="47"/>
    <m/>
    <x v="2"/>
    <x v="2"/>
    <m/>
    <m/>
    <x v="0"/>
    <m/>
    <m/>
    <x v="70"/>
    <m/>
  </r>
  <r>
    <s v="4decd907-2c87-4eb6-9d15-0d4a647108e7"/>
    <x v="0"/>
    <s v="ec142a3c-b816-4eae-818d-fa946910fd59"/>
    <s v="stopped"/>
    <x v="0"/>
    <s v="2022-11-29T15:47:59.882000+00:00"/>
    <n v="213"/>
    <n v="0"/>
    <n v="0"/>
    <x v="124"/>
    <x v="0"/>
    <s v="43"/>
    <s v="URL"/>
    <x v="19"/>
    <x v="19"/>
    <s v="Bart in beeld, robot net klaar gezet"/>
    <m/>
    <x v="0"/>
    <m/>
    <m/>
    <x v="70"/>
    <m/>
  </r>
  <r>
    <s v="f1dd819d-9f3b-42db-92b1-e20c9ed29f7d"/>
    <x v="0"/>
    <s v="ec142a3c-b816-4eae-818d-fa946910fd59"/>
    <s v="stopped"/>
    <x v="0"/>
    <s v="2022-11-29T15:49:38.411000+00:00"/>
    <n v="213"/>
    <n v="1"/>
    <n v="4.6948356807511738E-3"/>
    <x v="136"/>
    <x v="0"/>
    <s v="43"/>
    <s v="URL"/>
    <x v="20"/>
    <x v="20"/>
    <m/>
    <m/>
    <x v="0"/>
    <s v="inverter issue"/>
    <m/>
    <x v="70"/>
    <m/>
  </r>
  <r>
    <s v="28a5445d-e9c6-4f2b-ab93-a46f8f8ab8f4"/>
    <x v="0"/>
    <s v="ec142a3c-b816-4eae-818d-fa946910fd59"/>
    <s v="stopped"/>
    <x v="0"/>
    <s v="2022-11-29T15:51:13.988000+00:00"/>
    <n v="213"/>
    <n v="2"/>
    <n v="9.3896713615023476E-3"/>
    <x v="76"/>
    <x v="0"/>
    <s v="43"/>
    <s v="URL"/>
    <x v="20"/>
    <x v="20"/>
    <m/>
    <m/>
    <x v="0"/>
    <s v="inverter issue"/>
    <m/>
    <x v="70"/>
    <m/>
  </r>
  <r>
    <s v="eab56348-eb90-4cbe-95ce-f6e245c44c3c"/>
    <x v="0"/>
    <s v="ec142a3c-b816-4eae-818d-fa946910fd59"/>
    <s v="stopped"/>
    <x v="0"/>
    <s v="2022-11-29T15:52:48.018000+00:00"/>
    <n v="213"/>
    <n v="3"/>
    <n v="1.4084507042253521E-2"/>
    <x v="157"/>
    <x v="0"/>
    <s v="43"/>
    <s v="URL"/>
    <x v="20"/>
    <x v="20"/>
    <m/>
    <m/>
    <x v="0"/>
    <s v="inverter issue"/>
    <m/>
    <x v="70"/>
    <m/>
  </r>
  <r>
    <s v="73054f52-da90-4886-82e4-31e9fae97e5d"/>
    <x v="0"/>
    <s v="ec142a3c-b816-4eae-818d-fa946910fd59"/>
    <s v="stopped"/>
    <x v="0"/>
    <s v="2022-11-29T15:54:25.489000+00:00"/>
    <n v="213"/>
    <n v="4"/>
    <n v="1.8779342723004695E-2"/>
    <x v="36"/>
    <x v="0"/>
    <s v="43"/>
    <s v="URL"/>
    <x v="20"/>
    <x v="20"/>
    <m/>
    <m/>
    <x v="0"/>
    <s v="inverter issue"/>
    <m/>
    <x v="70"/>
    <m/>
  </r>
  <r>
    <s v="220dcc77-62e6-4282-950e-05c5b62c48e5"/>
    <x v="0"/>
    <s v="ec142a3c-b816-4eae-818d-fa946910fd59"/>
    <s v="stopped"/>
    <x v="0"/>
    <s v="2022-11-29T15:56:13.609000+00:00"/>
    <n v="213"/>
    <n v="5"/>
    <n v="2.3474178403755867E-2"/>
    <x v="158"/>
    <x v="0"/>
    <s v="43"/>
    <s v="URL"/>
    <x v="20"/>
    <x v="20"/>
    <m/>
    <m/>
    <x v="0"/>
    <s v="inverter issue"/>
    <m/>
    <x v="70"/>
    <m/>
  </r>
  <r>
    <s v="5c5af32e-51d5-4e1b-a89b-497f9450f396"/>
    <x v="0"/>
    <s v="ec142a3c-b816-4eae-818d-fa946910fd59"/>
    <s v="stopped"/>
    <x v="0"/>
    <s v="2022-11-29T15:57:50.740000+00:00"/>
    <n v="213"/>
    <n v="6"/>
    <n v="2.8169014084507043E-2"/>
    <x v="159"/>
    <x v="0"/>
    <s v="43"/>
    <s v="URL"/>
    <x v="20"/>
    <x v="20"/>
    <m/>
    <m/>
    <x v="0"/>
    <s v="inverter issue"/>
    <m/>
    <x v="70"/>
    <m/>
  </r>
  <r>
    <s v="c3d11709-d7c8-4932-8fa2-033781567f34"/>
    <x v="0"/>
    <s v="ec142a3c-b816-4eae-818d-fa946910fd59"/>
    <s v="stopped"/>
    <x v="0"/>
    <s v="2022-11-29T15:59:28.124000+00:00"/>
    <n v="213"/>
    <n v="7"/>
    <n v="3.2863849765258218E-2"/>
    <x v="160"/>
    <x v="0"/>
    <s v="43"/>
    <s v="URL"/>
    <x v="20"/>
    <x v="20"/>
    <m/>
    <m/>
    <x v="0"/>
    <s v="inverter issue"/>
    <m/>
    <x v="70"/>
    <m/>
  </r>
  <r>
    <s v="993f4d6d-75e1-4818-b548-c2880d3d3ce4"/>
    <x v="0"/>
    <s v="d1419486-defd-439c-a46f-b61d63e6ae3c"/>
    <s v="stopped"/>
    <x v="0"/>
    <s v="2022-11-29T16:05:35.966000+00:00"/>
    <n v="206"/>
    <n v="0"/>
    <n v="0"/>
    <x v="124"/>
    <x v="0"/>
    <s v="43"/>
    <s v="URL"/>
    <x v="20"/>
    <x v="20"/>
    <m/>
    <m/>
    <x v="0"/>
    <s v="inverter issue"/>
    <m/>
    <x v="70"/>
    <m/>
  </r>
  <r>
    <s v="3aee9eaa-71d8-47cc-af87-c1f45b047472"/>
    <x v="0"/>
    <s v="a2215a3a-782c-4c0a-ac5c-e83a8f641b7a"/>
    <s v="failed"/>
    <x v="0"/>
    <s v="2022-11-29T16:08:55.765000+00:00"/>
    <n v="206"/>
    <n v="0"/>
    <n v="0"/>
    <x v="124"/>
    <x v="0"/>
    <s v="43"/>
    <s v="URL"/>
    <x v="20"/>
    <x v="20"/>
    <m/>
    <m/>
    <x v="0"/>
    <s v="inverter issue"/>
    <m/>
    <x v="70"/>
    <m/>
  </r>
  <r>
    <s v="3aee9eaa-71d8-47cc-af87-c1f45b047472"/>
    <x v="0"/>
    <s v="a2215a3a-782c-4c0a-ac5c-e83a8f641b7a"/>
    <s v="failed"/>
    <x v="20"/>
    <s v="2022-11-29T16:08:55.765000+00:00"/>
    <n v="206"/>
    <n v="1"/>
    <n v="4.8543689320388345E-3"/>
    <x v="161"/>
    <x v="0"/>
    <s v="43"/>
    <s v="URL"/>
    <x v="26"/>
    <x v="26"/>
    <m/>
    <m/>
    <x v="0"/>
    <m/>
    <m/>
    <x v="70"/>
    <m/>
  </r>
  <r>
    <s v="0901d832-4668-4fe2-a0aa-a984c4ff47b8"/>
    <x v="0"/>
    <s v="11b8a161-9914-43c9-bfa7-d450c3e5e851"/>
    <s v="completed"/>
    <x v="0"/>
    <s v="2022-11-29T22:56:08.302000+00:00"/>
    <n v="213"/>
    <n v="89"/>
    <n v="0.41784037558685444"/>
    <x v="162"/>
    <x v="0"/>
    <s v="43"/>
    <s v="URL"/>
    <x v="22"/>
    <x v="22"/>
    <s v="geraakt er niet op met zijn achterwielen"/>
    <s v="OAG1XENLUM202204024"/>
    <x v="0"/>
    <s v="achterwielen geraken er niet op. Gekend probleem bij deze rail;"/>
    <m/>
    <x v="70"/>
    <m/>
  </r>
  <r>
    <s v="e39b3b11-41c6-4b58-8739-562b91cf9bcb"/>
    <x v="2"/>
    <s v="96efdaa1-e5d3-41ea-8396-e04cd75502c6"/>
    <s v="completed"/>
    <x v="0"/>
    <s v="2022-11-29T23:47:04.202000+00:00"/>
    <n v="139"/>
    <n v="99"/>
    <n v="0.71223021582733814"/>
    <x v="94"/>
    <x v="2"/>
    <s v="43"/>
    <s v="URL"/>
    <x v="25"/>
    <x v="25"/>
    <m/>
    <s v="OAG1XENLUM2204023"/>
    <x v="0"/>
    <s v="voorwielslip, trjaectory generation timeout bij uitrekenen retry"/>
    <m/>
    <x v="70"/>
    <m/>
  </r>
  <r>
    <s v="0cab4c78-2750-44f6-966f-30459dddc4a2"/>
    <x v="2"/>
    <s v="96efdaa1-e5d3-41ea-8396-e04cd75502c6"/>
    <s v="completed"/>
    <x v="0"/>
    <s v="2022-11-30T01:04:55.490000+00:00"/>
    <n v="139"/>
    <n v="117"/>
    <n v="0.84172661870503596"/>
    <x v="163"/>
    <x v="2"/>
    <s v="43"/>
    <s v="URL"/>
    <x v="1"/>
    <x v="1"/>
    <s v="robot stopt te vroeg, remt ineens sterk af"/>
    <s v="OAG1XENLUM2204023"/>
    <x v="0"/>
    <s v="Een foute eol open meting in het begin veroorzaakt dit. de vermoedelijke juiste metingen worden nadien weggesmeten. "/>
    <m/>
    <x v="71"/>
    <m/>
  </r>
  <r>
    <s v="a8e54386-8e9e-47ff-a06b-69d3699b7c22"/>
    <x v="2"/>
    <s v="96efdaa1-e5d3-41ea-8396-e04cd75502c6"/>
    <s v="completed"/>
    <x v="0"/>
    <s v="2022-11-30T01:15:19.246000+00:00"/>
    <n v="139"/>
    <n v="120"/>
    <n v="0.86330935251798557"/>
    <x v="42"/>
    <x v="2"/>
    <s v="43"/>
    <s v="URL"/>
    <x v="22"/>
    <x v="22"/>
    <m/>
    <s v="OAG1XENLUM2204023"/>
    <x v="0"/>
    <s v="Voorwiel slip, je ziet dat hij ook wel weer een beetje moeite had met de achterwielen"/>
    <m/>
    <x v="71"/>
    <m/>
  </r>
  <r>
    <m/>
    <x v="2"/>
    <s v="96efdaa1-e5d3-41ea-8396-e04cd75502c6"/>
    <s v="completed"/>
    <x v="3"/>
    <s v="2022-11-30T02:32:34.039000+00:00"/>
    <n v="139"/>
    <n v="136"/>
    <n v="0.97841726618705038"/>
    <x v="4"/>
    <x v="2"/>
    <s v="43"/>
    <m/>
    <x v="2"/>
    <x v="2"/>
    <m/>
    <m/>
    <x v="0"/>
    <m/>
    <m/>
    <x v="71"/>
    <m/>
  </r>
  <r>
    <s v="53c23e0f-f72f-422b-b802-eeb2c8a592f3"/>
    <x v="0"/>
    <s v="11b8a161-9914-43c9-bfa7-d450c3e5e851"/>
    <s v="completed"/>
    <x v="0"/>
    <s v="2022-11-30T03:24:44.165000+00:00"/>
    <n v="213"/>
    <n v="152"/>
    <n v="0.71361502347417838"/>
    <x v="164"/>
    <x v="0"/>
    <s v="43"/>
    <s v="URL"/>
    <x v="22"/>
    <x v="22"/>
    <m/>
    <s v="OAG1XENLUM202204024.docx"/>
    <x v="0"/>
    <s v="Eerst moeite met achterwielen, daarna voorwielen."/>
    <m/>
    <x v="71"/>
    <m/>
  </r>
  <r>
    <m/>
    <x v="0"/>
    <s v="11b8a161-9914-43c9-bfa7-d450c3e5e851"/>
    <s v="completed"/>
    <x v="3"/>
    <s v="2022-11-30T07:44:25.852000+00:00"/>
    <n v="213"/>
    <n v="211"/>
    <n v="0.99061032863849763"/>
    <x v="4"/>
    <x v="0"/>
    <s v="43"/>
    <m/>
    <x v="2"/>
    <x v="2"/>
    <m/>
    <m/>
    <x v="0"/>
    <m/>
    <m/>
    <x v="71"/>
    <m/>
  </r>
  <r>
    <m/>
    <x v="4"/>
    <s v="edb988e9-9f5a-41a2-b639-aeb258fc7236"/>
    <s v="failed"/>
    <x v="0"/>
    <s v="2022-11-30T18:09:40.306000+00:00"/>
    <n v="144"/>
    <n v="0"/>
    <n v="0"/>
    <x v="153"/>
    <x v="5"/>
    <s v="14"/>
    <m/>
    <x v="9"/>
    <x v="9"/>
    <m/>
    <m/>
    <x v="0"/>
    <m/>
    <m/>
    <x v="71"/>
    <m/>
  </r>
  <r>
    <m/>
    <x v="4"/>
    <s v="edb988e9-9f5a-41a2-b639-aeb258fc7236"/>
    <s v="failed"/>
    <x v="18"/>
    <s v="2022-11-30T18:12:16.930000+00:00"/>
    <n v="144"/>
    <n v="1"/>
    <n v="6.9444444444444441E-3"/>
    <x v="153"/>
    <x v="5"/>
    <s v="14"/>
    <m/>
    <x v="17"/>
    <x v="17"/>
    <m/>
    <m/>
    <x v="0"/>
    <m/>
    <m/>
    <x v="71"/>
    <m/>
  </r>
  <r>
    <s v="ad9a7a02-eb2d-4055-b5ec-3bc1bf2ddbfa"/>
    <x v="4"/>
    <m/>
    <m/>
    <x v="3"/>
    <s v="2022-11-30T19:20:48.00+00:00"/>
    <m/>
    <m/>
    <m/>
    <x v="4"/>
    <x v="6"/>
    <m/>
    <s v="URL"/>
    <x v="16"/>
    <x v="16"/>
    <m/>
    <m/>
    <x v="0"/>
    <m/>
    <m/>
    <x v="71"/>
    <m/>
  </r>
  <r>
    <s v="1678c0df-b65b-410c-beb7-4ff6e55077d1"/>
    <x v="3"/>
    <s v="588085c8-8a49-496c-bdc7-fcff58e3c0ba"/>
    <s v="failed"/>
    <x v="23"/>
    <s v="2022-11-30T19:39:37.100000+00:00"/>
    <n v="100"/>
    <n v="8"/>
    <n v="0.08"/>
    <x v="124"/>
    <x v="1"/>
    <s v="47"/>
    <s v="URL"/>
    <x v="16"/>
    <x v="16"/>
    <m/>
    <m/>
    <x v="0"/>
    <m/>
    <m/>
    <x v="71"/>
    <m/>
  </r>
  <r>
    <s v="056ef86c-a40d-4d4c-ab55-c4348f43add4"/>
    <x v="0"/>
    <s v="bfb050bb-67b8-4033-898f-a98454b5704e"/>
    <s v="failed"/>
    <x v="0"/>
    <s v="2022-11-30T22:25:20.732000+00:00"/>
    <n v="214"/>
    <n v="86"/>
    <n v="0.40186915887850466"/>
    <x v="165"/>
    <x v="0"/>
    <s v="43"/>
    <s v="URL"/>
    <x v="1"/>
    <x v="1"/>
    <m/>
    <s v="OAG1XENLUM202204024.docx"/>
    <x v="0"/>
    <s v="Robot heeft eerst moeite om op de rail te geraken ==&gt; collision detected, maar nog net voor de detection komt robot in beweging en wordt inductieve gedetecteerd. ==&gt; bij volgend traject komt de robot terug in de regio, maar de inductieve is al gedetecteerd geweest, dus dit kan geen 2de keer ==&gt; inductieve error"/>
    <m/>
    <x v="71"/>
    <m/>
  </r>
  <r>
    <s v="8c1827b5-9978-479c-bdbc-2ff05d7098a2"/>
    <x v="0"/>
    <s v="bfb050bb-67b8-4033-898f-a98454b5704e"/>
    <s v="failed"/>
    <x v="32"/>
    <s v="2022-11-30T22:36:23.457000+00:00"/>
    <n v="214"/>
    <n v="89"/>
    <n v="0.41588785046728971"/>
    <x v="162"/>
    <x v="0"/>
    <s v="43"/>
    <s v="URL"/>
    <x v="22"/>
    <x v="22"/>
    <m/>
    <s v="OAG1XENLUM202204024.docx"/>
    <x v="0"/>
    <s v="Het is een bekend probleem bij de rail waar dit is opgetreden, de rail zweeft wat te hoog boven het betonpad. Vreemd is wel dat recovery niet gelukt is , het lijk alsof de orchestrator veel te snel de visie heeft uitgezet"/>
    <m/>
    <x v="71"/>
    <m/>
  </r>
  <r>
    <s v="ae19a442-8e3d-4b56-9d38-b2bebe8cd0bf"/>
    <x v="2"/>
    <s v="5732cdf0-1b89-4492-8ada-35f6627e15c4"/>
    <s v="completed"/>
    <x v="0"/>
    <s v="2022-12-01T00:28:55.374000+00:00"/>
    <n v="140"/>
    <n v="120"/>
    <n v="0.8571428571428571"/>
    <x v="42"/>
    <x v="2"/>
    <s v="43"/>
    <s v="URL"/>
    <x v="25"/>
    <x v="25"/>
    <m/>
    <s v="OAG1XENLUM2204023"/>
    <x v="0"/>
    <s v="LocalPathPlanner: trajectory generation timed out. Gebeurt na correct gedetecteerde voorwiel slip"/>
    <m/>
    <x v="72"/>
    <m/>
  </r>
  <r>
    <m/>
    <x v="2"/>
    <s v="5732cdf0-1b89-4492-8ada-35f6627e15c4"/>
    <s v="completed"/>
    <x v="3"/>
    <s v="2022-12-01T01:46:25.752000+00:00"/>
    <n v="140"/>
    <n v="139"/>
    <n v="0.99285714285714288"/>
    <x v="4"/>
    <x v="2"/>
    <s v="43"/>
    <m/>
    <x v="2"/>
    <x v="2"/>
    <m/>
    <m/>
    <x v="0"/>
    <m/>
    <m/>
    <x v="72"/>
    <m/>
  </r>
  <r>
    <m/>
    <x v="3"/>
    <s v="5418dc01-962a-4be3-8ffd-9c6b5895cae5"/>
    <s v="stopped"/>
    <x v="3"/>
    <s v="2022-12-01T09:41:06.604000+00:00"/>
    <n v="2"/>
    <n v="1"/>
    <n v="0.5"/>
    <x v="4"/>
    <x v="1"/>
    <s v="47"/>
    <m/>
    <x v="2"/>
    <x v="2"/>
    <m/>
    <m/>
    <x v="0"/>
    <m/>
    <m/>
    <x v="72"/>
    <m/>
  </r>
  <r>
    <m/>
    <x v="3"/>
    <s v="a1d0b7ee-a594-4c10-8ca7-110b0c9b58a5"/>
    <s v="stopped"/>
    <x v="3"/>
    <s v="2022-12-01T09:43:12.650000+00:00"/>
    <n v="2"/>
    <n v="1"/>
    <n v="0.5"/>
    <x v="4"/>
    <x v="1"/>
    <s v="47"/>
    <m/>
    <x v="2"/>
    <x v="2"/>
    <m/>
    <m/>
    <x v="0"/>
    <m/>
    <m/>
    <x v="72"/>
    <m/>
  </r>
  <r>
    <m/>
    <x v="2"/>
    <s v="836d7207-889d-43e8-a910-1ab1072fd55d"/>
    <s v="failed"/>
    <x v="23"/>
    <s v="2022-12-01T10:44:09.028000+00:00"/>
    <n v="33"/>
    <n v="2"/>
    <n v="6.0606060606060608E-2"/>
    <x v="166"/>
    <x v="0"/>
    <s v="43"/>
    <m/>
    <x v="16"/>
    <x v="16"/>
    <m/>
    <m/>
    <x v="0"/>
    <m/>
    <m/>
    <x v="72"/>
    <m/>
  </r>
  <r>
    <m/>
    <x v="2"/>
    <s v="6b5aff76-bfcf-4cf5-bfc4-72b110b90f1c"/>
    <s v="failed"/>
    <x v="23"/>
    <s v="2022-12-01T11:54:17.488000+00:00"/>
    <n v="19"/>
    <n v="4"/>
    <n v="0.21052631578947367"/>
    <x v="167"/>
    <x v="0"/>
    <s v="43"/>
    <m/>
    <x v="16"/>
    <x v="16"/>
    <m/>
    <m/>
    <x v="0"/>
    <m/>
    <m/>
    <x v="72"/>
    <m/>
  </r>
  <r>
    <s v="550e15e5-3a34-4c32-aa1d-09c4a498465a"/>
    <x v="4"/>
    <s v="4e104c46-f56f-4274-b58d-8ccac0f5784b"/>
    <s v="failed"/>
    <x v="0"/>
    <s v="2022-12-01T13:01:20.086000+00:00"/>
    <n v="77"/>
    <n v="0"/>
    <n v="0"/>
    <x v="153"/>
    <x v="5"/>
    <s v="14"/>
    <s v="URL"/>
    <x v="17"/>
    <x v="17"/>
    <m/>
    <m/>
    <x v="0"/>
    <m/>
    <m/>
    <x v="72"/>
    <m/>
  </r>
  <r>
    <s v="727ae527-5987-4b18-8792-fcd22da9b5b3"/>
    <x v="4"/>
    <s v="4e104c46-f56f-4274-b58d-8ccac0f5784b"/>
    <s v="failed"/>
    <x v="33"/>
    <s v="2022-12-01T13:21:43.527000+00:00"/>
    <n v="77"/>
    <n v="1"/>
    <n v="1.2987012987012988E-2"/>
    <x v="153"/>
    <x v="5"/>
    <s v="14"/>
    <s v="URL"/>
    <x v="17"/>
    <x v="17"/>
    <m/>
    <m/>
    <x v="0"/>
    <m/>
    <m/>
    <x v="72"/>
    <m/>
  </r>
  <r>
    <s v="eb3b5757-7ec8-4036-88b9-c592a232799c"/>
    <x v="4"/>
    <s v="d3db9ceb-95e3-44e5-85c6-2f4d78ccc5fa"/>
    <s v="failed"/>
    <x v="33"/>
    <s v="2022-12-01T13:56:55.341000+00:00"/>
    <n v="76"/>
    <n v="0"/>
    <n v="0"/>
    <x v="153"/>
    <x v="5"/>
    <s v="14"/>
    <s v="URL"/>
    <x v="17"/>
    <x v="17"/>
    <m/>
    <m/>
    <x v="0"/>
    <m/>
    <m/>
    <x v="72"/>
    <m/>
  </r>
  <r>
    <s v="6c1b4712-aa27-4c2f-ac5c-66ff9b2cd511"/>
    <x v="4"/>
    <s v="e1eccfcd-faea-4028-adc8-a0ccd153d000"/>
    <s v="failed"/>
    <x v="33"/>
    <s v="2022-12-01T14:11:35.206000+00:00"/>
    <n v="77"/>
    <n v="1"/>
    <n v="1.2987012987012988E-2"/>
    <x v="153"/>
    <x v="5"/>
    <s v="14"/>
    <s v="URL"/>
    <x v="17"/>
    <x v="17"/>
    <m/>
    <m/>
    <x v="0"/>
    <m/>
    <m/>
    <x v="72"/>
    <m/>
  </r>
  <r>
    <s v="fdf2863b-bb47-4d52-bf5b-d41d6c414e5f"/>
    <x v="1"/>
    <s v="ee084474-f6bf-433d-8406-1c53d4bd81ec"/>
    <s v="failed"/>
    <x v="23"/>
    <s v="2022-12-01T14:27:36.485000+00:00"/>
    <n v="6"/>
    <n v="1"/>
    <n v="0.16666666666666666"/>
    <x v="140"/>
    <x v="1"/>
    <s v="47"/>
    <s v="URL"/>
    <x v="16"/>
    <x v="16"/>
    <m/>
    <m/>
    <x v="0"/>
    <m/>
    <m/>
    <x v="72"/>
    <m/>
  </r>
  <r>
    <s v="d867f237-8f9c-4c2c-b97b-0048d6b91340"/>
    <x v="1"/>
    <s v="c028be34-3ddf-4490-933c-2f3a190dae5c"/>
    <s v="failed"/>
    <x v="27"/>
    <s v="2022-12-01T15:02:01.569000+00:00"/>
    <n v="111"/>
    <n v="1"/>
    <n v="9.0090090090090089E-3"/>
    <x v="124"/>
    <x v="1"/>
    <s v="47"/>
    <s v="URL"/>
    <x v="19"/>
    <x v="19"/>
    <m/>
    <m/>
    <x v="0"/>
    <m/>
    <m/>
    <x v="72"/>
    <m/>
  </r>
  <r>
    <m/>
    <x v="4"/>
    <s v="119f55a4-0693-4dc7-9767-2b40a6b95155"/>
    <s v="stopped"/>
    <x v="3"/>
    <s v="2022-12-01T15:10:25.929000+00:00"/>
    <n v="77"/>
    <n v="2"/>
    <n v="2.5974025974025976E-2"/>
    <x v="4"/>
    <x v="5"/>
    <s v="14"/>
    <m/>
    <x v="2"/>
    <x v="2"/>
    <m/>
    <m/>
    <x v="0"/>
    <m/>
    <m/>
    <x v="72"/>
    <m/>
  </r>
  <r>
    <m/>
    <x v="4"/>
    <s v="2716eab2-a98b-4328-82f8-574d67e0d509"/>
    <s v="stopped"/>
    <x v="3"/>
    <s v="2022-12-01T15:25:08.834000+00:00"/>
    <n v="77"/>
    <n v="2"/>
    <n v="2.5974025974025976E-2"/>
    <x v="4"/>
    <x v="5"/>
    <s v="14"/>
    <m/>
    <x v="2"/>
    <x v="2"/>
    <m/>
    <m/>
    <x v="0"/>
    <m/>
    <m/>
    <x v="72"/>
    <m/>
  </r>
  <r>
    <s v="04091267-0639-4d76-b135-c962c000be99"/>
    <x v="4"/>
    <s v="b355a452-af9a-46e3-aaf2-0fcafc0f3f74"/>
    <s v="failed"/>
    <x v="33"/>
    <s v="2022-12-01T15:37:17.298000+00:00"/>
    <n v="116"/>
    <n v="2"/>
    <n v="1.7241379310344827E-2"/>
    <x v="124"/>
    <x v="5"/>
    <s v="14"/>
    <s v="URL"/>
    <x v="2"/>
    <x v="2"/>
    <m/>
    <m/>
    <x v="0"/>
    <m/>
    <m/>
    <x v="72"/>
    <m/>
  </r>
  <r>
    <m/>
    <x v="0"/>
    <s v="90beacae-44f8-4c1c-9c47-9a88d25cf7f6"/>
    <s v="failed"/>
    <x v="22"/>
    <s v="2022-12-01T16:11:14.853000+00:00"/>
    <n v="140"/>
    <n v="9"/>
    <n v="6.4285714285714279E-2"/>
    <x v="168"/>
    <x v="2"/>
    <s v="43"/>
    <m/>
    <x v="6"/>
    <x v="6"/>
    <m/>
    <m/>
    <x v="0"/>
    <m/>
    <m/>
    <x v="72"/>
    <m/>
  </r>
  <r>
    <m/>
    <x v="0"/>
    <s v="77223f7b-6e69-433e-a9ab-25380f5cb117"/>
    <s v="completed"/>
    <x v="3"/>
    <s v="2022-12-01T16:19:11.281000+00:00"/>
    <n v="2"/>
    <n v="2"/>
    <n v="1"/>
    <x v="4"/>
    <x v="2"/>
    <s v="43"/>
    <m/>
    <x v="2"/>
    <x v="2"/>
    <m/>
    <m/>
    <x v="0"/>
    <m/>
    <m/>
    <x v="72"/>
    <m/>
  </r>
  <r>
    <s v="378a2dd6-5ca4-4e74-a9e5-0a6b60bb258b"/>
    <x v="0"/>
    <s v="0bf91439-5cce-43fe-9905-a5e93cf2d395"/>
    <s v="failed"/>
    <x v="34"/>
    <s v="2022-12-01T16:45:01.712000+00:00"/>
    <n v="3"/>
    <n v="1"/>
    <n v="0.33333333333333331"/>
    <x v="169"/>
    <x v="2"/>
    <s v="43"/>
    <s v="URL"/>
    <x v="24"/>
    <x v="24"/>
    <s v="Beetje vreemde error bij het induwen van de bumper"/>
    <m/>
    <x v="0"/>
    <m/>
    <m/>
    <x v="72"/>
    <m/>
  </r>
  <r>
    <s v="570a2683-4c65-4747-82aa-9d4165b6f8ff"/>
    <x v="4"/>
    <s v="9e28bf93-1815-4899-a0a3-7bce0cb1b761"/>
    <s v="failed"/>
    <x v="33"/>
    <s v="2022-12-01T17:09:09.896000+00:00"/>
    <n v="116"/>
    <n v="2"/>
    <n v="1.7241379310344827E-2"/>
    <x v="153"/>
    <x v="5"/>
    <s v="14"/>
    <s v="URL"/>
    <x v="17"/>
    <x v="17"/>
    <m/>
    <m/>
    <x v="0"/>
    <m/>
    <m/>
    <x v="72"/>
    <m/>
  </r>
  <r>
    <m/>
    <x v="3"/>
    <s v="98a2c91d-8aae-474a-88f0-778b5bc57ffb"/>
    <s v="failed"/>
    <x v="29"/>
    <s v="2022-12-01T17:12:06.078000+00:00"/>
    <n v="94"/>
    <n v="1"/>
    <n v="1.0638297872340425E-2"/>
    <x v="140"/>
    <x v="1"/>
    <s v="47"/>
    <m/>
    <x v="0"/>
    <x v="0"/>
    <m/>
    <m/>
    <x v="0"/>
    <m/>
    <m/>
    <x v="72"/>
    <m/>
  </r>
  <r>
    <m/>
    <x v="3"/>
    <s v="cca8c4bf-151c-4605-b222-2bf331115ff9"/>
    <s v="failed"/>
    <x v="19"/>
    <s v="2022-12-01T17:16:05.130000+00:00"/>
    <n v="94"/>
    <n v="1"/>
    <n v="1.0638297872340425E-2"/>
    <x v="124"/>
    <x v="1"/>
    <s v="47"/>
    <m/>
    <x v="16"/>
    <x v="16"/>
    <m/>
    <m/>
    <x v="0"/>
    <m/>
    <m/>
    <x v="72"/>
    <m/>
  </r>
  <r>
    <s v="b20c8386-406f-4144-9021-aa758b4948a6"/>
    <x v="3"/>
    <s v="aa02b40d-6b41-4d8e-b989-289055baff46"/>
    <s v="failed"/>
    <x v="0"/>
    <s v="2022-12-01T18:26:00.762000+00:00"/>
    <n v="50"/>
    <n v="1"/>
    <n v="0.02"/>
    <x v="124"/>
    <x v="1"/>
    <s v="47"/>
    <s v="URL"/>
    <x v="16"/>
    <x v="16"/>
    <m/>
    <m/>
    <x v="0"/>
    <m/>
    <m/>
    <x v="72"/>
    <m/>
  </r>
  <r>
    <m/>
    <x v="3"/>
    <s v="aa02b40d-6b41-4d8e-b989-289055baff46"/>
    <s v="failed"/>
    <x v="19"/>
    <s v="2022-12-01T18:37:46.290000+00:00"/>
    <n v="50"/>
    <n v="3"/>
    <n v="0.06"/>
    <x v="140"/>
    <x v="1"/>
    <s v="47"/>
    <m/>
    <x v="16"/>
    <x v="16"/>
    <m/>
    <m/>
    <x v="0"/>
    <m/>
    <m/>
    <x v="72"/>
    <m/>
  </r>
  <r>
    <m/>
    <x v="3"/>
    <s v="adf19aaa-9292-4055-a1f1-35c471cc1c42"/>
    <s v="stopped"/>
    <x v="3"/>
    <s v="2022-12-01T18:50:45.185000+00:00"/>
    <n v="48"/>
    <n v="1"/>
    <n v="2.0833333333333332E-2"/>
    <x v="4"/>
    <x v="1"/>
    <s v="47"/>
    <m/>
    <x v="2"/>
    <x v="2"/>
    <m/>
    <m/>
    <x v="0"/>
    <m/>
    <m/>
    <x v="72"/>
    <m/>
  </r>
  <r>
    <m/>
    <x v="3"/>
    <s v="a56c64e1-e216-42a1-9876-aebe8bf9f18f"/>
    <s v="stopped"/>
    <x v="3"/>
    <s v="2022-12-01T18:58:03.352000+00:00"/>
    <n v="40"/>
    <n v="1"/>
    <n v="2.5000000000000001E-2"/>
    <x v="4"/>
    <x v="1"/>
    <s v="47"/>
    <m/>
    <x v="2"/>
    <x v="2"/>
    <m/>
    <m/>
    <x v="0"/>
    <m/>
    <m/>
    <x v="72"/>
    <m/>
  </r>
  <r>
    <s v="313ddea6-fd1d-461d-86cd-e4836611ae72"/>
    <x v="1"/>
    <s v="1550e705-62f3-46ee-8d4b-deae830efe52"/>
    <s v="failed"/>
    <x v="19"/>
    <s v="2022-12-01T19:01:12.884000+00:00"/>
    <n v="48"/>
    <n v="11"/>
    <n v="0.22916666666666666"/>
    <x v="170"/>
    <x v="1"/>
    <s v="47"/>
    <s v="URL"/>
    <x v="16"/>
    <x v="16"/>
    <m/>
    <m/>
    <x v="0"/>
    <m/>
    <m/>
    <x v="72"/>
    <m/>
  </r>
  <r>
    <m/>
    <x v="1"/>
    <s v="d55f7bdd-a807-4237-a44d-5141d72ca6a1"/>
    <s v="stopped"/>
    <x v="3"/>
    <s v="2022-12-01T19:10:35.685000+00:00"/>
    <n v="42"/>
    <n v="1"/>
    <n v="2.3809523809523808E-2"/>
    <x v="4"/>
    <x v="1"/>
    <s v="47"/>
    <m/>
    <x v="2"/>
    <x v="2"/>
    <m/>
    <m/>
    <x v="0"/>
    <m/>
    <m/>
    <x v="72"/>
    <m/>
  </r>
  <r>
    <m/>
    <x v="1"/>
    <s v="d4c157c6-8fd9-479a-8503-2fd54095fbc7"/>
    <m/>
    <x v="3"/>
    <s v="2022-12-01T22:14:07.764000+00:00"/>
    <n v="42"/>
    <n v="4"/>
    <n v="9.5238095238095233E-2"/>
    <x v="4"/>
    <x v="1"/>
    <s v="47"/>
    <m/>
    <x v="2"/>
    <x v="2"/>
    <m/>
    <m/>
    <x v="0"/>
    <m/>
    <m/>
    <x v="72"/>
    <m/>
  </r>
  <r>
    <m/>
    <x v="3"/>
    <s v="7d3275fa-ebea-4435-8eb2-ca76b4f77d5d"/>
    <s v="stopped"/>
    <x v="3"/>
    <s v="2022-12-01T22:25:41.770000+00:00"/>
    <n v="34"/>
    <n v="1"/>
    <n v="2.9411764705882353E-2"/>
    <x v="4"/>
    <x v="7"/>
    <s v="47"/>
    <m/>
    <x v="2"/>
    <x v="2"/>
    <m/>
    <m/>
    <x v="0"/>
    <m/>
    <m/>
    <x v="72"/>
    <m/>
  </r>
  <r>
    <m/>
    <x v="0"/>
    <s v="0ed263a0-9ca1-4cdd-bab1-5fa3f4daae1e"/>
    <s v="completed"/>
    <x v="3"/>
    <s v="2022-12-02T02:07:32.361000+00:00"/>
    <n v="129"/>
    <n v="129"/>
    <n v="1"/>
    <x v="4"/>
    <x v="2"/>
    <s v="43"/>
    <m/>
    <x v="2"/>
    <x v="2"/>
    <m/>
    <m/>
    <x v="0"/>
    <m/>
    <m/>
    <x v="73"/>
    <m/>
  </r>
  <r>
    <s v="01eac3c2-9a39-471d-9caa-a9dea936fcf7"/>
    <x v="2"/>
    <s v="6c16a77f-54d5-4722-8228-0ac54e4d22b1"/>
    <s v="completed"/>
    <x v="0"/>
    <s v="2022-12-02T04:15:36.577000+00:00"/>
    <n v="214"/>
    <n v="179"/>
    <n v="0.83644859813084116"/>
    <x v="15"/>
    <x v="0"/>
    <s v="43"/>
    <s v="URL"/>
    <x v="1"/>
    <x v="1"/>
    <s v="Elektrokast issue, robot stopt te vroeg"/>
    <m/>
    <x v="0"/>
    <m/>
    <m/>
    <x v="73"/>
    <m/>
  </r>
  <r>
    <m/>
    <x v="2"/>
    <s v="6c16a77f-54d5-4722-8228-0ac54e4d22b1"/>
    <s v="completed"/>
    <x v="3"/>
    <s v="2022-12-02T06:37:58.096000+00:00"/>
    <n v="214"/>
    <n v="213"/>
    <n v="0.99532710280373837"/>
    <x v="4"/>
    <x v="0"/>
    <s v="43"/>
    <m/>
    <x v="2"/>
    <x v="2"/>
    <m/>
    <m/>
    <x v="0"/>
    <m/>
    <m/>
    <x v="73"/>
    <m/>
  </r>
  <r>
    <m/>
    <x v="1"/>
    <s v="dc26f7a9-67d0-4ce0-80d6-5b8eb6862785"/>
    <s v="failed"/>
    <x v="35"/>
    <s v="2022-12-02T09:13:23.028000+00:00"/>
    <n v="27"/>
    <n v="1"/>
    <n v="3.7037037037037035E-2"/>
    <x v="171"/>
    <x v="7"/>
    <s v="47"/>
    <m/>
    <x v="9"/>
    <x v="9"/>
    <m/>
    <m/>
    <x v="0"/>
    <m/>
    <m/>
    <x v="73"/>
    <m/>
  </r>
  <r>
    <s v="aa60efb5-985b-4b98-95a4-01adc1f3d435"/>
    <x v="1"/>
    <s v="611da731-000c-4cda-8714-031b712177a0"/>
    <s v="failed"/>
    <x v="19"/>
    <s v="2022-12-02T09:37:24.149000+00:00"/>
    <n v="27"/>
    <n v="4"/>
    <n v="0.14814814814814814"/>
    <x v="124"/>
    <x v="7"/>
    <s v="47"/>
    <s v="URL"/>
    <x v="16"/>
    <x v="16"/>
    <m/>
    <m/>
    <x v="0"/>
    <m/>
    <m/>
    <x v="73"/>
    <m/>
  </r>
  <r>
    <m/>
    <x v="3"/>
    <s v="99a8e933-043a-49f9-9cae-abf46e02042d"/>
    <s v="failed"/>
    <x v="22"/>
    <s v="2022-12-02T10:18:29.058000+00:00"/>
    <n v="46"/>
    <n v="3"/>
    <n v="6.5217391304347824E-2"/>
    <x v="140"/>
    <x v="1"/>
    <s v="47"/>
    <m/>
    <x v="6"/>
    <x v="6"/>
    <m/>
    <m/>
    <x v="0"/>
    <m/>
    <m/>
    <x v="73"/>
    <m/>
  </r>
  <r>
    <s v="e7c8dfa1-ed78-4d79-aec5-adff6908d7f6"/>
    <x v="1"/>
    <s v="0a3bd374-7e5b-410b-b7ec-89968db5369d"/>
    <s v="failed"/>
    <x v="26"/>
    <s v="2022-12-02T10:24:22.650000+00:00"/>
    <n v="37"/>
    <n v="7"/>
    <n v="0.1891891891891892"/>
    <x v="172"/>
    <x v="7"/>
    <s v="47"/>
    <s v="URL"/>
    <x v="18"/>
    <x v="18"/>
    <m/>
    <m/>
    <x v="0"/>
    <m/>
    <m/>
    <x v="73"/>
    <m/>
  </r>
  <r>
    <s v="1c76649e-195d-405d-86e7-7e94222a2c6a"/>
    <x v="1"/>
    <s v="84185738-5663-459b-8dba-c1bd10ab20fd"/>
    <s v="completed"/>
    <x v="0"/>
    <s v="2022-12-02T10:39:39.739000+00:00"/>
    <n v="21"/>
    <n v="1"/>
    <n v="4.7619047619047616E-2"/>
    <x v="124"/>
    <x v="7"/>
    <s v="47"/>
    <s v="URL"/>
    <x v="19"/>
    <x v="19"/>
    <m/>
    <m/>
    <x v="0"/>
    <m/>
    <m/>
    <x v="73"/>
    <m/>
  </r>
  <r>
    <m/>
    <x v="3"/>
    <s v="13ac72a8-43bb-40c9-8919-04865b7b83e2"/>
    <s v="failed"/>
    <x v="31"/>
    <s v="2022-12-02T10:40:14.748000+00:00"/>
    <n v="42"/>
    <n v="1"/>
    <n v="2.3809523809523808E-2"/>
    <x v="173"/>
    <x v="7"/>
    <s v="47"/>
    <m/>
    <x v="19"/>
    <x v="19"/>
    <m/>
    <m/>
    <x v="0"/>
    <m/>
    <m/>
    <x v="73"/>
    <m/>
  </r>
  <r>
    <m/>
    <x v="3"/>
    <s v="5dc5324a-8de6-419f-a260-526a37d96f44"/>
    <s v="failed"/>
    <x v="31"/>
    <s v="2022-12-02T10:41:54.756000+00:00"/>
    <n v="38"/>
    <n v="1"/>
    <n v="2.6315789473684209E-2"/>
    <x v="173"/>
    <x v="7"/>
    <s v="47"/>
    <m/>
    <x v="19"/>
    <x v="19"/>
    <m/>
    <m/>
    <x v="0"/>
    <m/>
    <m/>
    <x v="73"/>
    <m/>
  </r>
  <r>
    <s v="f1a55604-4d93-4389-8ad1-ae25a3ebe3b8"/>
    <x v="1"/>
    <s v="84185738-5663-459b-8dba-c1bd10ab20fd"/>
    <s v="completed"/>
    <x v="0"/>
    <s v="2022-12-02T11:18:08.117000+00:00"/>
    <n v="21"/>
    <n v="12"/>
    <n v="0.5714285714285714"/>
    <x v="174"/>
    <x v="7"/>
    <s v="47"/>
    <s v="URL"/>
    <x v="25"/>
    <x v="25"/>
    <m/>
    <m/>
    <x v="0"/>
    <m/>
    <m/>
    <x v="73"/>
    <m/>
  </r>
  <r>
    <m/>
    <x v="1"/>
    <s v="84185738-5663-459b-8dba-c1bd10ab20fd"/>
    <s v="completed"/>
    <x v="3"/>
    <s v="2022-12-02T11:50:24.740000+00:00"/>
    <n v="21"/>
    <n v="19"/>
    <n v="0.90476190476190477"/>
    <x v="4"/>
    <x v="7"/>
    <s v="47"/>
    <m/>
    <x v="2"/>
    <x v="2"/>
    <m/>
    <m/>
    <x v="0"/>
    <m/>
    <m/>
    <x v="73"/>
    <m/>
  </r>
  <r>
    <s v="0f1d6f71-ea13-4c43-9987-740dcc2884c7"/>
    <x v="1"/>
    <s v="abd14f20-8ad2-42b5-9255-42d2d86e6f16"/>
    <s v="failed"/>
    <x v="36"/>
    <s v="2022-12-02T12:07:05.277000+00:00"/>
    <n v="13"/>
    <n v="1"/>
    <n v="7.6923076923076927E-2"/>
    <x v="175"/>
    <x v="7"/>
    <s v="47"/>
    <s v="URL"/>
    <x v="25"/>
    <x v="25"/>
    <m/>
    <m/>
    <x v="0"/>
    <m/>
    <m/>
    <x v="73"/>
    <m/>
  </r>
  <r>
    <m/>
    <x v="3"/>
    <s v="6a8c8da7-7466-4bd7-91c3-d2ec14cb112a"/>
    <s v="failed"/>
    <x v="36"/>
    <s v="2022-12-02T12:40:12.240000+00:00"/>
    <n v="38"/>
    <n v="28"/>
    <n v="0.73684210526315785"/>
    <x v="176"/>
    <x v="7"/>
    <s v="47"/>
    <m/>
    <x v="25"/>
    <x v="25"/>
    <m/>
    <m/>
    <x v="0"/>
    <m/>
    <m/>
    <x v="73"/>
    <m/>
  </r>
  <r>
    <m/>
    <x v="1"/>
    <s v="18eb832d-2589-459a-863d-fe0159df07a0"/>
    <s v="stopped"/>
    <x v="3"/>
    <s v="2022-12-02T12:49:24.282000+00:00"/>
    <n v="10"/>
    <n v="6"/>
    <n v="0.6"/>
    <x v="4"/>
    <x v="7"/>
    <s v="47"/>
    <m/>
    <x v="2"/>
    <x v="2"/>
    <m/>
    <m/>
    <x v="0"/>
    <m/>
    <m/>
    <x v="73"/>
    <m/>
  </r>
  <r>
    <m/>
    <x v="3"/>
    <s v="2ef7b58a-f805-4588-a9fc-9a127268512b"/>
    <s v="completed"/>
    <x v="3"/>
    <s v="2022-12-02T13:37:11.086000+00:00"/>
    <n v="3"/>
    <n v="3"/>
    <n v="1"/>
    <x v="4"/>
    <x v="1"/>
    <s v="47"/>
    <m/>
    <x v="2"/>
    <x v="2"/>
    <m/>
    <m/>
    <x v="0"/>
    <m/>
    <m/>
    <x v="73"/>
    <m/>
  </r>
  <r>
    <m/>
    <x v="1"/>
    <s v="a3b92bdf-a14b-4231-a192-04b59eaf67b1"/>
    <s v="stopped"/>
    <x v="3"/>
    <s v="2022-12-02T13:50:17.058000+00:00"/>
    <n v="89"/>
    <n v="1"/>
    <n v="1.1235955056179775E-2"/>
    <x v="4"/>
    <x v="8"/>
    <s v="47"/>
    <m/>
    <x v="2"/>
    <x v="2"/>
    <m/>
    <m/>
    <x v="0"/>
    <m/>
    <m/>
    <x v="73"/>
    <m/>
  </r>
  <r>
    <s v="d907ac13-be5e-4a99-88f3-e2169a6e95da"/>
    <x v="3"/>
    <s v="b6ef2363-2d32-4058-96ff-e9ea15cc6c60"/>
    <s v="failed"/>
    <x v="36"/>
    <s v="2022-12-02T14:11:13.963000+00:00"/>
    <n v="9"/>
    <n v="5"/>
    <n v="0.55555555555555558"/>
    <x v="124"/>
    <x v="7"/>
    <s v="47"/>
    <s v="URL"/>
    <x v="16"/>
    <x v="16"/>
    <s v="Error klopt niet ?"/>
    <m/>
    <x v="0"/>
    <s v="LocalPathPlanner: trajectory generation timed out na sl"/>
    <m/>
    <x v="73"/>
    <m/>
  </r>
  <r>
    <m/>
    <x v="3"/>
    <s v="3d88d77e-13f2-4c50-9358-214abb0b0fa4"/>
    <m/>
    <x v="3"/>
    <s v="2022-12-02T14:45:10.734000+00:00"/>
    <n v="55"/>
    <n v="14"/>
    <n v="0.25454545454545452"/>
    <x v="4"/>
    <x v="7"/>
    <s v="47"/>
    <m/>
    <x v="2"/>
    <x v="2"/>
    <m/>
    <m/>
    <x v="0"/>
    <m/>
    <m/>
    <x v="73"/>
    <m/>
  </r>
  <r>
    <m/>
    <x v="1"/>
    <s v="77d02137-7aaa-495f-82de-abdb01dc6396"/>
    <s v="failed"/>
    <x v="19"/>
    <s v="2022-12-02T15:10:43.691000+00:00"/>
    <n v="89"/>
    <n v="25"/>
    <n v="0.2808988764044944"/>
    <x v="177"/>
    <x v="8"/>
    <s v="47"/>
    <m/>
    <x v="16"/>
    <x v="16"/>
    <m/>
    <m/>
    <x v="0"/>
    <m/>
    <m/>
    <x v="73"/>
    <m/>
  </r>
  <r>
    <m/>
    <x v="1"/>
    <s v="bc930893-e760-46ce-a352-b93c65e30955"/>
    <s v="stopped"/>
    <x v="3"/>
    <s v="2022-12-02T15:22:10.894000+00:00"/>
    <n v="26"/>
    <n v="1"/>
    <n v="3.8461538461538464E-2"/>
    <x v="4"/>
    <x v="3"/>
    <s v="47"/>
    <m/>
    <x v="2"/>
    <x v="2"/>
    <m/>
    <m/>
    <x v="0"/>
    <m/>
    <m/>
    <x v="73"/>
    <m/>
  </r>
  <r>
    <s v="7ca7916b-258e-4fa3-9e1a-226f6d817445"/>
    <x v="1"/>
    <s v="15273c2a-a984-400c-94a3-194b6200e492"/>
    <s v="failed"/>
    <x v="23"/>
    <s v="2022-12-02T15:31:41.010000+00:00"/>
    <n v="21"/>
    <n v="3"/>
    <n v="0.14285714285714285"/>
    <x v="178"/>
    <x v="3"/>
    <s v="47"/>
    <s v="URL"/>
    <x v="16"/>
    <x v="16"/>
    <m/>
    <m/>
    <x v="0"/>
    <m/>
    <m/>
    <x v="73"/>
    <m/>
  </r>
  <r>
    <m/>
    <x v="3"/>
    <s v="40c2c6fe-1f5d-4ef5-b453-7623b7da9c37"/>
    <s v="paused"/>
    <x v="0"/>
    <s v="2022-12-02T15:53:36.587000+00:00"/>
    <n v="11"/>
    <n v="2"/>
    <n v="0.18181818181818182"/>
    <x v="179"/>
    <x v="1"/>
    <s v="47"/>
    <m/>
    <x v="18"/>
    <x v="18"/>
    <m/>
    <m/>
    <x v="0"/>
    <m/>
    <m/>
    <x v="73"/>
    <m/>
  </r>
  <r>
    <m/>
    <x v="1"/>
    <s v="542c004e-e210-4a02-93e9-04892448bc29"/>
    <s v="stopped"/>
    <x v="3"/>
    <s v="2022-12-02T16:03:14.691000+00:00"/>
    <n v="34"/>
    <n v="8"/>
    <n v="0.23529411764705882"/>
    <x v="4"/>
    <x v="8"/>
    <s v="47"/>
    <m/>
    <x v="2"/>
    <x v="2"/>
    <m/>
    <m/>
    <x v="0"/>
    <m/>
    <m/>
    <x v="73"/>
    <m/>
  </r>
  <r>
    <m/>
    <x v="3"/>
    <s v="ef042adc-2ff8-4390-bed8-466b44a4008f"/>
    <s v="failed"/>
    <x v="0"/>
    <s v="2022-12-02T16:28:20.996000+00:00"/>
    <n v="43"/>
    <n v="1"/>
    <n v="2.3255813953488372E-2"/>
    <x v="180"/>
    <x v="3"/>
    <s v="47"/>
    <m/>
    <x v="18"/>
    <x v="18"/>
    <m/>
    <m/>
    <x v="0"/>
    <m/>
    <m/>
    <x v="73"/>
    <m/>
  </r>
  <r>
    <s v="9fc6a8b8-ea4a-4d41-8a76-70c9f7c5cdf9"/>
    <x v="1"/>
    <s v="3c254dfd-91c7-4cb7-b7c6-e56a2494111b"/>
    <s v="failed"/>
    <x v="0"/>
    <s v="2022-12-02T16:30:41.141000+00:00"/>
    <n v="31"/>
    <n v="7"/>
    <n v="0.22580645161290322"/>
    <x v="181"/>
    <x v="3"/>
    <s v="47"/>
    <s v="URL"/>
    <x v="27"/>
    <x v="27"/>
    <m/>
    <m/>
    <x v="0"/>
    <m/>
    <m/>
    <x v="73"/>
    <m/>
  </r>
  <r>
    <s v="4b087083-2bd1-4fb1-bea5-5a845be8813c"/>
    <x v="1"/>
    <s v="3c254dfd-91c7-4cb7-b7c6-e56a2494111b"/>
    <s v="failed"/>
    <x v="37"/>
    <s v="2022-12-02T16:34:16.669000+00:00"/>
    <n v="31"/>
    <n v="9"/>
    <n v="0.29032258064516131"/>
    <x v="181"/>
    <x v="3"/>
    <s v="47"/>
    <s v="URL"/>
    <x v="27"/>
    <x v="27"/>
    <m/>
    <m/>
    <x v="0"/>
    <m/>
    <m/>
    <x v="73"/>
    <m/>
  </r>
  <r>
    <s v="890cd30c-a708-4d6a-a7e4-62c2c9b874f7"/>
    <x v="1"/>
    <s v="76ec5b69-867d-4946-9fb9-3af379fd3b4c"/>
    <s v="failed"/>
    <x v="0"/>
    <s v="2022-12-02T16:43:45.502000+00:00"/>
    <n v="15"/>
    <n v="1"/>
    <n v="6.6666666666666666E-2"/>
    <x v="181"/>
    <x v="8"/>
    <s v="47"/>
    <s v="URL"/>
    <x v="4"/>
    <x v="4"/>
    <m/>
    <m/>
    <x v="0"/>
    <m/>
    <m/>
    <x v="73"/>
    <m/>
  </r>
  <r>
    <s v="890cd30c-a708-4d6a-a7e4-62c2c9b874f7"/>
    <x v="1"/>
    <s v="76ec5b69-867d-4946-9fb9-3af379fd3b4c"/>
    <s v="failed"/>
    <x v="38"/>
    <s v="2022-12-02T16:43:45.502000+00:00"/>
    <n v="15"/>
    <n v="3"/>
    <n v="0.2"/>
    <x v="182"/>
    <x v="8"/>
    <s v="47"/>
    <s v="URL"/>
    <x v="4"/>
    <x v="4"/>
    <m/>
    <m/>
    <x v="0"/>
    <m/>
    <m/>
    <x v="73"/>
    <m/>
  </r>
  <r>
    <s v="890cd30c-a708-4d6a-a7e4-62c2c9b874f7"/>
    <x v="1"/>
    <s v="6ac4e3d2-1aa2-4612-aec7-db57e8085e6a"/>
    <s v="failed"/>
    <x v="37"/>
    <s v="2022-12-02T16:43:45.502000+00:00"/>
    <n v="5"/>
    <n v="1"/>
    <n v="0.2"/>
    <x v="124"/>
    <x v="3"/>
    <s v="47"/>
    <s v="URL"/>
    <x v="19"/>
    <x v="19"/>
    <m/>
    <m/>
    <x v="0"/>
    <m/>
    <m/>
    <x v="73"/>
    <m/>
  </r>
  <r>
    <s v="8c05c9d7-8963-4cac-9dd6-a62b6416d301"/>
    <x v="1"/>
    <s v="9b6068b2-f092-4616-a69b-19dd4dca6ce0"/>
    <s v="failed"/>
    <x v="0"/>
    <s v="2022-12-02T16:52:13.784000+00:00"/>
    <n v="14"/>
    <n v="1"/>
    <n v="7.1428571428571425E-2"/>
    <x v="182"/>
    <x v="8"/>
    <s v="47"/>
    <s v="URL"/>
    <x v="4"/>
    <x v="4"/>
    <m/>
    <m/>
    <x v="0"/>
    <m/>
    <m/>
    <x v="73"/>
    <m/>
  </r>
  <r>
    <s v="8c05c9d7-8963-4cac-9dd6-a62b6416d301"/>
    <x v="1"/>
    <s v="9b6068b2-f092-4616-a69b-19dd4dca6ce0"/>
    <s v="failed"/>
    <x v="39"/>
    <s v="2022-12-02T16:52:13.784000+00:00"/>
    <n v="14"/>
    <n v="3"/>
    <n v="0.21428571428571427"/>
    <x v="183"/>
    <x v="8"/>
    <s v="47"/>
    <s v="URL"/>
    <x v="21"/>
    <x v="21"/>
    <m/>
    <m/>
    <x v="0"/>
    <m/>
    <m/>
    <x v="73"/>
    <m/>
  </r>
  <r>
    <m/>
    <x v="1"/>
    <s v="d1901102-315e-4e1d-842d-98e7f7536b88"/>
    <s v="stopped"/>
    <x v="3"/>
    <s v="2022-12-02T16:53:31.373000+00:00"/>
    <n v="6"/>
    <n v="1"/>
    <n v="0.16666666666666666"/>
    <x v="4"/>
    <x v="3"/>
    <s v="47"/>
    <m/>
    <x v="2"/>
    <x v="2"/>
    <m/>
    <m/>
    <x v="0"/>
    <m/>
    <m/>
    <x v="73"/>
    <m/>
  </r>
  <r>
    <m/>
    <x v="3"/>
    <s v="ef042adc-2ff8-4390-bed8-466b44a4008f"/>
    <s v="failed"/>
    <x v="37"/>
    <s v="2022-12-02T16:55:32.613000+00:00"/>
    <n v="43"/>
    <n v="10"/>
    <n v="0.23255813953488372"/>
    <x v="184"/>
    <x v="3"/>
    <s v="47"/>
    <m/>
    <x v="27"/>
    <x v="27"/>
    <m/>
    <m/>
    <x v="0"/>
    <m/>
    <m/>
    <x v="73"/>
    <m/>
  </r>
  <r>
    <m/>
    <x v="3"/>
    <s v="85ceb898-0c82-41e5-8305-37c0f43f286f"/>
    <s v="failed"/>
    <x v="0"/>
    <s v="2022-12-02T16:58:29.259000+00:00"/>
    <n v="31"/>
    <n v="1"/>
    <n v="3.2258064516129031E-2"/>
    <x v="185"/>
    <x v="8"/>
    <s v="47"/>
    <m/>
    <x v="4"/>
    <x v="4"/>
    <m/>
    <m/>
    <x v="0"/>
    <m/>
    <m/>
    <x v="73"/>
    <m/>
  </r>
  <r>
    <m/>
    <x v="3"/>
    <s v="85ceb898-0c82-41e5-8305-37c0f43f286f"/>
    <s v="failed"/>
    <x v="40"/>
    <s v="2022-12-02T16:58:57.081000+00:00"/>
    <n v="31"/>
    <n v="3"/>
    <n v="9.6774193548387094E-2"/>
    <x v="186"/>
    <x v="8"/>
    <s v="47"/>
    <m/>
    <x v="4"/>
    <x v="4"/>
    <m/>
    <m/>
    <x v="0"/>
    <m/>
    <m/>
    <x v="73"/>
    <m/>
  </r>
  <r>
    <m/>
    <x v="3"/>
    <s v="bd6bf3ae-5e53-42f4-b057-75ee5659af24"/>
    <m/>
    <x v="3"/>
    <s v="2022-12-02T17:01:14.258000+00:00"/>
    <n v="30"/>
    <n v="1"/>
    <n v="3.3333333333333333E-2"/>
    <x v="185"/>
    <x v="8"/>
    <s v="47"/>
    <m/>
    <x v="4"/>
    <x v="4"/>
    <m/>
    <m/>
    <x v="0"/>
    <m/>
    <m/>
    <x v="73"/>
    <m/>
  </r>
  <r>
    <m/>
    <x v="3"/>
    <s v="c01c0a6b-4fad-4018-92d9-8f6f61dc1844"/>
    <s v="failed"/>
    <x v="37"/>
    <s v="2022-12-02T17:23:33.459000+00:00"/>
    <n v="28"/>
    <n v="7"/>
    <n v="0.25"/>
    <x v="105"/>
    <x v="8"/>
    <s v="47"/>
    <m/>
    <x v="27"/>
    <x v="27"/>
    <m/>
    <m/>
    <x v="0"/>
    <m/>
    <m/>
    <x v="73"/>
    <m/>
  </r>
  <r>
    <s v="a33af10f-9be1-4853-a0b1-b2c6ee66c3ff"/>
    <x v="1"/>
    <s v="840ce2d2-b1eb-4035-a499-af2b01d12e87"/>
    <s v="failed"/>
    <x v="37"/>
    <s v="2022-12-02T17:24:00.577000+00:00"/>
    <n v="17"/>
    <n v="9"/>
    <n v="0.52941176470588236"/>
    <x v="187"/>
    <x v="3"/>
    <s v="47"/>
    <s v="URL"/>
    <x v="27"/>
    <x v="27"/>
    <m/>
    <m/>
    <x v="0"/>
    <m/>
    <m/>
    <x v="73"/>
    <m/>
  </r>
  <r>
    <m/>
    <x v="2"/>
    <s v="365e9918-9fe1-4552-817f-028a3dc1f509"/>
    <s v="stopped"/>
    <x v="3"/>
    <s v="2022-12-05T16:02:31.757000+00:00"/>
    <n v="140"/>
    <n v="8"/>
    <n v="5.7142857142857141E-2"/>
    <x v="4"/>
    <x v="2"/>
    <s v="43"/>
    <m/>
    <x v="2"/>
    <x v="2"/>
    <m/>
    <m/>
    <x v="0"/>
    <m/>
    <m/>
    <x v="74"/>
    <m/>
  </r>
  <r>
    <m/>
    <x v="1"/>
    <s v="2c113e38-8a31-4fa6-8278-f868a9cf361a"/>
    <s v="stopped"/>
    <x v="3"/>
    <s v="2022-12-05T16:16:28.025000+00:00"/>
    <n v="102"/>
    <n v="1"/>
    <n v="9.8039215686274508E-3"/>
    <x v="4"/>
    <x v="1"/>
    <s v="47"/>
    <m/>
    <x v="2"/>
    <x v="2"/>
    <m/>
    <m/>
    <x v="0"/>
    <m/>
    <m/>
    <x v="74"/>
    <m/>
  </r>
  <r>
    <m/>
    <x v="3"/>
    <s v="b9bce897-0cfd-4ad5-8e0e-bf741f683483"/>
    <s v="stopped"/>
    <x v="3"/>
    <s v="2022-12-05T16:22:12.500000+00:00"/>
    <n v="101"/>
    <n v="1"/>
    <n v="9.9009900990099011E-3"/>
    <x v="4"/>
    <x v="1"/>
    <s v="48"/>
    <m/>
    <x v="2"/>
    <x v="2"/>
    <m/>
    <m/>
    <x v="0"/>
    <m/>
    <m/>
    <x v="74"/>
    <m/>
  </r>
  <r>
    <m/>
    <x v="3"/>
    <s v="cf24267d-cc47-4d08-9d84-31c623e426af"/>
    <s v="failed"/>
    <x v="26"/>
    <s v="2022-12-05T17:14:38.628000+00:00"/>
    <n v="89"/>
    <n v="6"/>
    <n v="6.741573033707865E-2"/>
    <x v="3"/>
    <x v="7"/>
    <s v="47"/>
    <m/>
    <x v="18"/>
    <x v="18"/>
    <m/>
    <m/>
    <x v="0"/>
    <m/>
    <m/>
    <x v="74"/>
    <m/>
  </r>
  <r>
    <s v="c78b1d76-c75b-4ed3-97ac-e1886426a04d"/>
    <x v="1"/>
    <s v="307b1e46-e1a4-4bd0-9a1e-08208e259738"/>
    <s v="failed"/>
    <x v="41"/>
    <s v="2022-12-05T18:15:18.267000+00:00"/>
    <n v="75"/>
    <n v="33"/>
    <n v="0.44"/>
    <x v="182"/>
    <x v="8"/>
    <s v="47"/>
    <s v="URL"/>
    <x v="5"/>
    <x v="5"/>
    <m/>
    <m/>
    <x v="0"/>
    <m/>
    <m/>
    <x v="74"/>
    <m/>
  </r>
  <r>
    <m/>
    <x v="3"/>
    <s v="26031ee7-3ab6-42df-a9f4-e069cf4d2807"/>
    <s v="failed"/>
    <x v="3"/>
    <s v="2022-12-05T19:52:36.716000+00:00"/>
    <n v="84"/>
    <n v="1"/>
    <n v="1.1904761904761904E-2"/>
    <x v="3"/>
    <x v="7"/>
    <s v="47"/>
    <m/>
    <x v="22"/>
    <x v="22"/>
    <m/>
    <m/>
    <x v="0"/>
    <m/>
    <m/>
    <x v="74"/>
    <m/>
  </r>
  <r>
    <m/>
    <x v="3"/>
    <s v="7a0fc5ce-a9e0-4f66-85f8-34f94969191d"/>
    <s v="paused"/>
    <x v="3"/>
    <s v="2022-12-05T20:00:45.385000+00:00"/>
    <n v="2"/>
    <n v="2"/>
    <n v="1"/>
    <x v="4"/>
    <x v="7"/>
    <s v="47"/>
    <m/>
    <x v="2"/>
    <x v="2"/>
    <m/>
    <m/>
    <x v="0"/>
    <m/>
    <m/>
    <x v="74"/>
    <m/>
  </r>
  <r>
    <m/>
    <x v="1"/>
    <s v="1f416bda-f514-4d2a-80d3-b90ab76e600c"/>
    <s v="completed"/>
    <x v="3"/>
    <s v="2022-12-05T22:08:34.942000+00:00"/>
    <n v="43"/>
    <n v="43"/>
    <n v="1"/>
    <x v="4"/>
    <x v="8"/>
    <s v="47"/>
    <m/>
    <x v="2"/>
    <x v="2"/>
    <m/>
    <m/>
    <x v="0"/>
    <m/>
    <m/>
    <x v="74"/>
    <m/>
  </r>
  <r>
    <m/>
    <x v="3"/>
    <s v="e062c005-764a-4fe4-9ac2-76ec85264669"/>
    <s v="failed"/>
    <x v="0"/>
    <s v="2022-12-05T22:53:30.944000+00:00"/>
    <n v="85"/>
    <n v="42"/>
    <n v="0.49411764705882355"/>
    <x v="188"/>
    <x v="7"/>
    <s v="47"/>
    <m/>
    <x v="1"/>
    <x v="1"/>
    <m/>
    <m/>
    <x v="0"/>
    <m/>
    <m/>
    <x v="74"/>
    <m/>
  </r>
  <r>
    <m/>
    <x v="3"/>
    <s v="e062c005-764a-4fe4-9ac2-76ec85264669"/>
    <s v="failed"/>
    <x v="0"/>
    <s v="2022-12-05T22:59:38.864000+00:00"/>
    <n v="85"/>
    <n v="45"/>
    <n v="0.52941176470588236"/>
    <x v="179"/>
    <x v="7"/>
    <s v="47"/>
    <m/>
    <x v="18"/>
    <x v="18"/>
    <m/>
    <m/>
    <x v="0"/>
    <m/>
    <m/>
    <x v="74"/>
    <m/>
  </r>
  <r>
    <m/>
    <x v="3"/>
    <s v="e062c005-764a-4fe4-9ac2-76ec85264669"/>
    <s v="failed"/>
    <x v="19"/>
    <s v="2022-12-06T01:16:45.425000+00:00"/>
    <n v="85"/>
    <n v="80"/>
    <n v="0.94117647058823528"/>
    <x v="189"/>
    <x v="7"/>
    <s v="47"/>
    <m/>
    <x v="16"/>
    <x v="16"/>
    <m/>
    <m/>
    <x v="0"/>
    <m/>
    <m/>
    <x v="75"/>
    <m/>
  </r>
  <r>
    <m/>
    <x v="2"/>
    <s v="d3e904c4-52af-466e-9383-08a4b1d85aa8"/>
    <s v="completed"/>
    <x v="0"/>
    <s v="2022-12-06T02:32:46.140000+00:00"/>
    <n v="132"/>
    <n v="91"/>
    <n v="0.68939393939393945"/>
    <x v="94"/>
    <x v="2"/>
    <s v="43"/>
    <m/>
    <x v="22"/>
    <x v="22"/>
    <m/>
    <m/>
    <x v="0"/>
    <m/>
    <m/>
    <x v="75"/>
    <m/>
  </r>
  <r>
    <m/>
    <x v="0"/>
    <s v="0308c1ed-d6db-47a9-b33c-173ac731a88a"/>
    <s v="failed"/>
    <x v="0"/>
    <s v="2022-12-06T05:10:50.425000+00:00"/>
    <n v="166"/>
    <n v="131"/>
    <n v="0.78915662650602414"/>
    <x v="15"/>
    <x v="0"/>
    <s v="43"/>
    <m/>
    <x v="1"/>
    <x v="1"/>
    <m/>
    <m/>
    <x v="0"/>
    <m/>
    <m/>
    <x v="75"/>
    <m/>
  </r>
  <r>
    <m/>
    <x v="2"/>
    <s v="d3e904c4-52af-466e-9383-08a4b1d85aa8"/>
    <s v="completed"/>
    <x v="3"/>
    <s v="2022-12-06T05:22:25.309000+00:00"/>
    <n v="132"/>
    <n v="131"/>
    <n v="0.99242424242424243"/>
    <x v="4"/>
    <x v="2"/>
    <s v="43"/>
    <m/>
    <x v="2"/>
    <x v="2"/>
    <m/>
    <m/>
    <x v="0"/>
    <m/>
    <m/>
    <x v="75"/>
    <m/>
  </r>
  <r>
    <m/>
    <x v="0"/>
    <s v="0308c1ed-d6db-47a9-b33c-173ac731a88a"/>
    <s v="failed"/>
    <x v="27"/>
    <s v="2022-12-06T07:34:45.607000+00:00"/>
    <n v="166"/>
    <n v="164"/>
    <n v="0.98795180722891562"/>
    <x v="86"/>
    <x v="0"/>
    <s v="43"/>
    <m/>
    <x v="6"/>
    <x v="6"/>
    <m/>
    <m/>
    <x v="0"/>
    <m/>
    <m/>
    <x v="75"/>
    <m/>
  </r>
  <r>
    <s v="7182139c-b2bc-43c6-9292-621435075697"/>
    <x v="2"/>
    <s v="0a308335-9af4-433b-9f0a-58eaaefeb4eb"/>
    <s v="failed"/>
    <x v="0"/>
    <s v="2022-12-06T18:06:19.787000+00:00"/>
    <n v="200"/>
    <n v="20"/>
    <n v="0.1"/>
    <x v="122"/>
    <x v="0"/>
    <s v="43"/>
    <s v="URL"/>
    <x v="22"/>
    <x v="22"/>
    <m/>
    <m/>
    <x v="0"/>
    <s v="voorwielen geraken niet op de rail"/>
    <m/>
    <x v="75"/>
    <m/>
  </r>
  <r>
    <s v="5030f963-2525-4667-a45f-124474f19d3f"/>
    <x v="2"/>
    <s v="0a308335-9af4-433b-9f0a-58eaaefeb4eb"/>
    <s v="failed"/>
    <x v="0"/>
    <s v="2022-12-06T18:16:40.356000+00:00"/>
    <n v="200"/>
    <n v="23"/>
    <n v="0.115"/>
    <x v="190"/>
    <x v="0"/>
    <s v="43"/>
    <s v="URL"/>
    <x v="22"/>
    <x v="22"/>
    <m/>
    <m/>
    <x v="0"/>
    <s v="voorwielen geraken niet op de rail"/>
    <m/>
    <x v="75"/>
    <m/>
  </r>
  <r>
    <m/>
    <x v="1"/>
    <s v="b5aa74bc-daf8-4c1f-83b0-41e4ae41729c"/>
    <s v="failed"/>
    <x v="36"/>
    <s v="2022-12-06T19:41:18.723000+00:00"/>
    <n v="83"/>
    <n v="43"/>
    <n v="0.51807228915662651"/>
    <x v="191"/>
    <x v="7"/>
    <s v="47"/>
    <m/>
    <x v="25"/>
    <x v="25"/>
    <m/>
    <m/>
    <x v="0"/>
    <s v="geen log, maar de error code is trajectory generation timeout van de LPP. Ik ben tamelijk zeker dat dit komt doordat er een collision detection is bij het op de beton rijden."/>
    <m/>
    <x v="75"/>
    <m/>
  </r>
  <r>
    <s v="e253e89e-bcc7-4115-96e8-12478db9aaf0"/>
    <x v="3"/>
    <s v="6f769453-2c55-454f-bdca-51c62ac8b53d"/>
    <s v="failed"/>
    <x v="0"/>
    <s v="2022-12-06T20:21:30.277000+00:00"/>
    <n v="90"/>
    <n v="44"/>
    <n v="0.48888888888888887"/>
    <x v="192"/>
    <x v="8"/>
    <s v="47"/>
    <s v="URL"/>
    <x v="22"/>
    <x v="22"/>
    <m/>
    <m/>
    <x v="0"/>
    <m/>
    <m/>
    <x v="75"/>
    <m/>
  </r>
  <r>
    <s v="7eae3a8d-c268-41d1-867f-f18e5ec036e7"/>
    <x v="3"/>
    <s v="6f769453-2c55-454f-bdca-51c62ac8b53d"/>
    <s v="failed"/>
    <x v="22"/>
    <s v="2022-12-06T20:32:42.417000+00:00"/>
    <n v="90"/>
    <n v="49"/>
    <n v="0.5444444444444444"/>
    <x v="181"/>
    <x v="8"/>
    <s v="47"/>
    <s v="URL"/>
    <x v="6"/>
    <x v="6"/>
    <s v="botst tegen andere robot"/>
    <m/>
    <x v="0"/>
    <m/>
    <m/>
    <x v="75"/>
    <m/>
  </r>
  <r>
    <s v="0e13c37c-9732-42bf-9316-13b201fa2d81"/>
    <x v="3"/>
    <s v="00b69e69-73ff-455c-a2a4-a10c4d04a53f"/>
    <s v="failed"/>
    <x v="0"/>
    <s v="2022-12-06T22:11:51.810000+00:00"/>
    <n v="62"/>
    <n v="6"/>
    <n v="9.6774193548387094E-2"/>
    <x v="193"/>
    <x v="3"/>
    <s v="47"/>
    <s v="URL"/>
    <x v="1"/>
    <x v="1"/>
    <m/>
    <m/>
    <x v="0"/>
    <m/>
    <m/>
    <x v="75"/>
    <m/>
  </r>
  <r>
    <s v="08c91041-dde9-4994-ba66-0a974ed123b8"/>
    <x v="3"/>
    <s v="00b69e69-73ff-455c-a2a4-a10c4d04a53f"/>
    <s v="failed"/>
    <x v="0"/>
    <s v="2022-12-06T22:18:01.292000+00:00"/>
    <n v="62"/>
    <n v="9"/>
    <n v="0.14516129032258066"/>
    <x v="192"/>
    <x v="3"/>
    <s v="47"/>
    <s v="URL"/>
    <x v="18"/>
    <x v="18"/>
    <m/>
    <m/>
    <x v="0"/>
    <m/>
    <m/>
    <x v="75"/>
    <m/>
  </r>
  <r>
    <s v="2ddf27dd-ccc5-4305-a1d7-79eaa46398c3"/>
    <x v="3"/>
    <s v="00b69e69-73ff-455c-a2a4-a10c4d04a53f"/>
    <s v="failed"/>
    <x v="37"/>
    <s v="2022-12-06T22:19:59.960000+00:00"/>
    <n v="62"/>
    <n v="11"/>
    <n v="0.17741935483870969"/>
    <x v="194"/>
    <x v="3"/>
    <s v="47"/>
    <s v="URL"/>
    <x v="27"/>
    <x v="27"/>
    <s v="could not find feasible path"/>
    <m/>
    <x v="0"/>
    <m/>
    <m/>
    <x v="75"/>
    <m/>
  </r>
  <r>
    <m/>
    <x v="0"/>
    <s v="1b0ca0c1-522c-4ca2-ba55-0f749a9ec8c2"/>
    <s v="completed"/>
    <x v="0"/>
    <s v="2022-12-06T23:43:23.856000+00:00"/>
    <n v="140"/>
    <n v="99"/>
    <n v="0.70714285714285718"/>
    <x v="94"/>
    <x v="2"/>
    <s v="43"/>
    <m/>
    <x v="25"/>
    <x v="25"/>
    <m/>
    <m/>
    <x v="0"/>
    <m/>
    <m/>
    <x v="75"/>
    <m/>
  </r>
  <r>
    <m/>
    <x v="0"/>
    <s v="1b0ca0c1-522c-4ca2-ba55-0f749a9ec8c2"/>
    <s v="completed"/>
    <x v="3"/>
    <s v="2022-12-07T02:30:32.029000+00:00"/>
    <n v="140"/>
    <n v="139"/>
    <n v="0.99285714285714288"/>
    <x v="4"/>
    <x v="2"/>
    <s v="43"/>
    <m/>
    <x v="2"/>
    <x v="2"/>
    <m/>
    <m/>
    <x v="0"/>
    <m/>
    <m/>
    <x v="76"/>
    <m/>
  </r>
  <r>
    <s v="e5f3dc06-3d7a-4cc9-8c6b-3bb111446f74"/>
    <x v="2"/>
    <s v="0a308335-9af4-433b-9f0a-58eaaefeb4eb"/>
    <s v="failed"/>
    <x v="42"/>
    <s v="2022-12-07T04:17:21.328000+00:00"/>
    <n v="200"/>
    <n v="162"/>
    <n v="0.81"/>
    <x v="195"/>
    <x v="0"/>
    <s v="43"/>
    <s v="URL"/>
    <x v="7"/>
    <x v="7"/>
    <s v="meteen bij het ingedraaid komen"/>
    <s v="OAG1XENLUM2204023"/>
    <x v="0"/>
    <s v="Er zijn geldige metingen maar ze komen net te laat. De robot is ongeveer 3.5 seconden in de xtheta regio op moment van error. Indien er visie checks gebeuren tijdens &quot;slip&quot; recovery, mag deze error code eigenlijk ook toegevoegd worden aan de slip recovery error codes"/>
    <m/>
    <x v="76"/>
    <m/>
  </r>
  <r>
    <m/>
    <x v="0"/>
    <s v="6b2aa3e4-627c-4754-bbb8-262165113b8e"/>
    <s v="completed"/>
    <x v="3"/>
    <s v="2022-12-07T09:24:17.135000+00:00"/>
    <n v="3"/>
    <n v="3"/>
    <n v="1"/>
    <x v="4"/>
    <x v="0"/>
    <s v="43"/>
    <m/>
    <x v="2"/>
    <x v="2"/>
    <m/>
    <m/>
    <x v="0"/>
    <m/>
    <m/>
    <x v="76"/>
    <m/>
  </r>
  <r>
    <m/>
    <x v="0"/>
    <s v="8807fde6-2429-4be6-9870-8eb2822d1072"/>
    <s v="completed"/>
    <x v="3"/>
    <s v="2022-12-07T09:39:20.733000+00:00"/>
    <n v="4"/>
    <n v="4"/>
    <n v="1"/>
    <x v="4"/>
    <x v="0"/>
    <s v="43"/>
    <m/>
    <x v="2"/>
    <x v="2"/>
    <m/>
    <m/>
    <x v="0"/>
    <m/>
    <m/>
    <x v="76"/>
    <m/>
  </r>
  <r>
    <m/>
    <x v="0"/>
    <s v="aaffa6b2-f775-4bf7-aff8-50e235040ec7"/>
    <s v="stopped"/>
    <x v="3"/>
    <s v="2022-12-07T09:43:52.452000+00:00"/>
    <n v="5"/>
    <n v="0"/>
    <n v="0"/>
    <x v="4"/>
    <x v="0"/>
    <s v="43"/>
    <m/>
    <x v="2"/>
    <x v="2"/>
    <m/>
    <m/>
    <x v="0"/>
    <m/>
    <m/>
    <x v="76"/>
    <m/>
  </r>
  <r>
    <m/>
    <x v="4"/>
    <s v="fc0c7b73-045b-4c86-92e0-9c9b76e2294c"/>
    <s v="failed"/>
    <x v="0"/>
    <s v="2022-12-07T10:05:49.265000+00:00"/>
    <n v="9"/>
    <n v="1"/>
    <n v="0.1111111111111111"/>
    <x v="124"/>
    <x v="5"/>
    <s v="14"/>
    <m/>
    <x v="2"/>
    <x v="2"/>
    <m/>
    <m/>
    <x v="0"/>
    <m/>
    <m/>
    <x v="76"/>
    <m/>
  </r>
  <r>
    <m/>
    <x v="0"/>
    <s v="e749f465-5dba-404f-991d-8ef2e23f114b"/>
    <s v="failed"/>
    <x v="43"/>
    <s v="2022-12-07T10:06:10.107000+00:00"/>
    <n v="5"/>
    <n v="4"/>
    <n v="0.8"/>
    <x v="196"/>
    <x v="0"/>
    <s v="43"/>
    <m/>
    <x v="25"/>
    <x v="25"/>
    <m/>
    <m/>
    <x v="0"/>
    <m/>
    <m/>
    <x v="76"/>
    <m/>
  </r>
  <r>
    <m/>
    <x v="4"/>
    <s v="fc0c7b73-045b-4c86-92e0-9c9b76e2294c"/>
    <s v="failed"/>
    <x v="33"/>
    <s v="2022-12-07T10:08:21.991000+00:00"/>
    <n v="9"/>
    <n v="3"/>
    <n v="0.33333333333333331"/>
    <x v="153"/>
    <x v="5"/>
    <s v="14"/>
    <m/>
    <x v="9"/>
    <x v="9"/>
    <m/>
    <m/>
    <x v="0"/>
    <m/>
    <m/>
    <x v="76"/>
    <m/>
  </r>
  <r>
    <m/>
    <x v="4"/>
    <s v="461a41d9-a447-4f79-8078-716e84d2dc2f"/>
    <s v="failed"/>
    <x v="0"/>
    <s v="2022-12-07T10:18:37.721000+00:00"/>
    <n v="8"/>
    <n v="1"/>
    <n v="0.125"/>
    <x v="197"/>
    <x v="5"/>
    <s v="14"/>
    <m/>
    <x v="14"/>
    <x v="14"/>
    <m/>
    <m/>
    <x v="0"/>
    <m/>
    <m/>
    <x v="76"/>
    <m/>
  </r>
  <r>
    <m/>
    <x v="4"/>
    <s v="461a41d9-a447-4f79-8078-716e84d2dc2f"/>
    <s v="failed"/>
    <x v="33"/>
    <s v="2022-12-07T10:23:24.006000+00:00"/>
    <n v="8"/>
    <n v="3"/>
    <n v="0.375"/>
    <x v="72"/>
    <x v="5"/>
    <s v="14"/>
    <m/>
    <x v="17"/>
    <x v="17"/>
    <m/>
    <m/>
    <x v="0"/>
    <m/>
    <m/>
    <x v="76"/>
    <m/>
  </r>
  <r>
    <m/>
    <x v="4"/>
    <s v="4bfe1a3e-ebc9-469c-b6ac-3c81b2be24e1"/>
    <s v="stopped"/>
    <x v="3"/>
    <s v="2022-12-07T11:04:00.304000+00:00"/>
    <n v="57"/>
    <n v="2"/>
    <n v="3.5087719298245612E-2"/>
    <x v="4"/>
    <x v="5"/>
    <s v="14"/>
    <m/>
    <x v="2"/>
    <x v="2"/>
    <m/>
    <m/>
    <x v="0"/>
    <m/>
    <m/>
    <x v="76"/>
    <m/>
  </r>
  <r>
    <s v="d864e37a-bca6-429c-afee-162ea2d0b46a"/>
    <x v="4"/>
    <s v="63c51c81-348c-4070-b2a7-6cf78e1b1966"/>
    <s v="failed"/>
    <x v="33"/>
    <s v="2022-12-07T11:06:44.142000+00:00"/>
    <n v="57"/>
    <n v="1"/>
    <n v="1.7543859649122806E-2"/>
    <x v="72"/>
    <x v="5"/>
    <s v="14"/>
    <s v="URL"/>
    <x v="17"/>
    <x v="17"/>
    <m/>
    <m/>
    <x v="0"/>
    <m/>
    <m/>
    <x v="76"/>
    <m/>
  </r>
  <r>
    <m/>
    <x v="4"/>
    <s v="e2e4d021-26d9-4510-aa8c-fd013a75db62"/>
    <s v="stopped"/>
    <x v="3"/>
    <s v="2022-12-07T11:15:07.018000+00:00"/>
    <n v="61"/>
    <n v="2"/>
    <n v="3.2786885245901641E-2"/>
    <x v="4"/>
    <x v="5"/>
    <s v="14"/>
    <m/>
    <x v="2"/>
    <x v="2"/>
    <m/>
    <m/>
    <x v="0"/>
    <m/>
    <m/>
    <x v="76"/>
    <m/>
  </r>
  <r>
    <s v="248ffa38-dd52-4941-9c65-dc1cf908b7e3"/>
    <x v="4"/>
    <s v="9fd03899-3e94-4db1-bff3-b550072a72fb"/>
    <s v="failed"/>
    <x v="33"/>
    <s v="2022-12-07T11:41:27.665000+00:00"/>
    <n v="61"/>
    <n v="7"/>
    <n v="0.11475409836065574"/>
    <x v="198"/>
    <x v="5"/>
    <s v="14"/>
    <s v="URL"/>
    <x v="6"/>
    <x v="6"/>
    <m/>
    <m/>
    <x v="0"/>
    <m/>
    <m/>
    <x v="76"/>
    <m/>
  </r>
  <r>
    <s v="2876da3c-3ac9-4f1c-b3e6-f3342835c799"/>
    <x v="4"/>
    <s v="9b2bb539-1b91-4ca7-8615-cde919551f79"/>
    <s v="failed"/>
    <x v="33"/>
    <s v="2022-12-07T12:06:48.596000+00:00"/>
    <n v="58"/>
    <n v="4"/>
    <n v="6.8965517241379309E-2"/>
    <x v="198"/>
    <x v="5"/>
    <s v="14"/>
    <s v="URL"/>
    <x v="5"/>
    <x v="5"/>
    <m/>
    <m/>
    <x v="0"/>
    <m/>
    <m/>
    <x v="76"/>
    <m/>
  </r>
  <r>
    <s v="99c87a44-1b83-4538-a714-8479915c0a62"/>
    <x v="4"/>
    <s v="f2f8eb23-7625-46d3-aeab-86d6b0f2343d"/>
    <s v="failed"/>
    <x v="33"/>
    <s v="2022-12-07T12:21:56.427000+00:00"/>
    <n v="6"/>
    <n v="4"/>
    <n v="0.66666666666666663"/>
    <x v="106"/>
    <x v="5"/>
    <s v="14"/>
    <s v="URL"/>
    <x v="16"/>
    <x v="16"/>
    <m/>
    <m/>
    <x v="0"/>
    <m/>
    <m/>
    <x v="76"/>
    <m/>
  </r>
  <r>
    <s v="50cba127-cdc2-444f-89b7-7852fae17bfb"/>
    <x v="4"/>
    <s v="e0f4e379-a116-42d7-9e3d-3532870066d6"/>
    <s v="failed"/>
    <x v="33"/>
    <s v="2022-12-07T12:47:14.780000+00:00"/>
    <n v="10"/>
    <n v="6"/>
    <n v="0.6"/>
    <x v="199"/>
    <x v="5"/>
    <s v="14"/>
    <s v="URL"/>
    <x v="5"/>
    <x v="5"/>
    <m/>
    <m/>
    <x v="0"/>
    <m/>
    <m/>
    <x v="76"/>
    <m/>
  </r>
  <r>
    <m/>
    <x v="2"/>
    <s v="310f4b34-9eed-400e-a89b-776e89983ec5"/>
    <s v="completed"/>
    <x v="3"/>
    <s v="2022-12-07T15:21:57.541000+00:00"/>
    <n v="5"/>
    <n v="5"/>
    <n v="1"/>
    <x v="4"/>
    <x v="0"/>
    <s v="43"/>
    <m/>
    <x v="2"/>
    <x v="2"/>
    <m/>
    <m/>
    <x v="0"/>
    <m/>
    <m/>
    <x v="76"/>
    <m/>
  </r>
  <r>
    <m/>
    <x v="2"/>
    <s v="59a996d0-7697-4725-9ba5-cbfa0721f189"/>
    <s v="completed"/>
    <x v="3"/>
    <s v="2022-12-07T16:43:40.535000+00:00"/>
    <n v="18"/>
    <n v="18"/>
    <n v="1"/>
    <x v="4"/>
    <x v="0"/>
    <s v="43"/>
    <m/>
    <x v="2"/>
    <x v="2"/>
    <m/>
    <m/>
    <x v="0"/>
    <m/>
    <m/>
    <x v="76"/>
    <m/>
  </r>
  <r>
    <m/>
    <x v="4"/>
    <s v="211a8d89-ac21-4c97-8a58-54d4b47b5837"/>
    <s v="failed"/>
    <x v="33"/>
    <s v="2022-12-07T17:50:55.724000+00:00"/>
    <n v="4"/>
    <n v="2"/>
    <n v="0.5"/>
    <x v="124"/>
    <x v="5"/>
    <s v="14"/>
    <m/>
    <x v="2"/>
    <x v="2"/>
    <m/>
    <m/>
    <x v="0"/>
    <m/>
    <m/>
    <x v="76"/>
    <m/>
  </r>
  <r>
    <m/>
    <x v="4"/>
    <s v="552d37d3-e1f0-4793-bf00-2f2bd6ed5376"/>
    <s v="failed"/>
    <x v="33"/>
    <s v="2022-12-07T18:01:01.909000+00:00"/>
    <n v="134"/>
    <n v="2"/>
    <n v="1.4925373134328358E-2"/>
    <x v="153"/>
    <x v="5"/>
    <s v="14"/>
    <m/>
    <x v="28"/>
    <x v="26"/>
    <m/>
    <m/>
    <x v="0"/>
    <m/>
    <m/>
    <x v="76"/>
    <m/>
  </r>
  <r>
    <m/>
    <x v="0"/>
    <s v="83c05cf2-6a11-441f-8a52-e7719949cc31"/>
    <s v="completed"/>
    <x v="0"/>
    <s v="2022-12-07T18:06:16.875000+00:00"/>
    <n v="140"/>
    <n v="3"/>
    <n v="2.1428571428571429E-2"/>
    <x v="200"/>
    <x v="2"/>
    <s v="43"/>
    <m/>
    <x v="1"/>
    <x v="1"/>
    <m/>
    <m/>
    <x v="0"/>
    <m/>
    <m/>
    <x v="76"/>
    <m/>
  </r>
  <r>
    <s v="2d5fc3a2-5304-4cd1-b943-bbc8a495abda"/>
    <x v="3"/>
    <s v="d3418c7f-9724-401a-a5d7-b064bfa252d5"/>
    <s v="completed"/>
    <x v="0"/>
    <s v="2022-12-07T18:11:44.641000+00:00"/>
    <n v="83"/>
    <n v="37"/>
    <n v="0.44578313253012047"/>
    <x v="192"/>
    <x v="8"/>
    <s v="47"/>
    <s v="URL"/>
    <x v="18"/>
    <x v="18"/>
    <m/>
    <m/>
    <x v="0"/>
    <m/>
    <m/>
    <x v="76"/>
    <m/>
  </r>
  <r>
    <s v="7e8a60dd-6fc3-4410-a10d-ed23ecd84c42"/>
    <x v="2"/>
    <s v="dd0302da-c5cc-45d3-8b4b-e6235c407a09"/>
    <s v="completed"/>
    <x v="0"/>
    <s v="2022-12-07T18:54:45.094000+00:00"/>
    <n v="194"/>
    <n v="16"/>
    <n v="8.247422680412371E-2"/>
    <x v="190"/>
    <x v="0"/>
    <s v="43"/>
    <s v="URL"/>
    <x v="18"/>
    <x v="18"/>
    <m/>
    <s v="OAG1XENLUM2204023"/>
    <x v="0"/>
    <s v="Terechte detectie van collisions en uiteindelijk ook slip"/>
    <m/>
    <x v="76"/>
    <m/>
  </r>
  <r>
    <s v="7e8a60dd-6fc3-4410-a10d-ed23ecd84c42"/>
    <x v="2"/>
    <s v="dd0302da-c5cc-45d3-8b4b-e6235c407a09"/>
    <s v="completed"/>
    <x v="0"/>
    <s v="2022-12-07T18:54:45.094000+00:00"/>
    <n v="194"/>
    <n v="16"/>
    <n v="8.247422680412371E-2"/>
    <x v="190"/>
    <x v="0"/>
    <s v="43"/>
    <s v="URL"/>
    <x v="18"/>
    <x v="18"/>
    <m/>
    <m/>
    <x v="0"/>
    <m/>
    <m/>
    <x v="76"/>
    <m/>
  </r>
  <r>
    <s v="17bd235f-040b-4146-9d92-90c7a200a004"/>
    <x v="1"/>
    <s v="8534c272-81b8-401b-aca7-25c412c06f1e"/>
    <s v="failed"/>
    <x v="36"/>
    <s v="2022-12-07T20:19:42.618000+00:00"/>
    <n v="90"/>
    <n v="38"/>
    <n v="0.42222222222222222"/>
    <x v="201"/>
    <x v="7"/>
    <s v="47"/>
    <s v="URL"/>
    <x v="25"/>
    <x v="25"/>
    <m/>
    <m/>
    <x v="0"/>
    <s v="aanpassing aan smoothing_size van collision detector nog niet actief (powercycle niet uitgevoerd). Op 029 is dit wel het geval"/>
    <m/>
    <x v="76"/>
    <m/>
  </r>
  <r>
    <m/>
    <x v="3"/>
    <s v="d3418c7f-9724-401a-a5d7-b064bfa252d5"/>
    <s v="completed"/>
    <x v="3"/>
    <s v="2022-12-07T20:39:40.472000+00:00"/>
    <n v="83"/>
    <n v="82"/>
    <n v="0.98795180722891562"/>
    <x v="4"/>
    <x v="8"/>
    <s v="47"/>
    <m/>
    <x v="2"/>
    <x v="2"/>
    <m/>
    <m/>
    <x v="0"/>
    <m/>
    <m/>
    <x v="76"/>
    <m/>
  </r>
  <r>
    <m/>
    <x v="0"/>
    <s v="83c05cf2-6a11-441f-8a52-e7719949cc31"/>
    <s v="completed"/>
    <x v="3"/>
    <s v="2022-12-08T03:51:14.145000+00:00"/>
    <n v="140"/>
    <n v="139"/>
    <n v="0.99285714285714288"/>
    <x v="4"/>
    <x v="2"/>
    <s v="43"/>
    <m/>
    <x v="2"/>
    <x v="2"/>
    <m/>
    <m/>
    <x v="0"/>
    <m/>
    <m/>
    <x v="77"/>
    <m/>
  </r>
  <r>
    <s v="a8fcee44-a58a-474c-be68-4c8d7de163a8"/>
    <x v="2"/>
    <s v="dd0302da-c5cc-45d3-8b4b-e6235c407a09"/>
    <s v="completed"/>
    <x v="0"/>
    <s v="2022-12-08T05:15:38.120000+00:00"/>
    <n v="194"/>
    <n v="159"/>
    <n v="0.81958762886597936"/>
    <x v="15"/>
    <x v="0"/>
    <s v="43"/>
    <s v="URL"/>
    <x v="1"/>
    <x v="1"/>
    <s v="elektrokast issue"/>
    <m/>
    <x v="0"/>
    <m/>
    <m/>
    <x v="77"/>
    <m/>
  </r>
  <r>
    <m/>
    <x v="2"/>
    <s v="dd0302da-c5cc-45d3-8b4b-e6235c407a09"/>
    <s v="completed"/>
    <x v="3"/>
    <s v="2022-12-08T07:39:53.952000+00:00"/>
    <n v="194"/>
    <n v="192"/>
    <n v="0.98969072164948457"/>
    <x v="4"/>
    <x v="0"/>
    <s v="43"/>
    <m/>
    <x v="2"/>
    <x v="2"/>
    <m/>
    <m/>
    <x v="0"/>
    <m/>
    <m/>
    <x v="77"/>
    <m/>
  </r>
  <r>
    <m/>
    <x v="0"/>
    <s v="008a1b7f-f03a-451f-ad2e-84eb1a41ab69"/>
    <m/>
    <x v="3"/>
    <s v="2022-12-08T09:38:15.060000+00:00"/>
    <n v="4"/>
    <n v="2"/>
    <n v="0.5"/>
    <x v="4"/>
    <x v="0"/>
    <s v="43"/>
    <m/>
    <x v="2"/>
    <x v="2"/>
    <m/>
    <m/>
    <x v="0"/>
    <m/>
    <m/>
    <x v="77"/>
    <m/>
  </r>
  <r>
    <m/>
    <x v="2"/>
    <s v="4e5eea9c-4270-46ae-8ca5-acde096ddd66"/>
    <s v="completed"/>
    <x v="3"/>
    <s v="2022-12-08T13:44:33.189000+00:00"/>
    <n v="3"/>
    <n v="3"/>
    <n v="1"/>
    <x v="4"/>
    <x v="0"/>
    <s v="43"/>
    <m/>
    <x v="2"/>
    <x v="2"/>
    <m/>
    <m/>
    <x v="0"/>
    <m/>
    <m/>
    <x v="77"/>
    <m/>
  </r>
  <r>
    <m/>
    <x v="2"/>
    <s v="02d2b0d9-11a6-4388-98aa-33df08a0908d"/>
    <s v="completed"/>
    <x v="3"/>
    <s v="2022-12-08T14:00:25.394000+00:00"/>
    <n v="3"/>
    <n v="3"/>
    <n v="1"/>
    <x v="4"/>
    <x v="0"/>
    <s v="43"/>
    <m/>
    <x v="2"/>
    <x v="2"/>
    <m/>
    <m/>
    <x v="0"/>
    <m/>
    <m/>
    <x v="77"/>
    <m/>
  </r>
  <r>
    <m/>
    <x v="0"/>
    <s v="727fd434-cdc8-4704-a641-b9e931a90adb"/>
    <s v="completed"/>
    <x v="3"/>
    <s v="2022-12-08T14:07:03.899000+00:00"/>
    <n v="3"/>
    <n v="3"/>
    <n v="1"/>
    <x v="4"/>
    <x v="0"/>
    <s v="43"/>
    <m/>
    <x v="2"/>
    <x v="2"/>
    <m/>
    <m/>
    <x v="0"/>
    <m/>
    <m/>
    <x v="77"/>
    <m/>
  </r>
  <r>
    <m/>
    <x v="1"/>
    <s v="7de355ce-dc1b-4886-b3d1-e7cbbfbae85c"/>
    <m/>
    <x v="3"/>
    <s v="2022-12-08T17:59:03.568000+00:00"/>
    <n v="89"/>
    <n v="67"/>
    <n v="0.7528089887640449"/>
    <x v="4"/>
    <x v="7"/>
    <s v="47"/>
    <m/>
    <x v="2"/>
    <x v="2"/>
    <m/>
    <m/>
    <x v="0"/>
    <m/>
    <m/>
    <x v="77"/>
    <m/>
  </r>
  <r>
    <m/>
    <x v="3"/>
    <s v="fb801c8c-8853-49c8-8c74-3df5a05b3491"/>
    <s v="completed"/>
    <x v="0"/>
    <s v="2022-12-08T20:17:43.932000+00:00"/>
    <n v="76"/>
    <n v="41"/>
    <n v="0.53947368421052633"/>
    <x v="202"/>
    <x v="8"/>
    <s v="47"/>
    <m/>
    <x v="1"/>
    <x v="1"/>
    <m/>
    <m/>
    <x v="0"/>
    <m/>
    <m/>
    <x v="77"/>
    <m/>
  </r>
  <r>
    <m/>
    <x v="3"/>
    <s v="fb801c8c-8853-49c8-8c74-3df5a05b3491"/>
    <s v="completed"/>
    <x v="3"/>
    <s v="2022-12-08T22:08:43.607000+00:00"/>
    <n v="76"/>
    <n v="75"/>
    <n v="0.98684210526315785"/>
    <x v="4"/>
    <x v="8"/>
    <s v="47"/>
    <m/>
    <x v="2"/>
    <x v="2"/>
    <m/>
    <m/>
    <x v="0"/>
    <m/>
    <m/>
    <x v="77"/>
    <m/>
  </r>
  <r>
    <m/>
    <x v="1"/>
    <s v="a0b0f5f0-c9cc-48a4-bd2c-2284ac89ab0c"/>
    <s v="stopped"/>
    <x v="3"/>
    <s v="2022-12-09T07:51:07.836000+00:00"/>
    <n v="12"/>
    <n v="1"/>
    <n v="8.3333333333333329E-2"/>
    <x v="4"/>
    <x v="7"/>
    <s v="47"/>
    <m/>
    <x v="2"/>
    <x v="2"/>
    <m/>
    <m/>
    <x v="0"/>
    <m/>
    <m/>
    <x v="78"/>
    <m/>
  </r>
  <r>
    <m/>
    <x v="1"/>
    <s v="6c499a25-ea80-43e7-beca-39ab3a915e06"/>
    <m/>
    <x v="3"/>
    <s v="2022-12-09T15:03:42.299000+00:00"/>
    <n v="82"/>
    <n v="1"/>
    <n v="1.2195121951219513E-2"/>
    <x v="4"/>
    <x v="8"/>
    <s v="47"/>
    <m/>
    <x v="2"/>
    <x v="2"/>
    <m/>
    <m/>
    <x v="0"/>
    <m/>
    <m/>
    <x v="78"/>
    <m/>
  </r>
  <r>
    <m/>
    <x v="0"/>
    <s v="cbddeace-adc6-48a8-9366-f9ef34933b7e"/>
    <s v="stopped"/>
    <x v="3"/>
    <s v="2022-12-09T15:03:59.463000+00:00"/>
    <n v="181"/>
    <n v="0"/>
    <n v="0"/>
    <x v="4"/>
    <x v="0"/>
    <s v="43"/>
    <m/>
    <x v="2"/>
    <x v="2"/>
    <m/>
    <m/>
    <x v="0"/>
    <m/>
    <m/>
    <x v="78"/>
    <m/>
  </r>
  <r>
    <m/>
    <x v="3"/>
    <s v="a0fff6dd-b138-4b9a-aca5-0528732a2589"/>
    <s v="failed"/>
    <x v="26"/>
    <s v="2022-12-09T17:27:10.984000+00:00"/>
    <n v="90"/>
    <n v="7"/>
    <n v="7.7777777777777779E-2"/>
    <x v="3"/>
    <x v="7"/>
    <s v="47"/>
    <m/>
    <x v="18"/>
    <x v="18"/>
    <m/>
    <m/>
    <x v="0"/>
    <m/>
    <m/>
    <x v="78"/>
    <m/>
  </r>
  <r>
    <s v="a5847e40-41e1-4525-b069-30eb99215ed0"/>
    <x v="1"/>
    <s v="5826f6af-41c4-4228-a162-7ca4a75ea40f"/>
    <s v="completed"/>
    <x v="0"/>
    <s v="2022-12-09T19:10:15.750000+00:00"/>
    <n v="84"/>
    <n v="73"/>
    <n v="0.86904761904761907"/>
    <x v="203"/>
    <x v="8"/>
    <s v="47"/>
    <s v="URL"/>
    <x v="1"/>
    <x v="1"/>
    <m/>
    <m/>
    <x v="0"/>
    <m/>
    <m/>
    <x v="78"/>
    <m/>
  </r>
  <r>
    <s v="05ad145a-a0df-4e3f-9945-9dd22bdc687e"/>
    <x v="1"/>
    <s v="5826f6af-41c4-4228-a162-7ca4a75ea40f"/>
    <s v="completed"/>
    <x v="0"/>
    <s v="2022-12-09T19:33:13.638000+00:00"/>
    <n v="84"/>
    <n v="81"/>
    <n v="0.9642857142857143"/>
    <x v="204"/>
    <x v="8"/>
    <s v="47"/>
    <s v="URL"/>
    <x v="1"/>
    <x v="1"/>
    <m/>
    <m/>
    <x v="0"/>
    <m/>
    <m/>
    <x v="78"/>
    <m/>
  </r>
  <r>
    <m/>
    <x v="1"/>
    <s v="5826f6af-41c4-4228-a162-7ca4a75ea40f"/>
    <s v="completed"/>
    <x v="3"/>
    <s v="2022-12-09T19:36:26.899000+00:00"/>
    <n v="84"/>
    <n v="82"/>
    <n v="0.97619047619047616"/>
    <x v="4"/>
    <x v="8"/>
    <s v="47"/>
    <m/>
    <x v="2"/>
    <x v="2"/>
    <m/>
    <m/>
    <x v="0"/>
    <m/>
    <m/>
    <x v="78"/>
    <m/>
  </r>
  <r>
    <s v="2b7653e6-ae1b-499b-ae8a-540f3b7976e4"/>
    <x v="0"/>
    <s v="3e2f6782-3e9e-4f8f-b6d2-2be01c82f02e"/>
    <s v="completed"/>
    <x v="0"/>
    <s v="2022-12-09T20:41:59.921000+00:00"/>
    <n v="181"/>
    <n v="76"/>
    <n v="0.41988950276243092"/>
    <x v="21"/>
    <x v="0"/>
    <s v="43"/>
    <s v="URL"/>
    <x v="1"/>
    <x v="1"/>
    <s v="elektrokast issue"/>
    <m/>
    <x v="0"/>
    <m/>
    <m/>
    <x v="78"/>
    <m/>
  </r>
  <r>
    <s v="a0d0625d-420d-42bf-9776-0a5c5de2525e"/>
    <x v="2"/>
    <s v="57d9e327-4327-4778-bad6-9b55760696ad"/>
    <s v="completed"/>
    <x v="0"/>
    <s v="2022-12-09T23:34:18.858000+00:00"/>
    <n v="140"/>
    <n v="120"/>
    <n v="0.8571428571428571"/>
    <x v="42"/>
    <x v="2"/>
    <s v="43"/>
    <s v="URL"/>
    <x v="22"/>
    <x v="22"/>
    <m/>
    <m/>
    <x v="0"/>
    <s v="voorwielen geraken niet op de rail"/>
    <m/>
    <x v="78"/>
    <m/>
  </r>
  <r>
    <m/>
    <x v="2"/>
    <s v="57d9e327-4327-4778-bad6-9b55760696ad"/>
    <s v="completed"/>
    <x v="3"/>
    <s v="2022-12-10T00:51:17.348000+00:00"/>
    <n v="140"/>
    <n v="139"/>
    <n v="0.99285714285714288"/>
    <x v="4"/>
    <x v="2"/>
    <s v="43"/>
    <m/>
    <x v="2"/>
    <x v="2"/>
    <m/>
    <m/>
    <x v="0"/>
    <m/>
    <m/>
    <x v="79"/>
    <m/>
  </r>
  <r>
    <s v="edf323be-96f4-416c-98f1-3cafcd43c11d"/>
    <x v="0"/>
    <s v="3e2f6782-3e9e-4f8f-b6d2-2be01c82f02e"/>
    <s v="completed"/>
    <x v="0"/>
    <s v="2022-12-10T01:51:17.581000+00:00"/>
    <n v="181"/>
    <n v="146"/>
    <n v="0.8066298342541437"/>
    <x v="15"/>
    <x v="0"/>
    <s v="43"/>
    <s v="URL"/>
    <x v="1"/>
    <x v="1"/>
    <s v="elektrokast issue"/>
    <m/>
    <x v="0"/>
    <m/>
    <m/>
    <x v="79"/>
    <m/>
  </r>
  <r>
    <m/>
    <x v="0"/>
    <s v="3e2f6782-3e9e-4f8f-b6d2-2be01c82f02e"/>
    <s v="completed"/>
    <x v="3"/>
    <s v="2022-12-10T04:16:48.412000+00:00"/>
    <n v="181"/>
    <n v="179"/>
    <n v="0.98895027624309395"/>
    <x v="4"/>
    <x v="0"/>
    <s v="43"/>
    <m/>
    <x v="2"/>
    <x v="2"/>
    <m/>
    <m/>
    <x v="0"/>
    <m/>
    <m/>
    <x v="79"/>
    <m/>
  </r>
  <r>
    <s v="41723fe4-b386-4e51-8127-57c7f4a5028a"/>
    <x v="2"/>
    <s v="f1422dbd-32f4-45e2-a854-961d6c54af1d"/>
    <s v="failed"/>
    <x v="26"/>
    <s v="2022-12-10T07:37:16.548000+00:00"/>
    <n v="37"/>
    <n v="34"/>
    <n v="0.91891891891891897"/>
    <x v="205"/>
    <x v="0"/>
    <s v="43"/>
    <s v="URL"/>
    <x v="18"/>
    <x v="18"/>
    <m/>
    <m/>
    <x v="0"/>
    <s v="Slip detectie treedt in werking op onverwachte plaats. Niet duidelijk of dit terecht is en wat dit veroorzaakt. We zouden hier wel van moeten kunnen recoveren (Bart heeft error codes toegevoegd aan slip recovery). Indien nodig kan de slipdetectie ook worden aangepast. (bijvoorbeeld &quot;/navigation/slip_crash_monitor/minimum_threshold_slip_detection&quot;:0.015_x000a_ veel hoger zetten)"/>
    <m/>
    <x v="79"/>
    <m/>
  </r>
  <r>
    <m/>
    <x v="3"/>
    <s v="80a065ff-5284-4f4d-ab23-e3dfb9d3bd86"/>
    <s v="failed"/>
    <x v="19"/>
    <s v="2022-12-10T07:56:46.257000+00:00"/>
    <n v="85"/>
    <n v="4"/>
    <n v="4.7058823529411764E-2"/>
    <x v="173"/>
    <x v="7"/>
    <s v="47"/>
    <m/>
    <x v="16"/>
    <x v="16"/>
    <m/>
    <m/>
    <x v="0"/>
    <m/>
    <m/>
    <x v="79"/>
    <m/>
  </r>
  <r>
    <m/>
    <x v="3"/>
    <s v="9dc95933-b8ca-4836-8d7f-d9d392d3c3ee"/>
    <s v="failed"/>
    <x v="22"/>
    <s v="2022-12-10T08:07:17.838000+00:00"/>
    <n v="85"/>
    <n v="3"/>
    <n v="3.5294117647058823E-2"/>
    <x v="13"/>
    <x v="7"/>
    <s v="47"/>
    <m/>
    <x v="6"/>
    <x v="6"/>
    <m/>
    <m/>
    <x v="0"/>
    <m/>
    <m/>
    <x v="79"/>
    <m/>
  </r>
  <r>
    <m/>
    <x v="3"/>
    <s v="e7377c8c-9728-40f2-b13e-972daae8d5fe"/>
    <s v="failed"/>
    <x v="29"/>
    <s v="2022-12-10T18:03:53.589000+00:00"/>
    <n v="91"/>
    <n v="4"/>
    <n v="4.3956043956043959E-2"/>
    <x v="206"/>
    <x v="8"/>
    <s v="47"/>
    <m/>
    <x v="0"/>
    <x v="0"/>
    <m/>
    <m/>
    <x v="0"/>
    <m/>
    <m/>
    <x v="79"/>
    <m/>
  </r>
  <r>
    <m/>
    <x v="3"/>
    <s v="e7377c8c-9728-40f2-b13e-972daae8d5fe"/>
    <s v="failed"/>
    <x v="0"/>
    <s v="2022-12-10T18:03:53.680000+00:00"/>
    <n v="91"/>
    <n v="2"/>
    <n v="2.197802197802198E-2"/>
    <x v="180"/>
    <x v="8"/>
    <s v="47"/>
    <m/>
    <x v="0"/>
    <x v="0"/>
    <m/>
    <m/>
    <x v="0"/>
    <m/>
    <m/>
    <x v="79"/>
    <m/>
  </r>
  <r>
    <m/>
    <x v="3"/>
    <s v="2ec38354-295d-4019-ae3e-04175a35ee0f"/>
    <s v="stopped"/>
    <x v="3"/>
    <s v="2022-12-13T15:57:44.755000+00:00"/>
    <n v="6"/>
    <n v="1"/>
    <n v="0.16666666666666666"/>
    <x v="4"/>
    <x v="9"/>
    <s v="47"/>
    <m/>
    <x v="2"/>
    <x v="2"/>
    <m/>
    <m/>
    <x v="0"/>
    <m/>
    <m/>
    <x v="80"/>
    <m/>
  </r>
  <r>
    <s v="5bc42a25-2062-4e05-aafe-41819491677d"/>
    <x v="1"/>
    <s v="efcc949f-19c6-4e44-9525-e179a050ca51"/>
    <s v="failed"/>
    <x v="37"/>
    <s v="2022-12-13T17:01:14.828000+00:00"/>
    <n v="86"/>
    <n v="2"/>
    <n v="2.3255813953488372E-2"/>
    <x v="180"/>
    <x v="10"/>
    <s v="47"/>
    <s v="URL"/>
    <x v="27"/>
    <x v="27"/>
    <m/>
    <s v="OAG1XENLUM2204032.docx"/>
    <x v="0"/>
    <m/>
    <m/>
    <x v="80"/>
    <m/>
  </r>
  <r>
    <m/>
    <x v="3"/>
    <s v="cc6eee1c-762b-4a58-9cae-f945133e6d30"/>
    <s v="failed"/>
    <x v="0"/>
    <s v="2022-12-13T17:37:10.742000+00:00"/>
    <n v="180"/>
    <n v="25"/>
    <n v="0.1388888888888889"/>
    <x v="207"/>
    <x v="9"/>
    <s v="47"/>
    <m/>
    <x v="1"/>
    <x v="1"/>
    <m/>
    <m/>
    <x v="0"/>
    <m/>
    <m/>
    <x v="80"/>
    <m/>
  </r>
  <r>
    <m/>
    <x v="3"/>
    <s v="cc6eee1c-762b-4a58-9cae-f945133e6d30"/>
    <s v="failed"/>
    <x v="0"/>
    <s v="2022-12-13T20:06:45.720000+00:00"/>
    <n v="180"/>
    <n v="65"/>
    <n v="0.3611111111111111"/>
    <x v="208"/>
    <x v="9"/>
    <s v="47"/>
    <m/>
    <x v="1"/>
    <x v="1"/>
    <m/>
    <m/>
    <x v="0"/>
    <m/>
    <m/>
    <x v="80"/>
    <m/>
  </r>
  <r>
    <m/>
    <x v="3"/>
    <s v="cc6eee1c-762b-4a58-9cae-f945133e6d30"/>
    <s v="failed"/>
    <x v="28"/>
    <s v="2022-12-14T06:39:41.743000+00:00"/>
    <n v="180"/>
    <n v="67"/>
    <n v="0.37222222222222223"/>
    <x v="209"/>
    <x v="9"/>
    <s v="47"/>
    <m/>
    <x v="10"/>
    <x v="10"/>
    <m/>
    <m/>
    <x v="0"/>
    <m/>
    <m/>
    <x v="81"/>
    <m/>
  </r>
  <r>
    <s v="80267eec-faf2-41ec-859a-ca6f68a3ce87"/>
    <x v="0"/>
    <s v="cb80a9b0-a26c-4325-a394-abc775f56f0e"/>
    <s v="failed"/>
    <x v="20"/>
    <s v="2022-12-14T14:58:28.372000+00:00"/>
    <n v="275"/>
    <n v="0"/>
    <n v="0"/>
    <x v="127"/>
    <x v="2"/>
    <s v="43"/>
    <s v="URL"/>
    <x v="10"/>
    <x v="10"/>
    <m/>
    <m/>
    <x v="0"/>
    <m/>
    <m/>
    <x v="81"/>
    <m/>
  </r>
  <r>
    <m/>
    <x v="0"/>
    <s v="171324ee-7b70-427a-a678-0d77ca6b339b"/>
    <s v="failed"/>
    <x v="20"/>
    <s v="2022-12-14T15:01:33.424000+00:00"/>
    <n v="140"/>
    <n v="0"/>
    <n v="0"/>
    <x v="127"/>
    <x v="2"/>
    <s v="43"/>
    <m/>
    <x v="10"/>
    <x v="10"/>
    <m/>
    <m/>
    <x v="0"/>
    <m/>
    <m/>
    <x v="81"/>
    <m/>
  </r>
  <r>
    <m/>
    <x v="0"/>
    <s v="7720f12c-3f04-46ea-a022-3c50129fe76d"/>
    <s v="completed"/>
    <x v="3"/>
    <s v="2022-12-15T07:41:39.668000+00:00"/>
    <n v="31"/>
    <n v="31"/>
    <n v="1"/>
    <x v="4"/>
    <x v="2"/>
    <s v="43"/>
    <m/>
    <x v="2"/>
    <x v="2"/>
    <m/>
    <m/>
    <x v="0"/>
    <m/>
    <m/>
    <x v="82"/>
    <m/>
  </r>
  <r>
    <m/>
    <x v="2"/>
    <s v="44ebb9cf-c6d9-4b12-a353-3c8dbb8c218a"/>
    <s v="completed"/>
    <x v="3"/>
    <s v="2022-12-15T07:59:54.983000+00:00"/>
    <n v="34"/>
    <n v="34"/>
    <n v="1"/>
    <x v="4"/>
    <x v="0"/>
    <s v="43"/>
    <m/>
    <x v="2"/>
    <x v="2"/>
    <m/>
    <m/>
    <x v="0"/>
    <m/>
    <m/>
    <x v="82"/>
    <m/>
  </r>
  <r>
    <m/>
    <x v="1"/>
    <s v="54492dec-15d9-4d3a-846e-62498f54562d"/>
    <s v="stopped"/>
    <x v="3"/>
    <s v="2022-12-15T16:08:03.510000+00:00"/>
    <n v="88"/>
    <n v="1"/>
    <n v="1.1363636363636364E-2"/>
    <x v="4"/>
    <x v="7"/>
    <s v="47"/>
    <m/>
    <x v="2"/>
    <x v="2"/>
    <m/>
    <m/>
    <x v="0"/>
    <m/>
    <m/>
    <x v="82"/>
    <m/>
  </r>
  <r>
    <s v="e6431afa-b2fb-4ba1-ace1-2c279b5b369b"/>
    <x v="1"/>
    <s v="0c0a1aaf-6f7e-4ff2-ac6b-06cf62ad6c0b"/>
    <s v="failed"/>
    <x v="26"/>
    <s v="2022-12-15T17:18:18.163000+00:00"/>
    <n v="88"/>
    <n v="7"/>
    <n v="7.9545454545454544E-2"/>
    <x v="3"/>
    <x v="7"/>
    <s v="47"/>
    <s v="URL"/>
    <x v="18"/>
    <x v="18"/>
    <m/>
    <m/>
    <x v="0"/>
    <m/>
    <m/>
    <x v="82"/>
    <m/>
  </r>
  <r>
    <m/>
    <x v="3"/>
    <s v="1569085b-7110-466f-a36c-596e5439e0d6"/>
    <s v="completed"/>
    <x v="0"/>
    <s v="2022-12-15T19:06:55.079000+00:00"/>
    <n v="63"/>
    <n v="48"/>
    <n v="0.76190476190476186"/>
    <x v="210"/>
    <x v="8"/>
    <s v="47"/>
    <m/>
    <x v="1"/>
    <x v="1"/>
    <m/>
    <m/>
    <x v="0"/>
    <m/>
    <m/>
    <x v="82"/>
    <m/>
  </r>
  <r>
    <m/>
    <x v="3"/>
    <s v="1569085b-7110-466f-a36c-596e5439e0d6"/>
    <s v="completed"/>
    <x v="3"/>
    <s v="2022-12-15T19:51:00.344000+00:00"/>
    <n v="63"/>
    <n v="62"/>
    <n v="0.98412698412698407"/>
    <x v="4"/>
    <x v="8"/>
    <s v="47"/>
    <m/>
    <x v="2"/>
    <x v="2"/>
    <m/>
    <m/>
    <x v="0"/>
    <m/>
    <m/>
    <x v="82"/>
    <m/>
  </r>
  <r>
    <s v="52bc8e2c-bcb7-4d15-9c56-30e2e9ee77be"/>
    <x v="3"/>
    <s v="06165491-a9d7-406e-b686-a399c09eab27"/>
    <s v="completed"/>
    <x v="0"/>
    <s v="2022-12-17T20:39:33.076000+00:00"/>
    <n v="89"/>
    <n v="51"/>
    <n v="0.5730337078651685"/>
    <x v="211"/>
    <x v="8"/>
    <s v="47"/>
    <s v="URL"/>
    <x v="1"/>
    <x v="1"/>
    <m/>
    <m/>
    <x v="0"/>
    <m/>
    <m/>
    <x v="83"/>
    <m/>
  </r>
  <r>
    <m/>
    <x v="3"/>
    <s v="06165491-a9d7-406e-b686-a399c09eab27"/>
    <s v="completed"/>
    <x v="3"/>
    <s v="2022-12-17T22:40:17.491000+00:00"/>
    <n v="89"/>
    <n v="88"/>
    <n v="0.9887640449438202"/>
    <x v="4"/>
    <x v="8"/>
    <s v="47"/>
    <m/>
    <x v="2"/>
    <x v="2"/>
    <m/>
    <m/>
    <x v="0"/>
    <m/>
    <m/>
    <x v="83"/>
    <m/>
  </r>
  <r>
    <s v="5bc42a25-2062-4e05-aafe-41819491677d"/>
    <x v="1"/>
    <s v="72533123-bdba-4888-880e-e19d65755d0d"/>
    <s v="failed"/>
    <x v="0"/>
    <s v="2022-12-18T16:01:14.828000+00:00"/>
    <n v="84"/>
    <n v="2"/>
    <n v="2.3809523809523808E-2"/>
    <x v="185"/>
    <x v="8"/>
    <s v="47"/>
    <s v="URL"/>
    <x v="0"/>
    <x v="0"/>
    <s v="Timing of db log incorrect!!!"/>
    <m/>
    <x v="0"/>
    <m/>
    <m/>
    <x v="84"/>
    <m/>
  </r>
  <r>
    <s v="9d10ca05-36b9-462c-a043-19d5a3163f19"/>
    <x v="1"/>
    <s v="72533123-bdba-4888-880e-e19d65755d0d"/>
    <s v="failed"/>
    <x v="29"/>
    <s v="2022-12-18T16:14:46.420000+00:00"/>
    <n v="84"/>
    <n v="4"/>
    <n v="4.7619047619047616E-2"/>
    <x v="186"/>
    <x v="8"/>
    <s v="47"/>
    <s v="URL"/>
    <x v="0"/>
    <x v="0"/>
    <m/>
    <m/>
    <x v="0"/>
    <m/>
    <m/>
    <x v="84"/>
    <m/>
  </r>
  <r>
    <s v="2d639ee6-377c-467f-8d62-1d7b281f0ac0"/>
    <x v="3"/>
    <s v="92613e7b-538b-4c68-b87c-88ca0e0d4d2c"/>
    <s v="failed"/>
    <x v="0"/>
    <s v="2022-12-18T17:03:27.478000+00:00"/>
    <n v="92"/>
    <n v="2"/>
    <n v="2.1739130434782608E-2"/>
    <x v="212"/>
    <x v="7"/>
    <s v="47"/>
    <s v="URL"/>
    <x v="1"/>
    <x v="1"/>
    <m/>
    <m/>
    <x v="0"/>
    <m/>
    <m/>
    <x v="84"/>
    <m/>
  </r>
  <r>
    <s v="16e1a029-5e73-4ace-8ec6-10f878d13dd9"/>
    <x v="3"/>
    <s v="92613e7b-538b-4c68-b87c-88ca0e0d4d2c"/>
    <s v="failed"/>
    <x v="0"/>
    <s v="2022-12-18T17:14:08.810000+00:00"/>
    <n v="92"/>
    <n v="6"/>
    <n v="6.5217391304347824E-2"/>
    <x v="213"/>
    <x v="7"/>
    <s v="47"/>
    <s v="URL"/>
    <x v="1"/>
    <x v="1"/>
    <m/>
    <m/>
    <x v="0"/>
    <m/>
    <m/>
    <x v="84"/>
    <m/>
  </r>
  <r>
    <s v="748a5c0b-78ec-4acf-86dc-35fb7986668e"/>
    <x v="3"/>
    <s v="92613e7b-538b-4c68-b87c-88ca0e0d4d2c"/>
    <s v="failed"/>
    <x v="0"/>
    <s v="2022-12-18T17:15:44.156000+00:00"/>
    <n v="92"/>
    <n v="8"/>
    <n v="8.6956521739130432E-2"/>
    <x v="3"/>
    <x v="7"/>
    <s v="47"/>
    <s v="URL"/>
    <x v="18"/>
    <x v="18"/>
    <m/>
    <m/>
    <x v="0"/>
    <m/>
    <m/>
    <x v="84"/>
    <m/>
  </r>
  <r>
    <s v="7d580a6f-ebb4-4a7e-a930-abe779f91480"/>
    <x v="3"/>
    <s v="92613e7b-538b-4c68-b87c-88ca0e0d4d2c"/>
    <s v="failed"/>
    <x v="22"/>
    <s v="2022-12-18T17:16:23.429000+00:00"/>
    <n v="92"/>
    <n v="10"/>
    <n v="0.10869565217391304"/>
    <x v="13"/>
    <x v="7"/>
    <s v="47"/>
    <s v="URL"/>
    <x v="6"/>
    <x v="6"/>
    <m/>
    <m/>
    <x v="0"/>
    <m/>
    <m/>
    <x v="84"/>
    <m/>
  </r>
  <r>
    <m/>
    <x v="2"/>
    <s v="036863c3-b8c7-4e30-ab83-176e12d100d9"/>
    <s v="failed"/>
    <x v="20"/>
    <s v="2022-12-19T15:21:44.031000+00:00"/>
    <n v="144"/>
    <n v="0"/>
    <n v="0"/>
    <x v="127"/>
    <x v="2"/>
    <s v="43"/>
    <m/>
    <x v="19"/>
    <x v="19"/>
    <m/>
    <m/>
    <x v="0"/>
    <m/>
    <m/>
    <x v="85"/>
    <m/>
  </r>
  <r>
    <m/>
    <x v="2"/>
    <s v="54f41bf9-160f-4cb4-a44a-159ffd7c0b19"/>
    <s v="failed"/>
    <x v="20"/>
    <s v="2022-12-19T15:23:23.191000+00:00"/>
    <n v="140"/>
    <n v="0"/>
    <n v="0"/>
    <x v="127"/>
    <x v="2"/>
    <s v="43"/>
    <m/>
    <x v="19"/>
    <x v="19"/>
    <m/>
    <m/>
    <x v="0"/>
    <m/>
    <m/>
    <x v="85"/>
    <m/>
  </r>
  <r>
    <s v="eba621f1-77a6-4b58-94b4-0142d0a1206a"/>
    <x v="0"/>
    <s v="85d32bf1-a3f4-4b24-9cac-030d2452c2fe"/>
    <s v="completed"/>
    <x v="0"/>
    <s v="2022-12-19T17:09:33.693000+00:00"/>
    <n v="153"/>
    <n v="24"/>
    <n v="0.15686274509803921"/>
    <x v="214"/>
    <x v="0"/>
    <s v="43"/>
    <s v="URL"/>
    <x v="1"/>
    <x v="1"/>
    <m/>
    <m/>
    <x v="0"/>
    <m/>
    <m/>
    <x v="85"/>
    <m/>
  </r>
  <r>
    <s v="9ad0719b-a09f-489f-b3e8-16afefe61e0b"/>
    <x v="0"/>
    <s v="85d32bf1-a3f4-4b24-9cac-030d2452c2fe"/>
    <s v="completed"/>
    <x v="0"/>
    <s v="2022-12-19T17:25:09.430000+00:00"/>
    <n v="153"/>
    <n v="28"/>
    <n v="0.18300653594771241"/>
    <x v="162"/>
    <x v="0"/>
    <s v="43"/>
    <s v="URL"/>
    <x v="22"/>
    <x v="22"/>
    <m/>
    <m/>
    <x v="0"/>
    <m/>
    <m/>
    <x v="85"/>
    <m/>
  </r>
  <r>
    <s v="18c32855-d3e8-4d9e-b531-1b376197c905"/>
    <x v="0"/>
    <s v="85d32bf1-a3f4-4b24-9cac-030d2452c2fe"/>
    <s v="completed"/>
    <x v="0"/>
    <s v="2022-12-19T17:34:16.106000+00:00"/>
    <n v="153"/>
    <n v="30"/>
    <n v="0.19607843137254902"/>
    <x v="215"/>
    <x v="0"/>
    <s v="43"/>
    <s v="URL"/>
    <x v="1"/>
    <x v="1"/>
    <m/>
    <m/>
    <x v="0"/>
    <m/>
    <m/>
    <x v="85"/>
    <m/>
  </r>
  <r>
    <s v="70c31486-7914-4eaa-8469-78afa20573fc"/>
    <x v="0"/>
    <s v="85d32bf1-a3f4-4b24-9cac-030d2452c2fe"/>
    <s v="completed"/>
    <x v="0"/>
    <s v="2022-12-20T00:03:00.584000+00:00"/>
    <n v="153"/>
    <n v="118"/>
    <n v="0.77124183006535951"/>
    <x v="15"/>
    <x v="0"/>
    <s v="43"/>
    <s v="URL"/>
    <x v="1"/>
    <x v="1"/>
    <m/>
    <m/>
    <x v="0"/>
    <m/>
    <m/>
    <x v="86"/>
    <m/>
  </r>
  <r>
    <s v="5ec2b49b-2b54-4809-92f7-2bb1e8e57db1"/>
    <x v="0"/>
    <s v="85d32bf1-a3f4-4b24-9cac-030d2452c2fe"/>
    <s v="completed"/>
    <x v="0"/>
    <s v="2022-12-20T00:36:03.823000+00:00"/>
    <n v="153"/>
    <n v="126"/>
    <n v="0.82352941176470584"/>
    <x v="216"/>
    <x v="0"/>
    <s v="43"/>
    <s v="URL"/>
    <x v="22"/>
    <x v="22"/>
    <m/>
    <m/>
    <x v="0"/>
    <m/>
    <m/>
    <x v="86"/>
    <m/>
  </r>
  <r>
    <s v="881ba69c-bdfe-40ea-bd00-2cbd0e5998ed"/>
    <x v="0"/>
    <s v="85d32bf1-a3f4-4b24-9cac-030d2452c2fe"/>
    <s v="completed"/>
    <x v="0"/>
    <s v="2022-12-20T01:16:17.722000+00:00"/>
    <n v="153"/>
    <n v="135"/>
    <n v="0.88235294117647056"/>
    <x v="217"/>
    <x v="0"/>
    <s v="43"/>
    <s v="URL"/>
    <x v="1"/>
    <x v="1"/>
    <m/>
    <m/>
    <x v="0"/>
    <m/>
    <m/>
    <x v="86"/>
    <m/>
  </r>
  <r>
    <m/>
    <x v="2"/>
    <s v="ea037114-1bed-4470-b63d-7e5eee3fb535"/>
    <s v="completed"/>
    <x v="3"/>
    <s v="2022-12-20T01:17:02.352000+00:00"/>
    <n v="140"/>
    <n v="140"/>
    <n v="1"/>
    <x v="4"/>
    <x v="2"/>
    <s v="43"/>
    <m/>
    <x v="2"/>
    <x v="2"/>
    <m/>
    <m/>
    <x v="0"/>
    <m/>
    <m/>
    <x v="86"/>
    <m/>
  </r>
  <r>
    <m/>
    <x v="0"/>
    <s v="85d32bf1-a3f4-4b24-9cac-030d2452c2fe"/>
    <s v="completed"/>
    <x v="3"/>
    <s v="2022-12-20T02:26:23.851000+00:00"/>
    <n v="153"/>
    <n v="147"/>
    <n v="0.96078431372549022"/>
    <x v="4"/>
    <x v="0"/>
    <s v="43"/>
    <m/>
    <x v="2"/>
    <x v="2"/>
    <m/>
    <m/>
    <x v="0"/>
    <m/>
    <m/>
    <x v="86"/>
    <m/>
  </r>
  <r>
    <m/>
    <x v="0"/>
    <s v="3e946963-7f85-4de3-8339-e32075cce89b"/>
    <s v="completed"/>
    <x v="0"/>
    <s v="2022-12-20T17:37:21.829000+00:00"/>
    <n v="214"/>
    <n v="33"/>
    <n v="0.1542056074766355"/>
    <x v="122"/>
    <x v="0"/>
    <s v="43"/>
    <m/>
    <x v="18"/>
    <x v="18"/>
    <m/>
    <m/>
    <x v="0"/>
    <m/>
    <m/>
    <x v="86"/>
    <m/>
  </r>
  <r>
    <m/>
    <x v="0"/>
    <s v="3e946963-7f85-4de3-8339-e32075cce89b"/>
    <s v="completed"/>
    <x v="0"/>
    <s v="2022-12-20T21:37:46.491000+00:00"/>
    <n v="214"/>
    <n v="89"/>
    <n v="0.41588785046728971"/>
    <x v="162"/>
    <x v="0"/>
    <s v="43"/>
    <m/>
    <x v="22"/>
    <x v="22"/>
    <m/>
    <m/>
    <x v="0"/>
    <m/>
    <m/>
    <x v="86"/>
    <m/>
  </r>
  <r>
    <m/>
    <x v="0"/>
    <s v="3e946963-7f85-4de3-8339-e32075cce89b"/>
    <s v="completed"/>
    <x v="0"/>
    <s v="2022-12-20T23:06:09.369000+00:00"/>
    <n v="214"/>
    <n v="109"/>
    <n v="0.50934579439252337"/>
    <x v="21"/>
    <x v="0"/>
    <s v="43"/>
    <m/>
    <x v="1"/>
    <x v="1"/>
    <m/>
    <m/>
    <x v="0"/>
    <m/>
    <m/>
    <x v="86"/>
    <m/>
  </r>
  <r>
    <s v="8051a655-0874-4a74-8c05-db0e2f35ec8d"/>
    <x v="2"/>
    <s v="26a8a1c1-7bbf-49ab-ae11-713a608a337d"/>
    <s v="completed"/>
    <x v="0"/>
    <s v="2022-12-21T00:14:12.918000+00:00"/>
    <n v="140"/>
    <n v="122"/>
    <n v="0.87142857142857144"/>
    <x v="218"/>
    <x v="2"/>
    <s v="43"/>
    <s v="URL"/>
    <x v="1"/>
    <x v="1"/>
    <m/>
    <m/>
    <x v="0"/>
    <m/>
    <m/>
    <x v="87"/>
    <m/>
  </r>
  <r>
    <m/>
    <x v="2"/>
    <s v="26a8a1c1-7bbf-49ab-ae11-713a608a337d"/>
    <s v="completed"/>
    <x v="3"/>
    <s v="2022-12-21T01:22:44.782000+00:00"/>
    <n v="140"/>
    <n v="139"/>
    <n v="0.99285714285714288"/>
    <x v="4"/>
    <x v="2"/>
    <s v="43"/>
    <m/>
    <x v="2"/>
    <x v="2"/>
    <m/>
    <m/>
    <x v="0"/>
    <m/>
    <m/>
    <x v="87"/>
    <m/>
  </r>
  <r>
    <m/>
    <x v="0"/>
    <s v="3e946963-7f85-4de3-8339-e32075cce89b"/>
    <s v="completed"/>
    <x v="0"/>
    <s v="2022-12-21T04:14:23.488000+00:00"/>
    <n v="214"/>
    <n v="179"/>
    <n v="0.83644859813084116"/>
    <x v="15"/>
    <x v="0"/>
    <s v="43"/>
    <m/>
    <x v="1"/>
    <x v="1"/>
    <m/>
    <m/>
    <x v="0"/>
    <m/>
    <m/>
    <x v="87"/>
    <m/>
  </r>
  <r>
    <m/>
    <x v="0"/>
    <s v="3e946963-7f85-4de3-8339-e32075cce89b"/>
    <s v="completed"/>
    <x v="0"/>
    <s v="2022-12-21T04:45:37.791000+00:00"/>
    <n v="214"/>
    <n v="186"/>
    <n v="0.86915887850467288"/>
    <x v="219"/>
    <x v="0"/>
    <s v="43"/>
    <m/>
    <x v="14"/>
    <x v="14"/>
    <m/>
    <m/>
    <x v="0"/>
    <m/>
    <m/>
    <x v="87"/>
    <m/>
  </r>
  <r>
    <m/>
    <x v="0"/>
    <s v="3e946963-7f85-4de3-8339-e32075cce89b"/>
    <s v="completed"/>
    <x v="0"/>
    <s v="2022-12-21T05:12:22.509000+00:00"/>
    <n v="214"/>
    <n v="192"/>
    <n v="0.89719626168224298"/>
    <x v="220"/>
    <x v="0"/>
    <s v="43"/>
    <m/>
    <x v="14"/>
    <x v="14"/>
    <m/>
    <m/>
    <x v="0"/>
    <m/>
    <m/>
    <x v="87"/>
    <m/>
  </r>
  <r>
    <m/>
    <x v="0"/>
    <s v="3e946963-7f85-4de3-8339-e32075cce89b"/>
    <s v="completed"/>
    <x v="3"/>
    <s v="2022-12-21T06:41:12.276000+00:00"/>
    <n v="214"/>
    <n v="208"/>
    <n v="0.9719626168224299"/>
    <x v="4"/>
    <x v="0"/>
    <s v="43"/>
    <m/>
    <x v="2"/>
    <x v="2"/>
    <m/>
    <m/>
    <x v="0"/>
    <m/>
    <m/>
    <x v="87"/>
    <m/>
  </r>
  <r>
    <s v="621c91de-8e21-4292-96f6-33de8f6c95ce"/>
    <x v="0"/>
    <s v="0c24b7ff-921c-475d-b3ef-52cf14da91d9"/>
    <s v="failed"/>
    <x v="27"/>
    <s v="2022-12-22T15:52:57.161000+00:00"/>
    <n v="99"/>
    <n v="18"/>
    <n v="0.18181818181818182"/>
    <x v="221"/>
    <x v="0"/>
    <s v="44"/>
    <s v="URL"/>
    <x v="6"/>
    <x v="6"/>
    <m/>
    <m/>
    <x v="0"/>
    <m/>
    <m/>
    <x v="88"/>
    <m/>
  </r>
  <r>
    <m/>
    <x v="3"/>
    <s v="c9c39945-4144-4445-9059-9e397bae7c17"/>
    <s v="stopped"/>
    <x v="3"/>
    <s v="2022-12-22T15:57:33.930000+00:00"/>
    <n v="201"/>
    <n v="1"/>
    <n v="4.9751243781094526E-3"/>
    <x v="4"/>
    <x v="1"/>
    <s v="47"/>
    <m/>
    <x v="2"/>
    <x v="2"/>
    <m/>
    <m/>
    <x v="0"/>
    <m/>
    <m/>
    <x v="88"/>
    <m/>
  </r>
  <r>
    <m/>
    <x v="3"/>
    <s v="7ce96679-e7d6-41bd-a778-d3e290a336b1"/>
    <s v="stopped"/>
    <x v="3"/>
    <s v="2022-12-22T16:12:10.031000+00:00"/>
    <n v="201"/>
    <n v="1"/>
    <n v="4.9751243781094526E-3"/>
    <x v="4"/>
    <x v="1"/>
    <s v="47"/>
    <m/>
    <x v="2"/>
    <x v="2"/>
    <m/>
    <m/>
    <x v="0"/>
    <m/>
    <m/>
    <x v="88"/>
    <m/>
  </r>
  <r>
    <m/>
    <x v="1"/>
    <s v="7a824e3e-9612-4bff-8ed7-3e1ecb0b4c5a"/>
    <s v="failed"/>
    <x v="21"/>
    <s v="2022-12-22T17:29:35.615000+00:00"/>
    <n v="157"/>
    <n v="9"/>
    <n v="5.7324840764331211E-2"/>
    <x v="134"/>
    <x v="1"/>
    <s v="48"/>
    <m/>
    <x v="14"/>
    <x v="14"/>
    <m/>
    <m/>
    <x v="0"/>
    <m/>
    <m/>
    <x v="88"/>
    <m/>
  </r>
  <r>
    <s v="68d3534e-814f-4507-8905-662d2999132b"/>
    <x v="3"/>
    <s v="1ec57f74-2f72-4e6a-896b-87961b3c3f79"/>
    <s v="failed"/>
    <x v="21"/>
    <s v="2022-12-22T17:32:12.216000+00:00"/>
    <n v="102"/>
    <n v="9"/>
    <n v="8.8235294117647065E-2"/>
    <x v="222"/>
    <x v="1"/>
    <s v="47"/>
    <s v="URL"/>
    <x v="14"/>
    <x v="14"/>
    <m/>
    <m/>
    <x v="0"/>
    <m/>
    <m/>
    <x v="88"/>
    <m/>
  </r>
  <r>
    <s v="9b38ec64-a34d-4f73-ac7c-3759cdf7e9a4"/>
    <x v="2"/>
    <s v="f9e5a8a7-b595-4103-82e3-913f62de9c83"/>
    <s v="failed"/>
    <x v="0"/>
    <s v="2022-12-22T17:46:54.796000+00:00"/>
    <n v="77"/>
    <n v="36"/>
    <n v="0.46753246753246752"/>
    <x v="223"/>
    <x v="2"/>
    <s v="44"/>
    <s v="URL"/>
    <x v="1"/>
    <x v="1"/>
    <m/>
    <m/>
    <x v="0"/>
    <m/>
    <m/>
    <x v="88"/>
    <m/>
  </r>
  <r>
    <s v="4f0359f8-18ae-43d3-8cc2-412119dac22d"/>
    <x v="2"/>
    <s v="f9e5a8a7-b595-4103-82e3-913f62de9c83"/>
    <s v="failed"/>
    <x v="0"/>
    <s v="2022-12-22T19:13:26.753000+00:00"/>
    <n v="77"/>
    <n v="56"/>
    <n v="0.72727272727272729"/>
    <x v="224"/>
    <x v="2"/>
    <s v="44"/>
    <s v="URL"/>
    <x v="1"/>
    <x v="1"/>
    <m/>
    <m/>
    <x v="0"/>
    <m/>
    <m/>
    <x v="88"/>
    <m/>
  </r>
  <r>
    <s v="9fe9ce3f-8ae2-4707-8df7-61994fd99921"/>
    <x v="2"/>
    <s v="f9e5a8a7-b595-4103-82e3-913f62de9c83"/>
    <s v="failed"/>
    <x v="0"/>
    <s v="2022-12-22T20:05:07.934000+00:00"/>
    <n v="77"/>
    <n v="68"/>
    <n v="0.88311688311688308"/>
    <x v="225"/>
    <x v="2"/>
    <s v="44"/>
    <s v="URL"/>
    <x v="1"/>
    <x v="1"/>
    <m/>
    <m/>
    <x v="0"/>
    <m/>
    <m/>
    <x v="88"/>
    <m/>
  </r>
  <r>
    <s v="ae5c3c67-9835-45ca-88c6-22e966b37975"/>
    <x v="2"/>
    <s v="f9e5a8a7-b595-4103-82e3-913f62de9c83"/>
    <s v="failed"/>
    <x v="43"/>
    <s v="2022-12-22T20:35:56.382000+00:00"/>
    <n v="77"/>
    <n v="76"/>
    <n v="0.98701298701298701"/>
    <x v="226"/>
    <x v="2"/>
    <s v="44"/>
    <s v="URL"/>
    <x v="25"/>
    <x v="25"/>
    <m/>
    <m/>
    <x v="0"/>
    <m/>
    <m/>
    <x v="88"/>
    <m/>
  </r>
  <r>
    <s v="0eca3025-cfcf-49d0-8eb1-0b49fa215a26"/>
    <x v="0"/>
    <s v="9cf063d1-a15e-4685-bd02-da9a9c9429b5"/>
    <s v="failed"/>
    <x v="0"/>
    <s v="2022-12-23T10:24:45.326000+00:00"/>
    <n v="80"/>
    <n v="55"/>
    <n v="0.6875"/>
    <x v="227"/>
    <x v="0"/>
    <s v="44"/>
    <s v="URL"/>
    <x v="18"/>
    <x v="18"/>
    <m/>
    <m/>
    <x v="0"/>
    <m/>
    <m/>
    <x v="89"/>
    <m/>
  </r>
  <r>
    <s v="0dbb3892-30c9-402a-8070-ed0e2179795f"/>
    <x v="0"/>
    <s v="9cf063d1-a15e-4685-bd02-da9a9c9429b5"/>
    <s v="failed"/>
    <x v="0"/>
    <s v="2022-12-23T10:30:51.644000+00:00"/>
    <n v="80"/>
    <n v="57"/>
    <n v="0.71250000000000002"/>
    <x v="228"/>
    <x v="0"/>
    <s v="44"/>
    <s v="URL"/>
    <x v="22"/>
    <x v="22"/>
    <m/>
    <m/>
    <x v="0"/>
    <m/>
    <m/>
    <x v="89"/>
    <m/>
  </r>
  <r>
    <s v="2e001e28-7935-4b7e-a35a-da3d88580469"/>
    <x v="0"/>
    <s v="9cf063d1-a15e-4685-bd02-da9a9c9429b5"/>
    <s v="failed"/>
    <x v="26"/>
    <s v="2022-12-23T10:39:48.702000+00:00"/>
    <n v="80"/>
    <n v="60"/>
    <n v="0.75"/>
    <x v="229"/>
    <x v="0"/>
    <s v="44"/>
    <s v="URL"/>
    <x v="18"/>
    <x v="18"/>
    <m/>
    <m/>
    <x v="0"/>
    <m/>
    <m/>
    <x v="89"/>
    <m/>
  </r>
  <r>
    <s v="921e73a8-61fa-47f8-95a3-0012e26b2334"/>
    <x v="0"/>
    <s v="2b184cdc-8b16-4d8c-a475-1949b1144ce3"/>
    <s v="failed"/>
    <x v="26"/>
    <s v="2022-12-23T15:24:36.019000+00:00"/>
    <n v="44"/>
    <n v="22"/>
    <n v="0.5"/>
    <x v="230"/>
    <x v="0"/>
    <s v="44"/>
    <s v="URL"/>
    <x v="18"/>
    <x v="18"/>
    <m/>
    <m/>
    <x v="0"/>
    <m/>
    <m/>
    <x v="89"/>
    <m/>
  </r>
  <r>
    <s v="ed95cc9c-9c60-48d4-832c-1f74a1bb5a9c"/>
    <x v="2"/>
    <s v="71d728ce-e0b9-4443-a7af-1d925908cca4"/>
    <s v="failed"/>
    <x v="0"/>
    <s v="2022-12-23T15:50:43.462000+00:00"/>
    <n v="75"/>
    <n v="25"/>
    <n v="0.33333333333333331"/>
    <x v="231"/>
    <x v="2"/>
    <s v="44"/>
    <s v="URL"/>
    <x v="1"/>
    <x v="1"/>
    <m/>
    <m/>
    <x v="0"/>
    <m/>
    <m/>
    <x v="89"/>
    <m/>
  </r>
  <r>
    <s v="cf08976b-d4b0-471e-ae95-a660ce17dc3d"/>
    <x v="2"/>
    <s v="71d728ce-e0b9-4443-a7af-1d925908cca4"/>
    <s v="failed"/>
    <x v="0"/>
    <s v="2022-12-23T16:43:15.295000+00:00"/>
    <n v="75"/>
    <n v="37"/>
    <n v="0.49333333333333335"/>
    <x v="232"/>
    <x v="2"/>
    <s v="44"/>
    <s v="URL"/>
    <x v="1"/>
    <x v="1"/>
    <m/>
    <m/>
    <x v="0"/>
    <m/>
    <m/>
    <x v="89"/>
    <m/>
  </r>
  <r>
    <s v="cc9ac953-7104-48b1-beae-3c1d161e7621"/>
    <x v="2"/>
    <s v="71d728ce-e0b9-4443-a7af-1d925908cca4"/>
    <s v="failed"/>
    <x v="0"/>
    <s v="2022-12-23T16:52:24.788000+00:00"/>
    <n v="75"/>
    <n v="39"/>
    <n v="0.52"/>
    <x v="233"/>
    <x v="2"/>
    <s v="44"/>
    <s v="URL"/>
    <x v="1"/>
    <x v="1"/>
    <m/>
    <m/>
    <x v="0"/>
    <m/>
    <m/>
    <x v="89"/>
    <m/>
  </r>
  <r>
    <s v="63480ae8-c985-4eef-a90f-3fbcc03dd562"/>
    <x v="2"/>
    <s v="71d728ce-e0b9-4443-a7af-1d925908cca4"/>
    <s v="failed"/>
    <x v="22"/>
    <s v="2022-12-23T18:02:53.631000+00:00"/>
    <n v="75"/>
    <n v="56"/>
    <n v="0.7466666666666667"/>
    <x v="234"/>
    <x v="2"/>
    <s v="44"/>
    <s v="URL"/>
    <x v="6"/>
    <x v="6"/>
    <m/>
    <m/>
    <x v="0"/>
    <m/>
    <m/>
    <x v="89"/>
    <m/>
  </r>
  <r>
    <s v="9bcfe38c-5e00-466a-b1e5-e6ff4b7bccd1"/>
    <x v="1"/>
    <s v="524da1fa-5abf-4974-b796-b299a633d2e3"/>
    <s v="stopped"/>
    <x v="0"/>
    <s v="2022-12-23T18:31:25.052000+00:00"/>
    <n v="202"/>
    <n v="15"/>
    <n v="7.4257425742574254E-2"/>
    <x v="235"/>
    <x v="1"/>
    <s v="47"/>
    <s v="URL"/>
    <x v="3"/>
    <x v="3"/>
    <m/>
    <m/>
    <x v="0"/>
    <m/>
    <m/>
    <x v="89"/>
    <m/>
  </r>
  <r>
    <m/>
    <x v="3"/>
    <s v="06e77fd6-3b02-4a9e-8c19-5b6d8f600d77"/>
    <s v="completed"/>
    <x v="3"/>
    <s v="2022-12-23T23:33:09.532000+00:00"/>
    <n v="101"/>
    <n v="101"/>
    <n v="1"/>
    <x v="4"/>
    <x v="1"/>
    <s v="48"/>
    <m/>
    <x v="2"/>
    <x v="2"/>
    <m/>
    <m/>
    <x v="0"/>
    <m/>
    <m/>
    <x v="89"/>
    <m/>
  </r>
  <r>
    <s v="7c6c09f3-7530-4e72-a43b-379345e90b12"/>
    <x v="1"/>
    <s v="524da1fa-5abf-4974-b796-b299a633d2e3"/>
    <s v="stopped"/>
    <x v="0"/>
    <s v="2022-12-24T07:24:27.317000+00:00"/>
    <n v="202"/>
    <n v="68"/>
    <n v="0.33663366336633666"/>
    <x v="236"/>
    <x v="1"/>
    <s v="47"/>
    <s v="URL"/>
    <x v="18"/>
    <x v="18"/>
    <m/>
    <m/>
    <x v="0"/>
    <m/>
    <m/>
    <x v="90"/>
    <m/>
  </r>
  <r>
    <m/>
    <x v="3"/>
    <s v="5d1fdd1e-7ce5-4bf6-9144-9ac986ca4e4f"/>
    <s v="completed"/>
    <x v="0"/>
    <s v="2022-12-26T18:26:29.907000+00:00"/>
    <n v="103"/>
    <n v="48"/>
    <n v="0.46601941747572817"/>
    <x v="193"/>
    <x v="3"/>
    <s v="47"/>
    <m/>
    <x v="1"/>
    <x v="1"/>
    <m/>
    <m/>
    <x v="0"/>
    <m/>
    <m/>
    <x v="91"/>
    <m/>
  </r>
  <r>
    <m/>
    <x v="3"/>
    <s v="5d1fdd1e-7ce5-4bf6-9144-9ac986ca4e4f"/>
    <s v="completed"/>
    <x v="3"/>
    <s v="2022-12-26T21:54:27.072000+00:00"/>
    <n v="103"/>
    <n v="102"/>
    <n v="0.99029126213592233"/>
    <x v="4"/>
    <x v="3"/>
    <s v="47"/>
    <m/>
    <x v="2"/>
    <x v="2"/>
    <m/>
    <m/>
    <x v="0"/>
    <m/>
    <m/>
    <x v="91"/>
    <m/>
  </r>
  <r>
    <s v="3ce851db-6c16-4c5c-8f5b-5259cc66a994"/>
    <x v="2"/>
    <s v="0eb64c35-22a4-4d5c-9352-c84ec7c9837a"/>
    <s v="completed"/>
    <x v="0"/>
    <s v="2022-12-28T15:03:55.092000+00:00"/>
    <n v="140"/>
    <n v="3"/>
    <n v="2.1428571428571429E-2"/>
    <x v="237"/>
    <x v="2"/>
    <s v="43"/>
    <s v="URL"/>
    <x v="1"/>
    <x v="1"/>
    <m/>
    <m/>
    <x v="0"/>
    <m/>
    <m/>
    <x v="92"/>
    <m/>
  </r>
  <r>
    <s v="97996da6-74d5-4cf8-a76b-7d10d6f4acd5"/>
    <x v="2"/>
    <s v="0eb64c35-22a4-4d5c-9352-c84ec7c9837a"/>
    <s v="completed"/>
    <x v="0"/>
    <s v="2022-12-28T16:07:18.713000+00:00"/>
    <n v="140"/>
    <n v="18"/>
    <n v="0.12857142857142856"/>
    <x v="42"/>
    <x v="2"/>
    <s v="43"/>
    <s v="URL"/>
    <x v="22"/>
    <x v="22"/>
    <m/>
    <m/>
    <x v="0"/>
    <m/>
    <m/>
    <x v="92"/>
    <m/>
  </r>
  <r>
    <m/>
    <x v="2"/>
    <s v="0eb64c35-22a4-4d5c-9352-c84ec7c9837a"/>
    <s v="completed"/>
    <x v="3"/>
    <s v="2022-12-29T00:48:07.136000+00:00"/>
    <n v="140"/>
    <n v="138"/>
    <n v="0.98571428571428577"/>
    <x v="4"/>
    <x v="2"/>
    <s v="43"/>
    <m/>
    <x v="2"/>
    <x v="2"/>
    <m/>
    <m/>
    <x v="0"/>
    <m/>
    <m/>
    <x v="93"/>
    <m/>
  </r>
  <r>
    <m/>
    <x v="2"/>
    <s v="1b373d9c-5b30-4097-a79b-d8a47478af2c"/>
    <s v="completed"/>
    <x v="0"/>
    <s v="2022-12-29T06:45:38.133000+00:00"/>
    <n v="61"/>
    <n v="16"/>
    <n v="0.26229508196721313"/>
    <x v="33"/>
    <x v="0"/>
    <s v="43"/>
    <m/>
    <x v="22"/>
    <x v="22"/>
    <m/>
    <m/>
    <x v="0"/>
    <m/>
    <m/>
    <x v="93"/>
    <m/>
  </r>
  <r>
    <m/>
    <x v="2"/>
    <s v="1b373d9c-5b30-4097-a79b-d8a47478af2c"/>
    <s v="completed"/>
    <x v="0"/>
    <s v="2022-12-29T07:24:59.741000+00:00"/>
    <n v="61"/>
    <n v="26"/>
    <n v="0.42622950819672129"/>
    <x v="122"/>
    <x v="0"/>
    <s v="43"/>
    <m/>
    <x v="22"/>
    <x v="22"/>
    <m/>
    <m/>
    <x v="0"/>
    <m/>
    <m/>
    <x v="93"/>
    <m/>
  </r>
  <r>
    <m/>
    <x v="0"/>
    <s v="b0bb9385-2b56-4d73-860f-ba30b5376589"/>
    <s v="stopped"/>
    <x v="3"/>
    <s v="2022-12-29T07:48:32.010000+00:00"/>
    <n v="61"/>
    <n v="31"/>
    <n v="0.50819672131147542"/>
    <x v="4"/>
    <x v="0"/>
    <s v="43"/>
    <m/>
    <x v="2"/>
    <x v="2"/>
    <m/>
    <m/>
    <x v="0"/>
    <m/>
    <m/>
    <x v="93"/>
    <m/>
  </r>
  <r>
    <m/>
    <x v="2"/>
    <s v="1b373d9c-5b30-4097-a79b-d8a47478af2c"/>
    <s v="completed"/>
    <x v="3"/>
    <s v="2022-12-29T09:42:51.654000+00:00"/>
    <n v="61"/>
    <n v="59"/>
    <n v="0.96721311475409832"/>
    <x v="4"/>
    <x v="0"/>
    <s v="43"/>
    <m/>
    <x v="2"/>
    <x v="2"/>
    <m/>
    <m/>
    <x v="0"/>
    <m/>
    <m/>
    <x v="93"/>
    <m/>
  </r>
  <r>
    <m/>
    <x v="2"/>
    <s v="e2bb4bdd-d564-471e-90ed-88958592c7b8"/>
    <s v="completed"/>
    <x v="3"/>
    <s v="2022-12-29T15:22:49.419000+00:00"/>
    <n v="2"/>
    <n v="2"/>
    <n v="1"/>
    <x v="4"/>
    <x v="0"/>
    <s v="44"/>
    <m/>
    <x v="2"/>
    <x v="2"/>
    <m/>
    <m/>
    <x v="0"/>
    <m/>
    <m/>
    <x v="93"/>
    <m/>
  </r>
  <r>
    <s v="27b0eb4d-c075-45d6-b74c-51741c445423"/>
    <x v="0"/>
    <s v="f08bd089-cacf-4ecb-9b24-4928dbb8a015"/>
    <s v="failed"/>
    <x v="42"/>
    <s v="2022-12-29T15:31:28.265000+00:00"/>
    <n v="122"/>
    <n v="5"/>
    <n v="4.0983606557377046E-2"/>
    <x v="238"/>
    <x v="0"/>
    <s v="43"/>
    <s v="URL"/>
    <x v="7"/>
    <x v="7"/>
    <m/>
    <m/>
    <x v="0"/>
    <m/>
    <m/>
    <x v="93"/>
    <m/>
  </r>
  <r>
    <s v="74e8d90f-e333-411d-b202-c1421be01470"/>
    <x v="0"/>
    <s v="357c19d9-3906-4509-a092-452dccce43f1"/>
    <s v="failed"/>
    <x v="0"/>
    <s v="2022-12-29T17:12:19.682000+00:00"/>
    <n v="117"/>
    <n v="21"/>
    <n v="0.17948717948717949"/>
    <x v="239"/>
    <x v="0"/>
    <s v="43"/>
    <s v="URL"/>
    <x v="22"/>
    <x v="22"/>
    <m/>
    <m/>
    <x v="0"/>
    <m/>
    <m/>
    <x v="93"/>
    <m/>
  </r>
  <r>
    <s v="f466cf4f-ab0e-4661-8b80-f1b9b55deb83"/>
    <x v="0"/>
    <s v="357c19d9-3906-4509-a092-452dccce43f1"/>
    <s v="failed"/>
    <x v="0"/>
    <s v="2022-12-29T17:22:57.884000+00:00"/>
    <n v="117"/>
    <n v="24"/>
    <n v="0.20512820512820512"/>
    <x v="164"/>
    <x v="0"/>
    <s v="43"/>
    <s v="URL"/>
    <x v="1"/>
    <x v="1"/>
    <m/>
    <m/>
    <x v="0"/>
    <m/>
    <m/>
    <x v="93"/>
    <m/>
  </r>
  <r>
    <s v="ce62c493-b28b-4d7b-95ac-57d32b562f47"/>
    <x v="2"/>
    <s v="d0a72a9a-ee03-4cbd-aff8-2d3c983c554c"/>
    <s v="completed"/>
    <x v="0"/>
    <s v="2022-12-29T17:50:13.632000+00:00"/>
    <n v="146"/>
    <n v="32"/>
    <n v="0.21917808219178081"/>
    <x v="8"/>
    <x v="0"/>
    <s v="44"/>
    <s v="URL"/>
    <x v="22"/>
    <x v="22"/>
    <m/>
    <m/>
    <x v="0"/>
    <m/>
    <m/>
    <x v="93"/>
    <m/>
  </r>
  <r>
    <s v="7f937e24-7bcf-4d42-856a-488d79fac4e2"/>
    <x v="2"/>
    <s v="d0a72a9a-ee03-4cbd-aff8-2d3c983c554c"/>
    <s v="completed"/>
    <x v="0"/>
    <s v="2022-12-29T18:18:24.809000+00:00"/>
    <n v="146"/>
    <n v="39"/>
    <n v="0.26712328767123289"/>
    <x v="240"/>
    <x v="0"/>
    <s v="44"/>
    <s v="URL"/>
    <x v="22"/>
    <x v="22"/>
    <m/>
    <m/>
    <x v="0"/>
    <m/>
    <m/>
    <x v="93"/>
    <m/>
  </r>
  <r>
    <s v="010c2e9f-37c8-4c11-822a-94a43b6606cc"/>
    <x v="2"/>
    <s v="d0a72a9a-ee03-4cbd-aff8-2d3c983c554c"/>
    <s v="completed"/>
    <x v="0"/>
    <s v="2022-12-29T18:37:37.613000+00:00"/>
    <n v="146"/>
    <n v="44"/>
    <n v="0.30136986301369861"/>
    <x v="230"/>
    <x v="0"/>
    <s v="44"/>
    <s v="URL"/>
    <x v="18"/>
    <x v="18"/>
    <m/>
    <m/>
    <x v="0"/>
    <m/>
    <m/>
    <x v="93"/>
    <m/>
  </r>
  <r>
    <s v="993de0fe-06c5-4c97-a2ff-f2f7c2d78cd6"/>
    <x v="2"/>
    <s v="d0a72a9a-ee03-4cbd-aff8-2d3c983c554c"/>
    <s v="completed"/>
    <x v="0"/>
    <s v="2022-12-29T19:34:23.137000+00:00"/>
    <n v="146"/>
    <n v="57"/>
    <n v="0.3904109589041096"/>
    <x v="241"/>
    <x v="0"/>
    <s v="44"/>
    <s v="URL"/>
    <x v="1"/>
    <x v="1"/>
    <m/>
    <m/>
    <x v="0"/>
    <m/>
    <m/>
    <x v="93"/>
    <m/>
  </r>
  <r>
    <s v="77b5bbcf-8598-4e7d-b786-215a63948e91"/>
    <x v="2"/>
    <s v="d0a72a9a-ee03-4cbd-aff8-2d3c983c554c"/>
    <s v="completed"/>
    <x v="0"/>
    <s v="2022-12-29T20:28:15.334000+00:00"/>
    <n v="146"/>
    <n v="70"/>
    <n v="0.47945205479452052"/>
    <x v="227"/>
    <x v="0"/>
    <s v="44"/>
    <s v="URL"/>
    <x v="22"/>
    <x v="22"/>
    <m/>
    <m/>
    <x v="0"/>
    <m/>
    <m/>
    <x v="93"/>
    <m/>
  </r>
  <r>
    <s v="69d522ab-9d4d-4ad8-b12e-1249afdfe973"/>
    <x v="0"/>
    <s v="357c19d9-3906-4509-a092-452dccce43f1"/>
    <s v="failed"/>
    <x v="0"/>
    <s v="2022-12-29T20:32:14.618000+00:00"/>
    <n v="117"/>
    <n v="67"/>
    <n v="0.57264957264957261"/>
    <x v="21"/>
    <x v="0"/>
    <s v="43"/>
    <s v="URL"/>
    <x v="1"/>
    <x v="1"/>
    <m/>
    <m/>
    <x v="0"/>
    <m/>
    <m/>
    <x v="93"/>
    <m/>
  </r>
  <r>
    <s v="69d522ab-9d4d-4ad8-b12e-1249afdfe973"/>
    <x v="0"/>
    <s v="357c19d9-3906-4509-a092-452dccce43f1"/>
    <s v="failed"/>
    <x v="20"/>
    <s v="2022-12-29T20:32:14.618000+00:00"/>
    <n v="117"/>
    <n v="68"/>
    <n v="0.58119658119658124"/>
    <x v="242"/>
    <x v="0"/>
    <s v="43"/>
    <s v="URL"/>
    <x v="19"/>
    <x v="19"/>
    <m/>
    <m/>
    <x v="0"/>
    <m/>
    <m/>
    <x v="93"/>
    <m/>
  </r>
  <r>
    <s v="a99e0627-95f1-4df9-9e49-2d3bd9be355e"/>
    <x v="2"/>
    <s v="d0a72a9a-ee03-4cbd-aff8-2d3c983c554c"/>
    <s v="completed"/>
    <x v="0"/>
    <s v="2022-12-29T23:06:20.802000+00:00"/>
    <n v="146"/>
    <n v="107"/>
    <n v="0.73287671232876717"/>
    <x v="243"/>
    <x v="0"/>
    <s v="44"/>
    <s v="URL"/>
    <x v="22"/>
    <x v="22"/>
    <m/>
    <m/>
    <x v="0"/>
    <m/>
    <m/>
    <x v="93"/>
    <m/>
  </r>
  <r>
    <s v="0cdb1466-5dba-46a5-926d-60ae0c49efd5"/>
    <x v="2"/>
    <s v="d0a72a9a-ee03-4cbd-aff8-2d3c983c554c"/>
    <s v="completed"/>
    <x v="0"/>
    <s v="2022-12-30T01:36:19.487000+00:00"/>
    <n v="146"/>
    <n v="142"/>
    <n v="0.9726027397260274"/>
    <x v="244"/>
    <x v="0"/>
    <s v="44"/>
    <s v="URL"/>
    <x v="22"/>
    <x v="22"/>
    <m/>
    <m/>
    <x v="0"/>
    <m/>
    <m/>
    <x v="94"/>
    <m/>
  </r>
  <r>
    <m/>
    <x v="2"/>
    <s v="d0a72a9a-ee03-4cbd-aff8-2d3c983c554c"/>
    <s v="completed"/>
    <x v="3"/>
    <s v="2022-12-30T01:44:59.096000+00:00"/>
    <n v="146"/>
    <n v="139"/>
    <n v="0.95205479452054798"/>
    <x v="4"/>
    <x v="0"/>
    <s v="44"/>
    <m/>
    <x v="2"/>
    <x v="2"/>
    <m/>
    <m/>
    <x v="0"/>
    <m/>
    <m/>
    <x v="94"/>
    <m/>
  </r>
  <r>
    <s v="169c8977-2732-4cd8-8548-47184fb77135"/>
    <x v="0"/>
    <s v="bac6d53b-804d-4d18-b8d9-e5bee7d78546"/>
    <s v="failed"/>
    <x v="0"/>
    <s v="2022-12-30T06:59:47.426000+00:00"/>
    <n v="48"/>
    <n v="18"/>
    <n v="0.375"/>
    <x v="162"/>
    <x v="0"/>
    <s v="43"/>
    <s v="URL"/>
    <x v="22"/>
    <x v="22"/>
    <m/>
    <m/>
    <x v="0"/>
    <m/>
    <m/>
    <x v="94"/>
    <m/>
  </r>
  <r>
    <s v="10789736-f02d-4d52-a9f9-6996172bcd6c"/>
    <x v="0"/>
    <s v="bac6d53b-804d-4d18-b8d9-e5bee7d78546"/>
    <s v="failed"/>
    <x v="0"/>
    <s v="2022-12-30T07:14:10.978000+00:00"/>
    <n v="48"/>
    <n v="22"/>
    <n v="0.45833333333333331"/>
    <x v="214"/>
    <x v="0"/>
    <s v="43"/>
    <s v="URL"/>
    <x v="1"/>
    <x v="1"/>
    <m/>
    <m/>
    <x v="0"/>
    <m/>
    <m/>
    <x v="94"/>
    <m/>
  </r>
  <r>
    <s v="03e8a7df-89f5-4182-8d13-6f726841a0d0"/>
    <x v="0"/>
    <s v="bac6d53b-804d-4d18-b8d9-e5bee7d78546"/>
    <s v="failed"/>
    <x v="25"/>
    <s v="2022-12-30T08:54:01.638000+00:00"/>
    <n v="48"/>
    <n v="46"/>
    <n v="0.95833333333333337"/>
    <x v="17"/>
    <x v="0"/>
    <s v="43"/>
    <s v="URL"/>
    <x v="5"/>
    <x v="5"/>
    <m/>
    <m/>
    <x v="0"/>
    <m/>
    <m/>
    <x v="94"/>
    <m/>
  </r>
  <r>
    <s v="47e91e14-1d8a-4a28-9d18-ab79a9f6cede"/>
    <x v="4"/>
    <s v="a7f7ec64-53a4-4676-a09a-6278705cb150"/>
    <s v="failed"/>
    <x v="33"/>
    <s v="2022-12-30T12:06:56.436000+00:00"/>
    <n v="134"/>
    <n v="25"/>
    <n v="0.18656716417910449"/>
    <x v="245"/>
    <x v="5"/>
    <s v="14"/>
    <s v="URL"/>
    <x v="17"/>
    <x v="17"/>
    <m/>
    <m/>
    <x v="0"/>
    <m/>
    <m/>
    <x v="94"/>
    <m/>
  </r>
  <r>
    <m/>
    <x v="2"/>
    <s v="c59010c9-2658-4eb8-aa34-d9e568e9a102"/>
    <s v="completed"/>
    <x v="3"/>
    <s v="2022-12-31T06:58:53.340000+00:00"/>
    <n v="2"/>
    <n v="2"/>
    <n v="1"/>
    <x v="4"/>
    <x v="2"/>
    <s v="44"/>
    <m/>
    <x v="2"/>
    <x v="2"/>
    <m/>
    <m/>
    <x v="0"/>
    <m/>
    <m/>
    <x v="95"/>
    <m/>
  </r>
  <r>
    <s v="df23fdc7-e12d-4500-ae2b-42462df120cc"/>
    <x v="2"/>
    <s v="26a346cd-71f3-4ba7-a899-4c9ed028eb35"/>
    <s v="failed"/>
    <x v="23"/>
    <s v="2022-12-31T07:21:06.175000+00:00"/>
    <n v="10"/>
    <n v="4"/>
    <n v="0.4"/>
    <x v="246"/>
    <x v="2"/>
    <s v="44"/>
    <s v="URL"/>
    <x v="16"/>
    <x v="16"/>
    <m/>
    <m/>
    <x v="0"/>
    <m/>
    <m/>
    <x v="95"/>
    <m/>
  </r>
  <r>
    <s v="ee185ebc-beb9-40e8-b8ee-437a99855df0"/>
    <x v="2"/>
    <s v="52f7d884-6c65-4c8b-9f5e-0573dff98970"/>
    <s v="completed"/>
    <x v="0"/>
    <s v="2022-12-31T16:55:31.095000+00:00"/>
    <n v="141"/>
    <n v="17"/>
    <n v="0.12056737588652482"/>
    <x v="247"/>
    <x v="2"/>
    <s v="44"/>
    <s v="URL"/>
    <x v="18"/>
    <x v="18"/>
    <m/>
    <m/>
    <x v="0"/>
    <m/>
    <m/>
    <x v="95"/>
    <m/>
  </r>
  <r>
    <s v="1c66fbcd-a043-4081-9750-42ecad8dce9d"/>
    <x v="2"/>
    <s v="52f7d884-6c65-4c8b-9f5e-0573dff98970"/>
    <s v="completed"/>
    <x v="0"/>
    <s v="2022-12-31T17:53:24.856000+00:00"/>
    <n v="141"/>
    <n v="31"/>
    <n v="0.21985815602836881"/>
    <x v="248"/>
    <x v="2"/>
    <s v="44"/>
    <s v="URL"/>
    <x v="22"/>
    <x v="22"/>
    <m/>
    <m/>
    <x v="0"/>
    <m/>
    <m/>
    <x v="95"/>
    <m/>
  </r>
  <r>
    <s v="e555ada4-f8df-4740-9191-b44782dd8c93"/>
    <x v="2"/>
    <s v="52f7d884-6c65-4c8b-9f5e-0573dff98970"/>
    <s v="completed"/>
    <x v="0"/>
    <s v="2022-12-31T19:12:28.303000+00:00"/>
    <n v="141"/>
    <n v="50"/>
    <n v="0.3546099290780142"/>
    <x v="249"/>
    <x v="2"/>
    <s v="44"/>
    <s v="URL"/>
    <x v="22"/>
    <x v="22"/>
    <m/>
    <m/>
    <x v="0"/>
    <m/>
    <m/>
    <x v="95"/>
    <m/>
  </r>
  <r>
    <s v="62f4c927-939d-48a5-914e-de91bb09aa87"/>
    <x v="2"/>
    <s v="52f7d884-6c65-4c8b-9f5e-0573dff98970"/>
    <s v="completed"/>
    <x v="0"/>
    <s v="2022-12-31T19:44:07.010000+00:00"/>
    <n v="141"/>
    <n v="58"/>
    <n v="0.41134751773049644"/>
    <x v="250"/>
    <x v="2"/>
    <s v="44"/>
    <s v="URL"/>
    <x v="22"/>
    <x v="22"/>
    <m/>
    <m/>
    <x v="0"/>
    <m/>
    <m/>
    <x v="95"/>
    <m/>
  </r>
  <r>
    <s v="48349836-69b0-4350-9ccf-66452c8fea9b"/>
    <x v="2"/>
    <s v="52f7d884-6c65-4c8b-9f5e-0573dff98970"/>
    <s v="completed"/>
    <x v="0"/>
    <s v="2022-12-31T20:01:19.075000+00:00"/>
    <n v="141"/>
    <n v="62"/>
    <n v="0.43971631205673761"/>
    <x v="251"/>
    <x v="2"/>
    <s v="44"/>
    <s v="URL"/>
    <x v="14"/>
    <x v="14"/>
    <m/>
    <m/>
    <x v="0"/>
    <m/>
    <m/>
    <x v="95"/>
    <m/>
  </r>
  <r>
    <s v="9f897a60-3b92-4b42-b20c-c493e2ba419a"/>
    <x v="2"/>
    <s v="52f7d884-6c65-4c8b-9f5e-0573dff98970"/>
    <s v="completed"/>
    <x v="0"/>
    <s v="2022-12-31T20:07:25.347000+00:00"/>
    <n v="141"/>
    <n v="64"/>
    <n v="0.45390070921985815"/>
    <x v="252"/>
    <x v="2"/>
    <s v="44"/>
    <s v="URL"/>
    <x v="18"/>
    <x v="18"/>
    <m/>
    <m/>
    <x v="0"/>
    <m/>
    <m/>
    <x v="95"/>
    <m/>
  </r>
  <r>
    <s v="5f3661b9-7cda-47d7-a532-5d07abfeeb48"/>
    <x v="2"/>
    <s v="52f7d884-6c65-4c8b-9f5e-0573dff98970"/>
    <s v="completed"/>
    <x v="0"/>
    <s v="2022-12-31T20:08:52.139000+00:00"/>
    <n v="141"/>
    <n v="65"/>
    <n v="0.46099290780141844"/>
    <x v="231"/>
    <x v="2"/>
    <s v="44"/>
    <s v="URL"/>
    <x v="25"/>
    <x v="25"/>
    <m/>
    <m/>
    <x v="0"/>
    <m/>
    <m/>
    <x v="95"/>
    <m/>
  </r>
  <r>
    <s v="b7bae5bb-60e2-4713-8c0f-ab005676a7e2"/>
    <x v="0"/>
    <s v="54b53eae-063c-4bef-9042-4983e4e180a6"/>
    <s v="completed"/>
    <x v="0"/>
    <s v="2022-12-31T22:53:32.863000+00:00"/>
    <n v="139"/>
    <n v="98"/>
    <n v="0.70503597122302153"/>
    <x v="94"/>
    <x v="2"/>
    <s v="43"/>
    <s v="URL"/>
    <x v="22"/>
    <x v="22"/>
    <m/>
    <m/>
    <x v="0"/>
    <m/>
    <m/>
    <x v="95"/>
    <m/>
  </r>
  <r>
    <s v="c78b6a59-adae-46a9-b7da-9224800e496a"/>
    <x v="0"/>
    <s v="54b53eae-063c-4bef-9042-4983e4e180a6"/>
    <s v="completed"/>
    <x v="0"/>
    <s v="2022-12-31T23:12:09.858000+00:00"/>
    <n v="139"/>
    <n v="103"/>
    <n v="0.74100719424460426"/>
    <x v="253"/>
    <x v="2"/>
    <s v="43"/>
    <s v="URL"/>
    <x v="25"/>
    <x v="25"/>
    <m/>
    <m/>
    <x v="0"/>
    <m/>
    <m/>
    <x v="95"/>
    <m/>
  </r>
  <r>
    <m/>
    <x v="2"/>
    <s v="52f7d884-6c65-4c8b-9f5e-0573dff98970"/>
    <s v="completed"/>
    <x v="3"/>
    <s v="2023-01-01T01:23:57.775000+00:00"/>
    <n v="141"/>
    <n v="134"/>
    <n v="0.95035460992907805"/>
    <x v="4"/>
    <x v="2"/>
    <s v="44"/>
    <m/>
    <x v="2"/>
    <x v="2"/>
    <m/>
    <m/>
    <x v="0"/>
    <m/>
    <m/>
    <x v="96"/>
    <m/>
  </r>
  <r>
    <m/>
    <x v="0"/>
    <s v="54b53eae-063c-4bef-9042-4983e4e180a6"/>
    <s v="completed"/>
    <x v="3"/>
    <s v="2023-01-01T01:36:29.278000+00:00"/>
    <n v="139"/>
    <n v="137"/>
    <n v="0.98561151079136688"/>
    <x v="4"/>
    <x v="2"/>
    <s v="43"/>
    <m/>
    <x v="2"/>
    <x v="2"/>
    <m/>
    <m/>
    <x v="0"/>
    <m/>
    <m/>
    <x v="96"/>
    <m/>
  </r>
  <r>
    <s v="73ad4746-fec5-4bf0-8d6a-3561666bf926"/>
    <x v="0"/>
    <s v="a81806c2-da07-43ed-9375-c2a03bca7b2a"/>
    <s v="failed"/>
    <x v="0"/>
    <s v="2023-01-01T16:45:43.363000+00:00"/>
    <n v="153"/>
    <n v="17"/>
    <n v="0.1111111111111111"/>
    <x v="254"/>
    <x v="0"/>
    <s v="43"/>
    <s v="URL"/>
    <x v="3"/>
    <x v="3"/>
    <m/>
    <m/>
    <x v="0"/>
    <m/>
    <m/>
    <x v="96"/>
    <m/>
  </r>
  <r>
    <s v="ec554471-a008-4e01-a433-2b4d97e62204"/>
    <x v="2"/>
    <s v="752c171b-c862-4b83-b080-0cf827a55b7d"/>
    <s v="completed"/>
    <x v="0"/>
    <s v="2023-01-01T17:14:42.864000+00:00"/>
    <n v="147"/>
    <n v="23"/>
    <n v="0.15646258503401361"/>
    <x v="255"/>
    <x v="0"/>
    <s v="44"/>
    <s v="URL"/>
    <x v="3"/>
    <x v="3"/>
    <m/>
    <m/>
    <x v="0"/>
    <m/>
    <m/>
    <x v="96"/>
    <m/>
  </r>
  <r>
    <s v="2d817781-4f43-4051-b6e4-593c66ee5eb5"/>
    <x v="0"/>
    <s v="a81806c2-da07-43ed-9375-c2a03bca7b2a"/>
    <s v="failed"/>
    <x v="42"/>
    <s v="2023-01-01T17:55:20.622000+00:00"/>
    <n v="153"/>
    <n v="33"/>
    <n v="0.21568627450980393"/>
    <x v="15"/>
    <x v="0"/>
    <s v="43"/>
    <s v="URL"/>
    <x v="7"/>
    <x v="7"/>
    <m/>
    <m/>
    <x v="0"/>
    <m/>
    <m/>
    <x v="96"/>
    <m/>
  </r>
  <r>
    <s v="36e48817-c6d2-4d78-a9a4-8604a43c528b"/>
    <x v="2"/>
    <s v="752c171b-c862-4b83-b080-0cf827a55b7d"/>
    <s v="completed"/>
    <x v="0"/>
    <s v="2023-01-01T18:28:58.093000+00:00"/>
    <n v="147"/>
    <n v="40"/>
    <n v="0.27210884353741499"/>
    <x v="240"/>
    <x v="0"/>
    <s v="44"/>
    <s v="URL"/>
    <x v="22"/>
    <x v="22"/>
    <m/>
    <m/>
    <x v="0"/>
    <m/>
    <m/>
    <x v="96"/>
    <m/>
  </r>
  <r>
    <s v="422b7460-9829-446c-b2ca-584df9bdc094"/>
    <x v="2"/>
    <s v="752c171b-c862-4b83-b080-0cf827a55b7d"/>
    <s v="completed"/>
    <x v="0"/>
    <s v="2023-01-01T18:48:06.467000+00:00"/>
    <n v="147"/>
    <n v="45"/>
    <n v="0.30612244897959184"/>
    <x v="230"/>
    <x v="0"/>
    <s v="44"/>
    <s v="URL"/>
    <x v="18"/>
    <x v="18"/>
    <m/>
    <m/>
    <x v="0"/>
    <m/>
    <m/>
    <x v="96"/>
    <m/>
  </r>
  <r>
    <s v="4a8a8650-1e77-4861-8af4-66ee2abb2317"/>
    <x v="2"/>
    <s v="752c171b-c862-4b83-b080-0cf827a55b7d"/>
    <s v="completed"/>
    <x v="0"/>
    <s v="2023-01-01T21:05:56.588000+00:00"/>
    <n v="147"/>
    <n v="77"/>
    <n v="0.52380952380952384"/>
    <x v="256"/>
    <x v="0"/>
    <s v="44"/>
    <s v="URL"/>
    <x v="22"/>
    <x v="22"/>
    <m/>
    <m/>
    <x v="0"/>
    <m/>
    <m/>
    <x v="96"/>
    <m/>
  </r>
  <r>
    <s v="b61d4b96-b3dd-4bd4-8155-431fbdc3927c"/>
    <x v="2"/>
    <s v="752c171b-c862-4b83-b080-0cf827a55b7d"/>
    <s v="completed"/>
    <x v="0"/>
    <s v="2023-01-01T23:19:20.910000+00:00"/>
    <n v="147"/>
    <n v="108"/>
    <n v="0.73469387755102045"/>
    <x v="243"/>
    <x v="0"/>
    <s v="44"/>
    <s v="URL"/>
    <x v="22"/>
    <x v="22"/>
    <m/>
    <m/>
    <x v="0"/>
    <m/>
    <m/>
    <x v="96"/>
    <m/>
  </r>
  <r>
    <s v="3ad1d175-4110-4594-8eb7-885b91c61d3c"/>
    <x v="2"/>
    <s v="752c171b-c862-4b83-b080-0cf827a55b7d"/>
    <s v="completed"/>
    <x v="0"/>
    <s v="2023-01-02T01:50:15.025000+00:00"/>
    <n v="147"/>
    <n v="143"/>
    <n v="0.97278911564625847"/>
    <x v="244"/>
    <x v="0"/>
    <s v="44"/>
    <s v="URL"/>
    <x v="22"/>
    <x v="22"/>
    <m/>
    <m/>
    <x v="0"/>
    <m/>
    <m/>
    <x v="97"/>
    <m/>
  </r>
  <r>
    <m/>
    <x v="2"/>
    <s v="752c171b-c862-4b83-b080-0cf827a55b7d"/>
    <s v="completed"/>
    <x v="3"/>
    <s v="2023-01-02T01:58:48.898000+00:00"/>
    <n v="147"/>
    <n v="141"/>
    <n v="0.95918367346938771"/>
    <x v="4"/>
    <x v="0"/>
    <s v="44"/>
    <m/>
    <x v="2"/>
    <x v="2"/>
    <m/>
    <m/>
    <x v="0"/>
    <m/>
    <m/>
    <x v="97"/>
    <m/>
  </r>
  <r>
    <m/>
    <x v="0"/>
    <s v="de47dbdd-f3b6-4dd2-8341-c68ed1e50a75"/>
    <s v="failed"/>
    <x v="20"/>
    <s v="2023-01-02T05:38:25.641000+00:00"/>
    <n v="11"/>
    <n v="0"/>
    <n v="0"/>
    <x v="15"/>
    <x v="0"/>
    <s v="43"/>
    <m/>
    <x v="19"/>
    <x v="19"/>
    <m/>
    <m/>
    <x v="0"/>
    <m/>
    <m/>
    <x v="97"/>
    <m/>
  </r>
  <r>
    <m/>
    <x v="0"/>
    <s v="7a23d1d3-57ba-4bb7-90bc-038121bb5945"/>
    <s v="completed"/>
    <x v="3"/>
    <s v="2023-01-02T06:33:09.658000+00:00"/>
    <n v="13"/>
    <n v="13"/>
    <n v="1"/>
    <x v="4"/>
    <x v="0"/>
    <s v="43"/>
    <m/>
    <x v="2"/>
    <x v="2"/>
    <m/>
    <m/>
    <x v="0"/>
    <m/>
    <m/>
    <x v="97"/>
    <m/>
  </r>
  <r>
    <m/>
    <x v="4"/>
    <s v="91a5dc34-d99d-4b2d-900b-64d327f693d8"/>
    <s v="stopped"/>
    <x v="33"/>
    <s v="2023-01-02T10:08:04.289000+00:00"/>
    <n v="94"/>
    <n v="1"/>
    <n v="1.0638297872340425E-2"/>
    <x v="152"/>
    <x v="5"/>
    <s v="14"/>
    <m/>
    <x v="26"/>
    <x v="26"/>
    <m/>
    <m/>
    <x v="0"/>
    <m/>
    <m/>
    <x v="97"/>
    <m/>
  </r>
  <r>
    <s v="35bcb503-bcbc-4e3e-bac2-c0c68889c14c"/>
    <x v="4"/>
    <s v="5e7dd57f-ac7e-470a-bd52-441308856c4e"/>
    <s v="completed"/>
    <x v="0"/>
    <s v="2023-01-02T12:03:50.783000+00:00"/>
    <n v="58"/>
    <n v="1"/>
    <n v="1.7241379310344827E-2"/>
    <x v="257"/>
    <x v="5"/>
    <s v="14"/>
    <s v="URL"/>
    <x v="16"/>
    <x v="16"/>
    <m/>
    <m/>
    <x v="0"/>
    <m/>
    <m/>
    <x v="97"/>
    <m/>
  </r>
  <r>
    <m/>
    <x v="4"/>
    <s v="5e7dd57f-ac7e-470a-bd52-441308856c4e"/>
    <s v="completed"/>
    <x v="3"/>
    <s v="2023-01-02T14:23:05.424000+00:00"/>
    <n v="58"/>
    <n v="57"/>
    <n v="0.98275862068965514"/>
    <x v="4"/>
    <x v="5"/>
    <s v="14"/>
    <m/>
    <x v="2"/>
    <x v="2"/>
    <m/>
    <m/>
    <x v="0"/>
    <m/>
    <m/>
    <x v="97"/>
    <m/>
  </r>
  <r>
    <m/>
    <x v="2"/>
    <s v="05e8624f-a246-4865-9a35-446ef7cc6f1e"/>
    <s v="failed"/>
    <x v="23"/>
    <s v="2023-01-02T16:26:08.606000+00:00"/>
    <n v="147"/>
    <n v="5"/>
    <n v="3.4013605442176874E-2"/>
    <x v="246"/>
    <x v="2"/>
    <s v="44"/>
    <m/>
    <x v="16"/>
    <x v="16"/>
    <m/>
    <m/>
    <x v="0"/>
    <m/>
    <m/>
    <x v="97"/>
    <m/>
  </r>
  <r>
    <m/>
    <x v="0"/>
    <s v="10ec56b2-20f0-4d25-9940-ffe36e897535"/>
    <s v="completed"/>
    <x v="0"/>
    <s v="2023-01-02T16:54:33.269000+00:00"/>
    <n v="108"/>
    <n v="12"/>
    <n v="0.1111111111111111"/>
    <x v="239"/>
    <x v="0"/>
    <s v="43"/>
    <m/>
    <x v="22"/>
    <x v="22"/>
    <m/>
    <m/>
    <x v="0"/>
    <m/>
    <m/>
    <x v="97"/>
    <m/>
  </r>
  <r>
    <m/>
    <x v="0"/>
    <s v="10ec56b2-20f0-4d25-9940-ffe36e897535"/>
    <s v="completed"/>
    <x v="0"/>
    <s v="2023-01-02T16:56:34.816000+00:00"/>
    <n v="108"/>
    <n v="13"/>
    <n v="0.12037037037037036"/>
    <x v="258"/>
    <x v="0"/>
    <s v="43"/>
    <m/>
    <x v="22"/>
    <x v="22"/>
    <m/>
    <m/>
    <x v="0"/>
    <m/>
    <m/>
    <x v="97"/>
    <m/>
  </r>
  <r>
    <m/>
    <x v="0"/>
    <s v="10ec56b2-20f0-4d25-9940-ffe36e897535"/>
    <s v="completed"/>
    <x v="0"/>
    <s v="2023-01-02T20:14:06.542000+00:00"/>
    <n v="108"/>
    <n v="58"/>
    <n v="0.53703703703703709"/>
    <x v="21"/>
    <x v="0"/>
    <s v="43"/>
    <m/>
    <x v="1"/>
    <x v="1"/>
    <m/>
    <m/>
    <x v="0"/>
    <m/>
    <m/>
    <x v="97"/>
    <m/>
  </r>
  <r>
    <m/>
    <x v="0"/>
    <s v="10ec56b2-20f0-4d25-9940-ffe36e897535"/>
    <s v="completed"/>
    <x v="0"/>
    <s v="2023-01-02T21:39:07.493000+00:00"/>
    <n v="108"/>
    <n v="78"/>
    <n v="0.72222222222222221"/>
    <x v="162"/>
    <x v="0"/>
    <s v="43"/>
    <m/>
    <x v="22"/>
    <x v="22"/>
    <m/>
    <m/>
    <x v="0"/>
    <m/>
    <m/>
    <x v="97"/>
    <m/>
  </r>
  <r>
    <m/>
    <x v="0"/>
    <s v="10ec56b2-20f0-4d25-9940-ffe36e897535"/>
    <s v="completed"/>
    <x v="3"/>
    <s v="2023-01-02T23:42:29.720000+00:00"/>
    <n v="108"/>
    <n v="104"/>
    <n v="0.96296296296296291"/>
    <x v="4"/>
    <x v="0"/>
    <s v="43"/>
    <m/>
    <x v="2"/>
    <x v="2"/>
    <m/>
    <m/>
    <x v="0"/>
    <m/>
    <m/>
    <x v="97"/>
    <m/>
  </r>
  <r>
    <m/>
    <x v="2"/>
    <s v="85ae084e-9e13-4b0d-8a15-040003f95317"/>
    <s v="completed"/>
    <x v="3"/>
    <s v="2023-01-03T06:54:55.025000+00:00"/>
    <n v="14"/>
    <n v="14"/>
    <n v="1"/>
    <x v="4"/>
    <x v="2"/>
    <s v="44"/>
    <m/>
    <x v="2"/>
    <x v="2"/>
    <m/>
    <m/>
    <x v="0"/>
    <m/>
    <m/>
    <x v="98"/>
    <m/>
  </r>
  <r>
    <m/>
    <x v="2"/>
    <s v="52da0e35-715a-448f-9d41-8572b414fc77"/>
    <s v="failed"/>
    <x v="0"/>
    <s v="2023-01-03T15:57:48.114000+00:00"/>
    <n v="129"/>
    <n v="0"/>
    <n v="0"/>
    <x v="259"/>
    <x v="2"/>
    <s v="44"/>
    <m/>
    <x v="19"/>
    <x v="19"/>
    <m/>
    <m/>
    <x v="0"/>
    <m/>
    <m/>
    <x v="98"/>
    <m/>
  </r>
  <r>
    <m/>
    <x v="2"/>
    <s v="52da0e35-715a-448f-9d41-8572b414fc77"/>
    <s v="failed"/>
    <x v="20"/>
    <s v="2023-01-03T15:59:04.913000+00:00"/>
    <n v="129"/>
    <n v="1"/>
    <n v="7.7519379844961239E-3"/>
    <x v="259"/>
    <x v="2"/>
    <s v="44"/>
    <m/>
    <x v="19"/>
    <x v="19"/>
    <m/>
    <m/>
    <x v="0"/>
    <m/>
    <m/>
    <x v="98"/>
    <m/>
  </r>
  <r>
    <m/>
    <x v="2"/>
    <s v="d8cf350f-f4af-4529-9c40-2ee5f9cf41e8"/>
    <s v="failed"/>
    <x v="20"/>
    <s v="2023-01-03T16:00:49.577000+00:00"/>
    <n v="128"/>
    <n v="0"/>
    <n v="0"/>
    <x v="259"/>
    <x v="2"/>
    <s v="44"/>
    <m/>
    <x v="19"/>
    <x v="19"/>
    <m/>
    <m/>
    <x v="0"/>
    <m/>
    <m/>
    <x v="98"/>
    <m/>
  </r>
  <r>
    <s v="f2f0c4cd-3bc8-4394-808d-d47319a98069"/>
    <x v="2"/>
    <s v="b8829534-c8e6-433f-93d3-63966b8916d1"/>
    <s v="completed"/>
    <x v="0"/>
    <s v="2023-01-03T16:23:02.280000+00:00"/>
    <n v="128"/>
    <n v="4"/>
    <n v="3.125E-2"/>
    <x v="247"/>
    <x v="2"/>
    <s v="44"/>
    <s v="URL"/>
    <x v="18"/>
    <x v="18"/>
    <m/>
    <m/>
    <x v="0"/>
    <m/>
    <m/>
    <x v="98"/>
    <m/>
  </r>
  <r>
    <s v="1bd55f71-e51a-49ce-9f7b-f6b7683a5102"/>
    <x v="2"/>
    <s v="b8829534-c8e6-433f-93d3-63966b8916d1"/>
    <s v="completed"/>
    <x v="0"/>
    <s v="2023-01-03T16:51:11.022000+00:00"/>
    <n v="128"/>
    <n v="11"/>
    <n v="8.59375E-2"/>
    <x v="260"/>
    <x v="2"/>
    <s v="44"/>
    <s v="URL"/>
    <x v="22"/>
    <x v="22"/>
    <m/>
    <m/>
    <x v="0"/>
    <m/>
    <m/>
    <x v="98"/>
    <m/>
  </r>
  <r>
    <s v="6d6dd45a-798d-48ed-8ae4-797f8feca106"/>
    <x v="2"/>
    <s v="b8829534-c8e6-433f-93d3-63966b8916d1"/>
    <s v="completed"/>
    <x v="0"/>
    <s v="2023-01-03T16:53:10.464000+00:00"/>
    <n v="128"/>
    <n v="12"/>
    <n v="9.375E-2"/>
    <x v="261"/>
    <x v="2"/>
    <s v="44"/>
    <s v="URL"/>
    <x v="22"/>
    <x v="22"/>
    <m/>
    <m/>
    <x v="0"/>
    <m/>
    <m/>
    <x v="98"/>
    <m/>
  </r>
  <r>
    <s v="09c12258-9a4b-48de-9474-ab68bd14917f"/>
    <x v="2"/>
    <s v="b8829534-c8e6-433f-93d3-63966b8916d1"/>
    <s v="completed"/>
    <x v="0"/>
    <s v="2023-01-03T17:16:59.749000+00:00"/>
    <n v="128"/>
    <n v="18"/>
    <n v="0.140625"/>
    <x v="248"/>
    <x v="2"/>
    <s v="44"/>
    <s v="URL"/>
    <x v="22"/>
    <x v="22"/>
    <m/>
    <m/>
    <x v="0"/>
    <m/>
    <m/>
    <x v="98"/>
    <m/>
  </r>
  <r>
    <s v="e0c1f053-1519-43f0-b8fa-f85eaa759941"/>
    <x v="0"/>
    <s v="17dbbf75-afbe-4b20-a13e-985c02bfc3c6"/>
    <s v="failed"/>
    <x v="0"/>
    <s v="2023-01-03T17:56:25.396000+00:00"/>
    <n v="61"/>
    <n v="23"/>
    <n v="0.37704918032786883"/>
    <x v="190"/>
    <x v="0"/>
    <s v="43"/>
    <s v="URL"/>
    <x v="22"/>
    <x v="22"/>
    <m/>
    <m/>
    <x v="0"/>
    <m/>
    <m/>
    <x v="98"/>
    <m/>
  </r>
  <r>
    <s v="79315297-0b3e-441f-b6ac-6debde81e178"/>
    <x v="2"/>
    <s v="b8829534-c8e6-433f-93d3-63966b8916d1"/>
    <s v="completed"/>
    <x v="0"/>
    <s v="2023-01-03T18:16:15.236000+00:00"/>
    <n v="128"/>
    <n v="32"/>
    <n v="0.25"/>
    <x v="262"/>
    <x v="2"/>
    <s v="44"/>
    <s v="URL"/>
    <x v="3"/>
    <x v="3"/>
    <m/>
    <m/>
    <x v="0"/>
    <m/>
    <m/>
    <x v="98"/>
    <m/>
  </r>
  <r>
    <s v="1e309a5b-dfdf-48bd-9da5-a7e89d0a0854"/>
    <x v="2"/>
    <s v="b8829534-c8e6-433f-93d3-63966b8916d1"/>
    <s v="completed"/>
    <x v="0"/>
    <s v="2023-01-03T19:13:02.774000+00:00"/>
    <n v="128"/>
    <n v="45"/>
    <n v="0.3515625"/>
    <x v="250"/>
    <x v="2"/>
    <s v="44"/>
    <s v="URL"/>
    <x v="22"/>
    <x v="22"/>
    <m/>
    <m/>
    <x v="0"/>
    <m/>
    <m/>
    <x v="98"/>
    <m/>
  </r>
  <r>
    <s v="49eb7550-51dc-4ee1-8039-5f8085f324cb"/>
    <x v="2"/>
    <s v="b8829534-c8e6-433f-93d3-63966b8916d1"/>
    <s v="completed"/>
    <x v="0"/>
    <s v="2023-01-03T19:44:38.730000+00:00"/>
    <n v="128"/>
    <n v="53"/>
    <n v="0.4140625"/>
    <x v="263"/>
    <x v="2"/>
    <s v="44"/>
    <s v="URL"/>
    <x v="18"/>
    <x v="18"/>
    <m/>
    <m/>
    <x v="0"/>
    <m/>
    <m/>
    <x v="98"/>
    <m/>
  </r>
  <r>
    <s v="35e06673-cf9c-4e26-873a-5cdb305495df"/>
    <x v="0"/>
    <s v="17dbbf75-afbe-4b20-a13e-985c02bfc3c6"/>
    <s v="failed"/>
    <x v="0"/>
    <s v="2023-01-03T20:09:24.730000+00:00"/>
    <n v="61"/>
    <n v="55"/>
    <n v="0.90163934426229508"/>
    <x v="36"/>
    <x v="0"/>
    <s v="43"/>
    <s v="URL"/>
    <x v="22"/>
    <x v="22"/>
    <m/>
    <m/>
    <x v="0"/>
    <m/>
    <m/>
    <x v="98"/>
    <m/>
  </r>
  <r>
    <s v="f6f1416a-6e82-436d-845b-ca8e5c1d5600"/>
    <x v="0"/>
    <s v="17dbbf75-afbe-4b20-a13e-985c02bfc3c6"/>
    <s v="failed"/>
    <x v="22"/>
    <s v="2023-01-03T20:22:24.508000+00:00"/>
    <n v="61"/>
    <n v="59"/>
    <n v="0.96721311475409832"/>
    <x v="16"/>
    <x v="0"/>
    <s v="43"/>
    <s v="URL"/>
    <x v="6"/>
    <x v="6"/>
    <m/>
    <m/>
    <x v="0"/>
    <m/>
    <m/>
    <x v="98"/>
    <m/>
  </r>
  <r>
    <m/>
    <x v="2"/>
    <s v="b8829534-c8e6-433f-93d3-63966b8916d1"/>
    <s v="completed"/>
    <x v="3"/>
    <s v="2023-01-04T00:57:09.094000+00:00"/>
    <n v="128"/>
    <n v="121"/>
    <n v="0.9453125"/>
    <x v="4"/>
    <x v="2"/>
    <s v="44"/>
    <m/>
    <x v="2"/>
    <x v="2"/>
    <m/>
    <m/>
    <x v="0"/>
    <m/>
    <m/>
    <x v="99"/>
    <m/>
  </r>
  <r>
    <s v="aad411da-bbe6-4ff8-a009-17a39bad172a"/>
    <x v="0"/>
    <s v="fcbfc0e0-e0e3-45ff-8b95-178db491d38d"/>
    <s v="failed"/>
    <x v="44"/>
    <s v="2023-01-04T05:16:57.523000+00:00"/>
    <n v="154"/>
    <n v="0"/>
    <n v="0"/>
    <x v="66"/>
    <x v="0"/>
    <s v="43"/>
    <s v="URL"/>
    <x v="6"/>
    <x v="6"/>
    <s v="Robot botst met volle snelheid tegen einde van de lane. Aangezien eerste rij: missie correct ingesteld? (volgens klant: error in pad '3007')"/>
    <m/>
    <x v="0"/>
    <m/>
    <m/>
    <x v="99"/>
    <m/>
  </r>
  <r>
    <s v="a921eed1-4eb2-4e58-8254-c3cc9d4c6e26"/>
    <x v="4"/>
    <s v="9a6a639b-682d-416b-a830-312d93706dca"/>
    <s v="failed"/>
    <x v="33"/>
    <s v="2023-01-04T14:11:56.788000+00:00"/>
    <n v="134"/>
    <n v="6"/>
    <n v="4.4776119402985072E-2"/>
    <x v="264"/>
    <x v="5"/>
    <s v="14"/>
    <s v="URL"/>
    <x v="29"/>
    <x v="26"/>
    <m/>
    <m/>
    <x v="0"/>
    <m/>
    <m/>
    <x v="99"/>
    <m/>
  </r>
  <r>
    <m/>
    <x v="4"/>
    <s v="4572d8ee-9324-44b7-816d-46c8410238aa"/>
    <s v="stopped"/>
    <x v="3"/>
    <s v="2023-01-04T15:23:51.519000+00:00"/>
    <n v="130"/>
    <n v="1"/>
    <n v="7.6923076923076927E-3"/>
    <x v="4"/>
    <x v="5"/>
    <s v="14"/>
    <m/>
    <x v="2"/>
    <x v="2"/>
    <m/>
    <m/>
    <x v="0"/>
    <m/>
    <m/>
    <x v="99"/>
    <m/>
  </r>
  <r>
    <s v="74ac8a98-139b-46ea-94e0-dfe00f4ad820"/>
    <x v="4"/>
    <s v="1d2fa381-8297-4732-9a1b-4b1cb625b915"/>
    <s v="failed"/>
    <x v="33"/>
    <s v="2023-01-04T15:26:21.127000+00:00"/>
    <n v="130"/>
    <n v="1"/>
    <n v="7.6923076923076927E-3"/>
    <x v="124"/>
    <x v="5"/>
    <s v="14"/>
    <s v="URL"/>
    <x v="28"/>
    <x v="26"/>
    <m/>
    <m/>
    <x v="0"/>
    <m/>
    <m/>
    <x v="99"/>
    <m/>
  </r>
  <r>
    <s v="88400cb0-0181-4c98-ac86-512985fc8c21"/>
    <x v="4"/>
    <s v="281428fc-33ed-48c2-ab58-5d13fbc9555e"/>
    <s v="failed"/>
    <x v="3"/>
    <s v="2023-01-04T15:27:45.284000+00:00"/>
    <n v="130"/>
    <n v="1"/>
    <n v="7.6923076923076927E-3"/>
    <x v="265"/>
    <x v="5"/>
    <s v="14"/>
    <s v="URL"/>
    <x v="28"/>
    <x v="26"/>
    <m/>
    <m/>
    <x v="0"/>
    <m/>
    <m/>
    <x v="99"/>
    <m/>
  </r>
  <r>
    <m/>
    <x v="4"/>
    <s v="b56cb046-f42f-4f70-9c19-010657e6b821"/>
    <s v="failed"/>
    <x v="33"/>
    <s v="2023-01-04T15:28:51.782000+00:00"/>
    <n v="130"/>
    <n v="1"/>
    <n v="7.6923076923076927E-3"/>
    <x v="265"/>
    <x v="5"/>
    <s v="14"/>
    <m/>
    <x v="28"/>
    <x v="26"/>
    <m/>
    <m/>
    <x v="0"/>
    <m/>
    <m/>
    <x v="99"/>
    <m/>
  </r>
  <r>
    <s v="2dba8e12-f68b-4c74-8e09-0a3f86ca40e5"/>
    <x v="2"/>
    <s v="a81b0904-9111-416d-bf7e-92c1122bfba5"/>
    <s v="completed"/>
    <x v="0"/>
    <s v="2023-01-04T18:28:56.163000+00:00"/>
    <n v="147"/>
    <n v="13"/>
    <n v="8.8435374149659865E-2"/>
    <x v="5"/>
    <x v="0"/>
    <s v="44"/>
    <s v="URL"/>
    <x v="22"/>
    <x v="22"/>
    <m/>
    <m/>
    <x v="0"/>
    <m/>
    <m/>
    <x v="99"/>
    <m/>
  </r>
  <r>
    <s v="eed00ae7-b5ef-444c-ab44-94721a7c6ea6"/>
    <x v="4"/>
    <s v="e676c524-2a96-492f-8b3a-254a520dc0bc"/>
    <s v="failed"/>
    <x v="33"/>
    <s v="2023-01-04T18:57:50.320000+00:00"/>
    <n v="130"/>
    <n v="84"/>
    <n v="0.64615384615384619"/>
    <x v="266"/>
    <x v="5"/>
    <s v="14"/>
    <s v="URL"/>
    <x v="17"/>
    <x v="17"/>
    <m/>
    <m/>
    <x v="0"/>
    <m/>
    <m/>
    <x v="99"/>
    <m/>
  </r>
  <r>
    <s v="158ee165-d878-4362-8dcf-173f8bc6f3b5"/>
    <x v="2"/>
    <s v="a81b0904-9111-416d-bf7e-92c1122bfba5"/>
    <s v="completed"/>
    <x v="0"/>
    <s v="2023-01-04T20:24:02.819000+00:00"/>
    <n v="147"/>
    <n v="40"/>
    <n v="0.27210884353741499"/>
    <x v="240"/>
    <x v="0"/>
    <s v="44"/>
    <s v="URL"/>
    <x v="22"/>
    <x v="22"/>
    <m/>
    <m/>
    <x v="0"/>
    <m/>
    <m/>
    <x v="99"/>
    <m/>
  </r>
  <r>
    <s v="3e944bcb-8f6c-43e3-8c9c-075be9834cc7"/>
    <x v="2"/>
    <s v="a81b0904-9111-416d-bf7e-92c1122bfba5"/>
    <s v="completed"/>
    <x v="0"/>
    <s v="2023-01-04T20:43:18.489000+00:00"/>
    <n v="147"/>
    <n v="45"/>
    <n v="0.30612244897959184"/>
    <x v="230"/>
    <x v="0"/>
    <s v="44"/>
    <s v="URL"/>
    <x v="18"/>
    <x v="18"/>
    <m/>
    <m/>
    <x v="0"/>
    <m/>
    <m/>
    <x v="99"/>
    <m/>
  </r>
  <r>
    <s v="ee9130f1-9047-425a-8ec1-da51518c32ee"/>
    <x v="2"/>
    <s v="a81b0904-9111-416d-bf7e-92c1122bfba5"/>
    <s v="completed"/>
    <x v="0"/>
    <s v="2023-01-05T01:15:28.875000+00:00"/>
    <n v="147"/>
    <n v="108"/>
    <n v="0.73469387755102045"/>
    <x v="243"/>
    <x v="0"/>
    <s v="44"/>
    <s v="URL"/>
    <x v="22"/>
    <x v="22"/>
    <m/>
    <m/>
    <x v="0"/>
    <m/>
    <m/>
    <x v="100"/>
    <m/>
  </r>
  <r>
    <s v="9b748a71-c078-4193-8380-bb0049167bca"/>
    <x v="0"/>
    <s v="19ac069e-938d-4c42-b63d-7390015c39fd"/>
    <s v="completed"/>
    <x v="0"/>
    <s v="2023-01-05T02:03:38.720000+00:00"/>
    <n v="140"/>
    <n v="120"/>
    <n v="0.8571428571428571"/>
    <x v="42"/>
    <x v="2"/>
    <s v="43"/>
    <s v="URL"/>
    <x v="25"/>
    <x v="25"/>
    <m/>
    <m/>
    <x v="0"/>
    <m/>
    <m/>
    <x v="100"/>
    <m/>
  </r>
  <r>
    <m/>
    <x v="0"/>
    <s v="19ac069e-938d-4c42-b63d-7390015c39fd"/>
    <s v="completed"/>
    <x v="3"/>
    <s v="2023-01-05T03:21:15.534000+00:00"/>
    <n v="140"/>
    <n v="139"/>
    <n v="0.99285714285714288"/>
    <x v="4"/>
    <x v="2"/>
    <s v="43"/>
    <m/>
    <x v="2"/>
    <x v="2"/>
    <m/>
    <m/>
    <x v="0"/>
    <m/>
    <m/>
    <x v="100"/>
    <m/>
  </r>
  <r>
    <m/>
    <x v="2"/>
    <s v="a81b0904-9111-416d-bf7e-92c1122bfba5"/>
    <s v="completed"/>
    <x v="3"/>
    <s v="2023-01-05T03:57:10.804000+00:00"/>
    <n v="147"/>
    <n v="143"/>
    <n v="0.97278911564625847"/>
    <x v="4"/>
    <x v="0"/>
    <s v="44"/>
    <m/>
    <x v="2"/>
    <x v="2"/>
    <m/>
    <m/>
    <x v="0"/>
    <m/>
    <m/>
    <x v="100"/>
    <m/>
  </r>
  <r>
    <s v="c6f9f15c-c023-47ec-9187-ebbfbf5d4093"/>
    <x v="4"/>
    <s v="9a99f9dd-bce5-4306-bb2f-6d336975c6f6"/>
    <s v="failed"/>
    <x v="33"/>
    <s v="2023-01-05T09:33:58.567000+00:00"/>
    <n v="47"/>
    <n v="1"/>
    <n v="2.1276595744680851E-2"/>
    <x v="266"/>
    <x v="5"/>
    <s v="14"/>
    <s v="URL"/>
    <x v="28"/>
    <x v="26"/>
    <m/>
    <m/>
    <x v="0"/>
    <m/>
    <m/>
    <x v="100"/>
    <m/>
  </r>
  <r>
    <s v="9e0e6428-9493-4de1-8a14-f21c33564e75"/>
    <x v="4"/>
    <s v="a72ca335-e587-4cf4-b956-72a9536f307e"/>
    <s v="failed"/>
    <x v="33"/>
    <s v="2023-01-05T09:35:46.555000+00:00"/>
    <n v="47"/>
    <n v="1"/>
    <n v="2.1276595744680851E-2"/>
    <x v="266"/>
    <x v="5"/>
    <s v="14"/>
    <s v="URL"/>
    <x v="28"/>
    <x v="26"/>
    <m/>
    <m/>
    <x v="0"/>
    <m/>
    <m/>
    <x v="100"/>
    <m/>
  </r>
  <r>
    <s v="222a33fb-7ebf-4ca3-8c8e-3630a049628d"/>
    <x v="4"/>
    <s v="f809ccfe-db3f-43af-b2b1-374964d96b28"/>
    <s v="failed"/>
    <x v="33"/>
    <s v="2023-01-05T09:40:24.756000+00:00"/>
    <n v="47"/>
    <n v="1"/>
    <n v="2.1276595744680851E-2"/>
    <x v="266"/>
    <x v="5"/>
    <s v="14"/>
    <s v="URL"/>
    <x v="17"/>
    <x v="17"/>
    <m/>
    <m/>
    <x v="0"/>
    <m/>
    <m/>
    <x v="100"/>
    <m/>
  </r>
  <r>
    <m/>
    <x v="4"/>
    <s v="66619c55-283b-4e78-aafd-4897ad1579e3"/>
    <s v="failed"/>
    <x v="0"/>
    <s v="2023-01-05T10:26:19.442000+00:00"/>
    <n v="136"/>
    <n v="13"/>
    <n v="9.5588235294117641E-2"/>
    <x v="267"/>
    <x v="5"/>
    <s v="14"/>
    <m/>
    <x v="17"/>
    <x v="17"/>
    <m/>
    <m/>
    <x v="0"/>
    <m/>
    <m/>
    <x v="100"/>
    <m/>
  </r>
  <r>
    <m/>
    <x v="4"/>
    <s v="66619c55-283b-4e78-aafd-4897ad1579e3"/>
    <s v="failed"/>
    <x v="33"/>
    <s v="2023-01-05T16:26:02.727000+00:00"/>
    <n v="136"/>
    <n v="38"/>
    <n v="0.27941176470588236"/>
    <x v="268"/>
    <x v="5"/>
    <s v="14"/>
    <m/>
    <x v="6"/>
    <x v="6"/>
    <m/>
    <m/>
    <x v="0"/>
    <m/>
    <m/>
    <x v="100"/>
    <m/>
  </r>
  <r>
    <s v="9f24845e-24a3-4557-94e0-9b07e7789fd7"/>
    <x v="2"/>
    <s v="68ae9e7b-27d3-4a1f-862f-fa88f3b100eb"/>
    <s v="failed"/>
    <x v="45"/>
    <s v="2023-01-05T16:33:58.594000+00:00"/>
    <n v="147"/>
    <n v="5"/>
    <n v="3.4013605442176874E-2"/>
    <x v="246"/>
    <x v="2"/>
    <s v="44"/>
    <s v="URL"/>
    <x v="9"/>
    <x v="9"/>
    <m/>
    <m/>
    <x v="0"/>
    <m/>
    <m/>
    <x v="100"/>
    <m/>
  </r>
  <r>
    <s v="f099aac4-154f-44fd-a89b-46308d5c4542"/>
    <x v="0"/>
    <s v="1fc61722-5ad0-4d25-ae88-69fe5b5f9fae"/>
    <s v="completed"/>
    <x v="0"/>
    <s v="2023-01-05T16:53:21.946000+00:00"/>
    <n v="188"/>
    <n v="7"/>
    <n v="3.7234042553191488E-2"/>
    <x v="122"/>
    <x v="0"/>
    <s v="43"/>
    <s v="URL"/>
    <x v="3"/>
    <x v="3"/>
    <m/>
    <m/>
    <x v="0"/>
    <m/>
    <m/>
    <x v="100"/>
    <m/>
  </r>
  <r>
    <s v="19dfd67b-fecd-4e31-ae2e-d9dc7125958f"/>
    <x v="0"/>
    <s v="1fc61722-5ad0-4d25-ae88-69fe5b5f9fae"/>
    <s v="completed"/>
    <x v="0"/>
    <s v="2023-01-05T22:28:42.701000+00:00"/>
    <n v="188"/>
    <n v="83"/>
    <n v="0.44148936170212766"/>
    <x v="21"/>
    <x v="0"/>
    <s v="43"/>
    <s v="URL"/>
    <x v="1"/>
    <x v="1"/>
    <m/>
    <m/>
    <x v="0"/>
    <m/>
    <m/>
    <x v="100"/>
    <m/>
  </r>
  <r>
    <s v="d733888b-0cc0-4ed6-b164-31ecdb9f03d5"/>
    <x v="0"/>
    <s v="1fc61722-5ad0-4d25-ae88-69fe5b5f9fae"/>
    <s v="completed"/>
    <x v="0"/>
    <s v="2023-01-06T01:36:18.254000+00:00"/>
    <n v="188"/>
    <n v="126"/>
    <n v="0.67021276595744683"/>
    <x v="164"/>
    <x v="0"/>
    <s v="43"/>
    <s v="URL"/>
    <x v="3"/>
    <x v="3"/>
    <m/>
    <m/>
    <x v="0"/>
    <m/>
    <m/>
    <x v="101"/>
    <m/>
  </r>
  <r>
    <m/>
    <x v="0"/>
    <s v="1fc61722-5ad0-4d25-ae88-69fe5b5f9fae"/>
    <s v="completed"/>
    <x v="3"/>
    <s v="2023-01-06T06:04:09.245000+00:00"/>
    <n v="188"/>
    <n v="185"/>
    <n v="0.98404255319148937"/>
    <x v="4"/>
    <x v="0"/>
    <s v="43"/>
    <m/>
    <x v="2"/>
    <x v="2"/>
    <m/>
    <m/>
    <x v="0"/>
    <m/>
    <m/>
    <x v="101"/>
    <m/>
  </r>
  <r>
    <m/>
    <x v="2"/>
    <s v="98e8f626-b583-44ac-bec4-3fd26cfcec85"/>
    <s v="completed"/>
    <x v="0"/>
    <s v="2023-01-06T16:21:13.102000+00:00"/>
    <n v="141"/>
    <n v="8"/>
    <n v="5.6737588652482268E-2"/>
    <x v="269"/>
    <x v="2"/>
    <s v="44"/>
    <m/>
    <x v="22"/>
    <x v="22"/>
    <m/>
    <m/>
    <x v="0"/>
    <m/>
    <m/>
    <x v="101"/>
    <m/>
  </r>
  <r>
    <m/>
    <x v="2"/>
    <s v="98e8f626-b583-44ac-bec4-3fd26cfcec85"/>
    <s v="completed"/>
    <x v="0"/>
    <s v="2023-01-06T17:33:03.530000+00:00"/>
    <n v="141"/>
    <n v="25"/>
    <n v="0.1773049645390071"/>
    <x v="261"/>
    <x v="2"/>
    <s v="44"/>
    <m/>
    <x v="22"/>
    <x v="22"/>
    <m/>
    <m/>
    <x v="0"/>
    <m/>
    <m/>
    <x v="101"/>
    <m/>
  </r>
  <r>
    <m/>
    <x v="2"/>
    <s v="98e8f626-b583-44ac-bec4-3fd26cfcec85"/>
    <s v="completed"/>
    <x v="0"/>
    <s v="2023-01-06T17:56:43.006000+00:00"/>
    <n v="141"/>
    <n v="31"/>
    <n v="0.21985815602836881"/>
    <x v="248"/>
    <x v="2"/>
    <s v="44"/>
    <m/>
    <x v="22"/>
    <x v="22"/>
    <m/>
    <m/>
    <x v="0"/>
    <m/>
    <m/>
    <x v="101"/>
    <m/>
  </r>
  <r>
    <m/>
    <x v="2"/>
    <s v="98e8f626-b583-44ac-bec4-3fd26cfcec85"/>
    <s v="completed"/>
    <x v="0"/>
    <s v="2023-01-06T18:11:24.258000+00:00"/>
    <n v="141"/>
    <n v="35"/>
    <n v="0.24822695035460993"/>
    <x v="270"/>
    <x v="2"/>
    <s v="44"/>
    <m/>
    <x v="25"/>
    <x v="25"/>
    <m/>
    <m/>
    <x v="0"/>
    <m/>
    <m/>
    <x v="101"/>
    <m/>
  </r>
  <r>
    <m/>
    <x v="2"/>
    <s v="98e8f626-b583-44ac-bec4-3fd26cfcec85"/>
    <s v="completed"/>
    <x v="0"/>
    <s v="2023-01-06T18:21:31.496000+00:00"/>
    <n v="141"/>
    <n v="38"/>
    <n v="0.26950354609929078"/>
    <x v="271"/>
    <x v="2"/>
    <s v="44"/>
    <m/>
    <x v="25"/>
    <x v="25"/>
    <m/>
    <m/>
    <x v="0"/>
    <m/>
    <m/>
    <x v="101"/>
    <m/>
  </r>
  <r>
    <m/>
    <x v="2"/>
    <s v="98e8f626-b583-44ac-bec4-3fd26cfcec85"/>
    <s v="completed"/>
    <x v="0"/>
    <s v="2023-01-06T19:11:42.840000+00:00"/>
    <n v="141"/>
    <n v="50"/>
    <n v="0.3546099290780142"/>
    <x v="249"/>
    <x v="2"/>
    <s v="44"/>
    <m/>
    <x v="22"/>
    <x v="22"/>
    <m/>
    <m/>
    <x v="0"/>
    <m/>
    <m/>
    <x v="101"/>
    <m/>
  </r>
  <r>
    <m/>
    <x v="2"/>
    <s v="98e8f626-b583-44ac-bec4-3fd26cfcec85"/>
    <s v="completed"/>
    <x v="0"/>
    <s v="2023-01-06T19:44:32.564000+00:00"/>
    <n v="141"/>
    <n v="58"/>
    <n v="0.41134751773049644"/>
    <x v="250"/>
    <x v="2"/>
    <s v="44"/>
    <m/>
    <x v="22"/>
    <x v="22"/>
    <m/>
    <m/>
    <x v="0"/>
    <m/>
    <m/>
    <x v="101"/>
    <m/>
  </r>
  <r>
    <m/>
    <x v="2"/>
    <s v="98e8f626-b583-44ac-bec4-3fd26cfcec85"/>
    <s v="completed"/>
    <x v="0"/>
    <s v="2023-01-06T20:07:59.479000+00:00"/>
    <n v="141"/>
    <n v="64"/>
    <n v="0.45390070921985815"/>
    <x v="252"/>
    <x v="2"/>
    <s v="44"/>
    <m/>
    <x v="22"/>
    <x v="22"/>
    <m/>
    <m/>
    <x v="0"/>
    <m/>
    <m/>
    <x v="101"/>
    <m/>
  </r>
  <r>
    <m/>
    <x v="2"/>
    <s v="98e8f626-b583-44ac-bec4-3fd26cfcec85"/>
    <s v="completed"/>
    <x v="0"/>
    <s v="2023-01-07T01:26:53.882000+00:00"/>
    <n v="141"/>
    <n v="138"/>
    <n v="0.97872340425531912"/>
    <x v="272"/>
    <x v="2"/>
    <s v="44"/>
    <m/>
    <x v="18"/>
    <x v="18"/>
    <m/>
    <m/>
    <x v="0"/>
    <m/>
    <m/>
    <x v="102"/>
    <m/>
  </r>
  <r>
    <m/>
    <x v="2"/>
    <s v="98e8f626-b583-44ac-bec4-3fd26cfcec85"/>
    <s v="completed"/>
    <x v="3"/>
    <s v="2023-01-07T01:31:56.190000+00:00"/>
    <n v="141"/>
    <n v="132"/>
    <n v="0.93617021276595747"/>
    <x v="4"/>
    <x v="2"/>
    <s v="44"/>
    <m/>
    <x v="2"/>
    <x v="2"/>
    <m/>
    <m/>
    <x v="0"/>
    <m/>
    <m/>
    <x v="102"/>
    <m/>
  </r>
  <r>
    <m/>
    <x v="4"/>
    <s v="e2f1b60c-5c22-46a5-aae5-90bacb2945e2"/>
    <s v="stopped"/>
    <x v="3"/>
    <s v="2023-01-11T10:24:54.900000+00:00"/>
    <n v="41"/>
    <n v="2"/>
    <n v="4.878048780487805E-2"/>
    <x v="4"/>
    <x v="5"/>
    <s v="14"/>
    <m/>
    <x v="2"/>
    <x v="2"/>
    <m/>
    <m/>
    <x v="0"/>
    <m/>
    <m/>
    <x v="103"/>
    <m/>
  </r>
  <r>
    <s v="84fb501e-396e-4ffe-9306-569beed3905d"/>
    <x v="4"/>
    <s v="62061678-3439-45eb-9db4-7c0deb404f76"/>
    <s v="failed"/>
    <x v="33"/>
    <s v="2023-01-11T11:09:02.780000+00:00"/>
    <n v="22"/>
    <n v="1"/>
    <n v="4.5454545454545456E-2"/>
    <x v="124"/>
    <x v="5"/>
    <s v="14"/>
    <s v="URL"/>
    <x v="28"/>
    <x v="26"/>
    <m/>
    <m/>
    <x v="0"/>
    <m/>
    <m/>
    <x v="103"/>
    <m/>
  </r>
  <r>
    <m/>
    <x v="4"/>
    <s v="91c67339-0242-4a81-91e0-840d23c0b757"/>
    <s v="stopped"/>
    <x v="3"/>
    <s v="2023-01-11T11:23:15.221000+00:00"/>
    <n v="37"/>
    <n v="4"/>
    <n v="0.10810810810810811"/>
    <x v="4"/>
    <x v="5"/>
    <s v="14"/>
    <m/>
    <x v="2"/>
    <x v="2"/>
    <m/>
    <m/>
    <x v="0"/>
    <m/>
    <m/>
    <x v="103"/>
    <m/>
  </r>
  <r>
    <s v="4690041a-a457-477c-aa05-29bc745a76da"/>
    <x v="4"/>
    <s v="8cc490e5-e1fc-4352-94a5-5b81172a15b8"/>
    <s v="failed"/>
    <x v="33"/>
    <s v="2023-01-11T11:32:55.166000+00:00"/>
    <n v="58"/>
    <n v="3"/>
    <n v="5.1724137931034482E-2"/>
    <x v="273"/>
    <x v="5"/>
    <s v="14"/>
    <s v="URL"/>
    <x v="16"/>
    <x v="16"/>
    <m/>
    <m/>
    <x v="0"/>
    <m/>
    <m/>
    <x v="103"/>
    <m/>
  </r>
  <r>
    <s v="0695e3a0-81e8-4f68-8497-b5ad8d1a4095"/>
    <x v="4"/>
    <s v="2e4c63f7-83e1-467d-b25f-ee16735c6c84"/>
    <s v="stopped"/>
    <x v="0"/>
    <s v="2023-01-11T13:21:48.251000+00:00"/>
    <n v="150"/>
    <n v="6"/>
    <n v="0.04"/>
    <x v="74"/>
    <x v="11"/>
    <s v="14"/>
    <s v="URL"/>
    <x v="16"/>
    <x v="16"/>
    <m/>
    <m/>
    <x v="0"/>
    <m/>
    <m/>
    <x v="103"/>
    <m/>
  </r>
  <r>
    <s v="a4ed0a1b-bcfa-4a1e-a9b3-4ae1ffc69d41"/>
    <x v="5"/>
    <s v="c3da517d-b79d-480e-9cd6-53612a3287dd"/>
    <s v="failed"/>
    <x v="45"/>
    <s v="2023-01-16T15:24:18.356000+00:00"/>
    <n v="35"/>
    <n v="0"/>
    <n v="0"/>
    <x v="274"/>
    <x v="5"/>
    <s v="61"/>
    <s v="URL"/>
    <x v="3"/>
    <x v="3"/>
    <m/>
    <m/>
    <x v="0"/>
    <m/>
    <m/>
    <x v="104"/>
    <m/>
  </r>
  <r>
    <s v="aeac3410-be62-4514-a6ca-d14153b0d4d7"/>
    <x v="5"/>
    <s v="e3e8ce97-eee1-46d0-831d-37254e16aab6"/>
    <s v="failed"/>
    <x v="26"/>
    <s v="2023-01-16T15:38:56.931000+00:00"/>
    <n v="35"/>
    <n v="1"/>
    <n v="2.8571428571428571E-2"/>
    <x v="275"/>
    <x v="5"/>
    <s v="61"/>
    <s v="URL"/>
    <x v="18"/>
    <x v="18"/>
    <m/>
    <m/>
    <x v="0"/>
    <m/>
    <m/>
    <x v="104"/>
    <m/>
  </r>
  <r>
    <m/>
    <x v="5"/>
    <s v="2d9626a0-7f72-416a-89b6-96a0acb7faa3"/>
    <s v="stopped"/>
    <x v="3"/>
    <s v="2023-01-16T16:04:45.790000+00:00"/>
    <n v="34"/>
    <n v="0"/>
    <n v="0"/>
    <x v="4"/>
    <x v="5"/>
    <s v="61"/>
    <m/>
    <x v="2"/>
    <x v="2"/>
    <m/>
    <m/>
    <x v="0"/>
    <m/>
    <m/>
    <x v="104"/>
    <m/>
  </r>
  <r>
    <s v="5e524c17-a519-40d0-be59-6762853f8a8a"/>
    <x v="5"/>
    <s v="4a3fb8e8-c2fc-406b-bc82-c38714c5f413"/>
    <s v="failed"/>
    <x v="0"/>
    <s v="2023-01-16T16:09:03.340000+00:00"/>
    <n v="36"/>
    <n v="1"/>
    <n v="2.7777777777777776E-2"/>
    <x v="276"/>
    <x v="5"/>
    <s v="61"/>
    <s v="URL"/>
    <x v="16"/>
    <x v="16"/>
    <m/>
    <m/>
    <x v="0"/>
    <m/>
    <m/>
    <x v="104"/>
    <m/>
  </r>
  <r>
    <s v="b14c70fe-fbb3-484b-b90d-d3497f63460a"/>
    <x v="5"/>
    <s v="4a3fb8e8-c2fc-406b-bc82-c38714c5f413"/>
    <s v="failed"/>
    <x v="46"/>
    <s v="2023-01-16T17:05:36.411000+00:00"/>
    <n v="36"/>
    <n v="17"/>
    <n v="0.47222222222222221"/>
    <x v="277"/>
    <x v="5"/>
    <s v="61"/>
    <s v="URL"/>
    <x v="11"/>
    <x v="11"/>
    <m/>
    <m/>
    <x v="0"/>
    <m/>
    <m/>
    <x v="104"/>
    <m/>
  </r>
  <r>
    <s v="30787667-d5dd-41b3-a4e0-baf3622ec0a2"/>
    <x v="5"/>
    <s v="4a3fb8e8-c2fc-406b-bc82-c38714c5f413"/>
    <s v="failed"/>
    <x v="27"/>
    <s v="2023-01-17T09:04:01.854000+00:00"/>
    <n v="37"/>
    <n v="24"/>
    <n v="0.64864864864864868"/>
    <x v="278"/>
    <x v="5"/>
    <s v="61"/>
    <s v="URL"/>
    <x v="6"/>
    <x v="6"/>
    <m/>
    <m/>
    <x v="0"/>
    <m/>
    <m/>
    <x v="105"/>
    <m/>
  </r>
  <r>
    <m/>
    <x v="5"/>
    <s v="58b89852-b410-426e-87c6-33af6280f68b"/>
    <s v="completed"/>
    <x v="3"/>
    <s v="2023-01-17T11:33:22.734000+00:00"/>
    <n v="5"/>
    <n v="5"/>
    <n v="1"/>
    <x v="4"/>
    <x v="5"/>
    <s v="61"/>
    <m/>
    <x v="2"/>
    <x v="2"/>
    <m/>
    <m/>
    <x v="0"/>
    <m/>
    <m/>
    <x v="105"/>
    <m/>
  </r>
  <r>
    <m/>
    <x v="5"/>
    <s v="c0682968-c24b-4330-9ec6-37594ad20098"/>
    <s v="stopped"/>
    <x v="3"/>
    <s v="2023-01-17T11:44:32.022000+00:00"/>
    <n v="36"/>
    <n v="0"/>
    <n v="0"/>
    <x v="4"/>
    <x v="5"/>
    <s v="61"/>
    <m/>
    <x v="2"/>
    <x v="2"/>
    <m/>
    <m/>
    <x v="0"/>
    <m/>
    <m/>
    <x v="105"/>
    <m/>
  </r>
  <r>
    <s v="6c265ad8-9b30-478d-8285-424d5288cc71"/>
    <x v="5"/>
    <s v="eb9d5816-0a49-4b0c-adc1-1e8b9ea306d7"/>
    <s v="failed"/>
    <x v="0"/>
    <s v="2023-01-17T13:45:08.416000+00:00"/>
    <n v="15"/>
    <n v="3"/>
    <n v="0.2"/>
    <x v="279"/>
    <x v="5"/>
    <s v="62"/>
    <s v="URL"/>
    <x v="5"/>
    <x v="5"/>
    <m/>
    <m/>
    <x v="0"/>
    <m/>
    <m/>
    <x v="105"/>
    <m/>
  </r>
  <r>
    <s v="2c68668c-f1f2-4e83-b42b-80f4a428621b"/>
    <x v="5"/>
    <s v="eb9d5816-0a49-4b0c-adc1-1e8b9ea306d7"/>
    <s v="failed"/>
    <x v="25"/>
    <s v="2023-01-17T14:03:57.459000+00:00"/>
    <n v="15"/>
    <n v="8"/>
    <n v="0.53333333333333333"/>
    <x v="280"/>
    <x v="5"/>
    <s v="62"/>
    <s v="URL"/>
    <x v="5"/>
    <x v="5"/>
    <m/>
    <m/>
    <x v="0"/>
    <m/>
    <m/>
    <x v="105"/>
    <m/>
  </r>
  <r>
    <s v="031b84df-1693-4e88-b21f-6188e4a685ba"/>
    <x v="5"/>
    <s v="2c13cc4c-6bfa-4dc7-9a49-ad35738e8aaa"/>
    <s v="failed"/>
    <x v="47"/>
    <s v="2023-01-17T14:41:36.290000+00:00"/>
    <n v="42"/>
    <n v="1"/>
    <n v="2.3809523809523808E-2"/>
    <x v="281"/>
    <x v="5"/>
    <s v="62"/>
    <s v="URL"/>
    <x v="9"/>
    <x v="9"/>
    <m/>
    <m/>
    <x v="0"/>
    <m/>
    <m/>
    <x v="105"/>
    <m/>
  </r>
  <r>
    <s v="7c928b85-585d-45c8-8c3a-b7b1b9a5fff7"/>
    <x v="5"/>
    <s v="b11a7f78-3598-44a3-8eb0-f8bf52a5e29b"/>
    <s v="failed"/>
    <x v="0"/>
    <s v="2023-01-17T16:32:59.984000+00:00"/>
    <n v="36"/>
    <n v="16"/>
    <n v="0.44444444444444442"/>
    <x v="282"/>
    <x v="5"/>
    <s v="62"/>
    <s v="URL"/>
    <x v="1"/>
    <x v="1"/>
    <m/>
    <m/>
    <x v="0"/>
    <m/>
    <m/>
    <x v="105"/>
    <m/>
  </r>
  <r>
    <s v="7c928b85-585d-45c8-8c3a-b7b1b9a5fff7"/>
    <x v="5"/>
    <s v="b11a7f78-3598-44a3-8eb0-f8bf52a5e29b"/>
    <s v="failed"/>
    <x v="20"/>
    <s v="2023-01-17T16:32:59.984000+00:00"/>
    <n v="36"/>
    <n v="17"/>
    <n v="0.47222222222222221"/>
    <x v="283"/>
    <x v="5"/>
    <s v="62"/>
    <s v="URL"/>
    <x v="19"/>
    <x v="19"/>
    <m/>
    <m/>
    <x v="0"/>
    <m/>
    <m/>
    <x v="105"/>
    <m/>
  </r>
  <r>
    <s v="a5d26f16-3728-45e9-bd55-edbef216b149"/>
    <x v="5"/>
    <s v="5aa9cad4-8c35-4454-ae14-75068b4080f4"/>
    <s v="failed"/>
    <x v="35"/>
    <s v="2023-01-17T18:17:02.897000+00:00"/>
    <n v="20"/>
    <n v="1"/>
    <n v="0.05"/>
    <x v="283"/>
    <x v="5"/>
    <s v="62"/>
    <s v="URL"/>
    <x v="1"/>
    <x v="1"/>
    <m/>
    <s v="geen inductieve ontvangen ondanks dat hij duidelijk van de rails rijdt op basis van de beelden. "/>
    <x v="0"/>
    <m/>
    <m/>
    <x v="105"/>
    <m/>
  </r>
  <r>
    <s v="40796cef-56c5-4e61-af49-ea8c52797cf4"/>
    <x v="5"/>
    <s v="dc4f9f5b-f030-4097-aeea-3ce85a4ab885"/>
    <s v="failed"/>
    <x v="35"/>
    <s v="2023-01-17T20:29:34.099000+00:00"/>
    <n v="19"/>
    <n v="18"/>
    <n v="0.94736842105263153"/>
    <x v="284"/>
    <x v="5"/>
    <s v="62"/>
    <s v="URL"/>
    <x v="1"/>
    <x v="1"/>
    <m/>
    <s v="robot rijdt plots nog wat naar voor (lijkt zich net voor error nog op de beton te kunnen trekken waardoor hij wat verder bolt tijdens error ) en ontvangt dan nog inductieve"/>
    <x v="0"/>
    <m/>
    <m/>
    <x v="105"/>
    <m/>
  </r>
  <r>
    <s v="c90b7a46-f89e-4887-854e-ac4a31d77a91"/>
    <x v="5"/>
    <s v="a795bdb8-04ad-4653-9b11-27358da5597a"/>
    <s v="failed"/>
    <x v="45"/>
    <s v="2023-01-17T20:45:50.300000+00:00"/>
    <n v="36"/>
    <n v="0"/>
    <n v="0"/>
    <x v="285"/>
    <x v="5"/>
    <s v="63"/>
    <s v="URL"/>
    <x v="3"/>
    <x v="3"/>
    <m/>
    <m/>
    <x v="0"/>
    <m/>
    <m/>
    <x v="105"/>
    <m/>
  </r>
  <r>
    <m/>
    <x v="5"/>
    <s v="b681193b-083d-43f7-9ad4-5b29602f60a1"/>
    <s v="stopped"/>
    <x v="3"/>
    <s v="2023-01-17T21:21:38.448000+00:00"/>
    <n v="35"/>
    <n v="4"/>
    <n v="0.11428571428571428"/>
    <x v="4"/>
    <x v="5"/>
    <s v="63"/>
    <m/>
    <x v="2"/>
    <x v="2"/>
    <m/>
    <m/>
    <x v="0"/>
    <m/>
    <m/>
    <x v="105"/>
    <m/>
  </r>
  <r>
    <m/>
    <x v="5"/>
    <s v="82583452-6d7e-4c93-83c3-f8b304cc4032"/>
    <s v="completed"/>
    <x v="3"/>
    <s v="2023-01-17T23:16:29.106000+00:00"/>
    <n v="31"/>
    <n v="31"/>
    <n v="1"/>
    <x v="4"/>
    <x v="5"/>
    <s v="63"/>
    <m/>
    <x v="2"/>
    <x v="2"/>
    <m/>
    <m/>
    <x v="0"/>
    <m/>
    <m/>
    <x v="105"/>
    <m/>
  </r>
  <r>
    <s v="ca93a594-e8aa-46f1-ba85-bcf831169888"/>
    <x v="5"/>
    <s v="18037327-f799-45d2-9aae-e5d759be6d15"/>
    <s v="failed"/>
    <x v="0"/>
    <s v="2023-01-18T12:29:37.482000+00:00"/>
    <n v="34"/>
    <n v="0"/>
    <n v="0"/>
    <x v="124"/>
    <x v="5"/>
    <s v="64"/>
    <s v="URL"/>
    <x v="3"/>
    <x v="3"/>
    <m/>
    <m/>
    <x v="0"/>
    <m/>
    <m/>
    <x v="106"/>
    <m/>
  </r>
  <r>
    <s v="8e77a674-292c-4ded-a489-880c90683c40"/>
    <x v="5"/>
    <s v="18037327-f799-45d2-9aae-e5d759be6d15"/>
    <s v="failed"/>
    <x v="45"/>
    <s v="2023-01-18T12:36:17.722000+00:00"/>
    <n v="34"/>
    <n v="1"/>
    <n v="2.9411764705882353E-2"/>
    <x v="124"/>
    <x v="5"/>
    <s v="64"/>
    <s v="URL"/>
    <x v="16"/>
    <x v="16"/>
    <m/>
    <m/>
    <x v="0"/>
    <m/>
    <m/>
    <x v="106"/>
    <m/>
  </r>
  <r>
    <m/>
    <x v="5"/>
    <s v="a88e80c9-aae5-482e-b081-f7d92cb018af"/>
    <s v="completed"/>
    <x v="3"/>
    <s v="2023-01-18T21:56:56.540000+00:00"/>
    <n v="36"/>
    <n v="36"/>
    <n v="1"/>
    <x v="4"/>
    <x v="5"/>
    <s v="63"/>
    <m/>
    <x v="2"/>
    <x v="2"/>
    <m/>
    <m/>
    <x v="0"/>
    <m/>
    <m/>
    <x v="106"/>
    <m/>
  </r>
  <r>
    <m/>
    <x v="5"/>
    <s v="840c8f1c-229d-4871-a4e5-397827428a79"/>
    <s v="stopped"/>
    <x v="3"/>
    <s v="2023-01-19T10:08:42.094000+00:00"/>
    <n v="42"/>
    <n v="0"/>
    <n v="0"/>
    <x v="4"/>
    <x v="5"/>
    <s v="64"/>
    <m/>
    <x v="2"/>
    <x v="2"/>
    <m/>
    <m/>
    <x v="0"/>
    <m/>
    <m/>
    <x v="107"/>
    <m/>
  </r>
  <r>
    <m/>
    <x v="5"/>
    <s v="384595aa-1ad1-4b1e-b464-6fd7268dfcad"/>
    <s v="stopped"/>
    <x v="3"/>
    <s v="2023-01-19T10:52:44.560000+00:00"/>
    <n v="41"/>
    <n v="1"/>
    <n v="2.4390243902439025E-2"/>
    <x v="4"/>
    <x v="5"/>
    <s v="64"/>
    <m/>
    <x v="2"/>
    <x v="2"/>
    <m/>
    <m/>
    <x v="0"/>
    <m/>
    <m/>
    <x v="107"/>
    <m/>
  </r>
  <r>
    <m/>
    <x v="5"/>
    <s v="453df34a-f535-417f-9491-ff8592f216de"/>
    <s v="stopped"/>
    <x v="3"/>
    <s v="2023-01-19T14:25:44.759000+00:00"/>
    <n v="34"/>
    <n v="0"/>
    <n v="0"/>
    <x v="4"/>
    <x v="5"/>
    <s v="64"/>
    <m/>
    <x v="2"/>
    <x v="2"/>
    <m/>
    <m/>
    <x v="0"/>
    <m/>
    <m/>
    <x v="107"/>
    <m/>
  </r>
  <r>
    <m/>
    <x v="5"/>
    <s v="a5c34ebd-8f06-4c3e-b37c-235f5ed79d60"/>
    <s v="stopped"/>
    <x v="0"/>
    <s v="2023-01-19T16:01:46.831000+00:00"/>
    <n v="31"/>
    <n v="0"/>
    <n v="0"/>
    <x v="286"/>
    <x v="5"/>
    <s v="62"/>
    <m/>
    <x v="1"/>
    <x v="1"/>
    <m/>
    <m/>
    <x v="0"/>
    <m/>
    <m/>
    <x v="107"/>
    <m/>
  </r>
  <r>
    <m/>
    <x v="5"/>
    <s v="ac520799-5eeb-43da-83bc-88cc0acbec80"/>
    <s v="completed"/>
    <x v="3"/>
    <s v="2023-01-20T05:54:59.883000+00:00"/>
    <n v="5"/>
    <n v="5"/>
    <n v="1"/>
    <x v="4"/>
    <x v="5"/>
    <s v="62"/>
    <m/>
    <x v="2"/>
    <x v="2"/>
    <m/>
    <m/>
    <x v="0"/>
    <m/>
    <m/>
    <x v="108"/>
    <m/>
  </r>
  <r>
    <m/>
    <x v="5"/>
    <s v="9c3a1e3f-2249-404c-a10c-dec3bcaa164c"/>
    <s v="completed"/>
    <x v="3"/>
    <s v="2023-01-20T13:29:38.522000+00:00"/>
    <n v="1"/>
    <n v="1"/>
    <n v="1"/>
    <x v="4"/>
    <x v="5"/>
    <s v="62"/>
    <m/>
    <x v="2"/>
    <x v="2"/>
    <m/>
    <m/>
    <x v="0"/>
    <m/>
    <m/>
    <x v="108"/>
    <m/>
  </r>
  <r>
    <s v="c390a24e-cbee-406e-a498-c0c72a2e1744"/>
    <x v="5"/>
    <s v="0f42fd65-aca8-4c06-b8f9-0aca74f0e0c6"/>
    <s v="failed"/>
    <x v="0"/>
    <s v="2023-01-20T17:03:04.413000+00:00"/>
    <n v="45"/>
    <n v="1"/>
    <n v="2.2222222222222223E-2"/>
    <x v="287"/>
    <x v="5"/>
    <s v="62"/>
    <s v="URL"/>
    <x v="1"/>
    <x v="1"/>
    <m/>
    <m/>
    <x v="0"/>
    <m/>
    <m/>
    <x v="108"/>
    <m/>
  </r>
  <r>
    <s v="9a3a6e85-dc8a-4dd2-b408-f657aed03e27"/>
    <x v="5"/>
    <s v="0f42fd65-aca8-4c06-b8f9-0aca74f0e0c6"/>
    <s v="failed"/>
    <x v="0"/>
    <s v="2023-01-20T17:21:20.818000+00:00"/>
    <n v="45"/>
    <n v="7"/>
    <n v="0.15555555555555556"/>
    <x v="288"/>
    <x v="5"/>
    <s v="62"/>
    <s v="URL"/>
    <x v="6"/>
    <x v="6"/>
    <m/>
    <m/>
    <x v="0"/>
    <m/>
    <m/>
    <x v="108"/>
    <m/>
  </r>
  <r>
    <s v="9986941a-4792-456e-90d2-657f0b37822c"/>
    <x v="5"/>
    <s v="0f42fd65-aca8-4c06-b8f9-0aca74f0e0c6"/>
    <s v="failed"/>
    <x v="0"/>
    <s v="2023-01-20T17:44:36.321000+00:00"/>
    <n v="45"/>
    <n v="9"/>
    <n v="0.2"/>
    <x v="289"/>
    <x v="5"/>
    <s v="62"/>
    <s v="URL"/>
    <x v="16"/>
    <x v="16"/>
    <m/>
    <m/>
    <x v="0"/>
    <m/>
    <m/>
    <x v="108"/>
    <m/>
  </r>
  <r>
    <s v="d02717f1-ada7-4a60-98f4-178761cc21f9"/>
    <x v="5"/>
    <s v="0f42fd65-aca8-4c06-b8f9-0aca74f0e0c6"/>
    <s v="failed"/>
    <x v="19"/>
    <s v="2023-01-20T18:28:59.142000+00:00"/>
    <n v="45"/>
    <n v="15"/>
    <n v="0.33333333333333331"/>
    <x v="290"/>
    <x v="5"/>
    <s v="62"/>
    <s v="URL"/>
    <x v="16"/>
    <x v="16"/>
    <m/>
    <m/>
    <x v="0"/>
    <m/>
    <m/>
    <x v="108"/>
    <m/>
  </r>
  <r>
    <s v="fb5b85e9-fe60-4ef1-9678-c2cab37b38f4"/>
    <x v="5"/>
    <s v="960d5d67-4036-43df-ad49-5a2315b53402"/>
    <s v="completed"/>
    <x v="0"/>
    <s v="2023-01-20T18:53:00.185000+00:00"/>
    <n v="30"/>
    <n v="0"/>
    <n v="0"/>
    <x v="291"/>
    <x v="5"/>
    <s v="62"/>
    <s v="URL"/>
    <x v="1"/>
    <x v="1"/>
    <m/>
    <m/>
    <x v="0"/>
    <m/>
    <m/>
    <x v="108"/>
    <m/>
  </r>
  <r>
    <s v="9a764e26-b9d5-411f-bfc8-1c401de15424"/>
    <x v="5"/>
    <s v="960d5d67-4036-43df-ad49-5a2315b53402"/>
    <s v="completed"/>
    <x v="0"/>
    <s v="2023-01-20T18:56:59.597000+00:00"/>
    <n v="30"/>
    <n v="1"/>
    <n v="3.3333333333333333E-2"/>
    <x v="292"/>
    <x v="5"/>
    <s v="62"/>
    <s v="URL"/>
    <x v="1"/>
    <x v="1"/>
    <m/>
    <m/>
    <x v="0"/>
    <m/>
    <m/>
    <x v="108"/>
    <m/>
  </r>
  <r>
    <s v="40a259b8-c4d7-4826-aef7-226c8578c41a"/>
    <x v="5"/>
    <s v="960d5d67-4036-43df-ad49-5a2315b53402"/>
    <s v="completed"/>
    <x v="0"/>
    <s v="2023-01-20T19:17:47.106000+00:00"/>
    <n v="30"/>
    <n v="7"/>
    <n v="0.23333333333333334"/>
    <x v="293"/>
    <x v="5"/>
    <s v="62"/>
    <s v="URL"/>
    <x v="1"/>
    <x v="1"/>
    <m/>
    <m/>
    <x v="0"/>
    <m/>
    <m/>
    <x v="108"/>
    <m/>
  </r>
  <r>
    <m/>
    <x v="5"/>
    <s v="960d5d67-4036-43df-ad49-5a2315b53402"/>
    <s v="completed"/>
    <x v="3"/>
    <s v="2023-01-20T20:31:30.514000+00:00"/>
    <n v="30"/>
    <n v="27"/>
    <n v="0.9"/>
    <x v="4"/>
    <x v="5"/>
    <s v="62"/>
    <m/>
    <x v="2"/>
    <x v="2"/>
    <m/>
    <m/>
    <x v="0"/>
    <m/>
    <m/>
    <x v="108"/>
    <m/>
  </r>
  <r>
    <s v="86c68be2-76ae-4d83-93e3-0dc548f698a4"/>
    <x v="6"/>
    <s v="bb6c3755-ebf0-4dbb-bcc5-6e89bacc9a02"/>
    <s v="failed"/>
    <x v="0"/>
    <s v="2023-01-23T11:58:26.293000+00:00"/>
    <n v="5"/>
    <n v="0"/>
    <n v="0"/>
    <x v="294"/>
    <x v="5"/>
    <s v="52"/>
    <s v="URL"/>
    <x v="10"/>
    <x v="10"/>
    <m/>
    <m/>
    <x v="0"/>
    <m/>
    <m/>
    <x v="109"/>
    <m/>
  </r>
  <r>
    <s v="ee4615c9-0cb4-492d-8ef5-dcc82f2ae24e"/>
    <x v="6"/>
    <s v="bb6c3755-ebf0-4dbb-bcc5-6e89bacc9a02"/>
    <s v="failed"/>
    <x v="0"/>
    <s v="2023-01-23T11:58:46.921000+00:00"/>
    <n v="5"/>
    <n v="1"/>
    <n v="0.2"/>
    <x v="294"/>
    <x v="5"/>
    <s v="52"/>
    <s v="URL"/>
    <x v="10"/>
    <x v="10"/>
    <m/>
    <m/>
    <x v="0"/>
    <m/>
    <m/>
    <x v="109"/>
    <m/>
  </r>
  <r>
    <s v="416c6aa3-f3ee-488d-94ba-07a5b0f673e1"/>
    <x v="6"/>
    <s v="bb6c3755-ebf0-4dbb-bcc5-6e89bacc9a02"/>
    <s v="failed"/>
    <x v="0"/>
    <s v="2023-01-23T11:59:16.737000+00:00"/>
    <n v="5"/>
    <n v="2"/>
    <n v="0.4"/>
    <x v="294"/>
    <x v="5"/>
    <s v="52"/>
    <s v="URL"/>
    <x v="10"/>
    <x v="10"/>
    <m/>
    <m/>
    <x v="0"/>
    <m/>
    <m/>
    <x v="109"/>
    <m/>
  </r>
  <r>
    <s v="a6a520b1-ec2c-4faf-bbd7-bad2ba048754"/>
    <x v="6"/>
    <s v="bb6c3755-ebf0-4dbb-bcc5-6e89bacc9a02"/>
    <s v="failed"/>
    <x v="0"/>
    <s v="2023-01-23T12:13:29.674000+00:00"/>
    <n v="5"/>
    <n v="3"/>
    <n v="0.6"/>
    <x v="294"/>
    <x v="5"/>
    <s v="52"/>
    <s v="URL"/>
    <x v="10"/>
    <x v="10"/>
    <m/>
    <m/>
    <x v="0"/>
    <m/>
    <m/>
    <x v="109"/>
    <m/>
  </r>
  <r>
    <s v="662f3610-2d9e-4807-8928-8f63da4b0dab"/>
    <x v="6"/>
    <s v="bb6c3755-ebf0-4dbb-bcc5-6e89bacc9a02"/>
    <s v="failed"/>
    <x v="20"/>
    <s v="2023-01-23T12:14:29.534000+00:00"/>
    <n v="5"/>
    <n v="4"/>
    <n v="0.8"/>
    <x v="294"/>
    <x v="5"/>
    <s v="52"/>
    <s v="URL"/>
    <x v="10"/>
    <x v="10"/>
    <m/>
    <m/>
    <x v="0"/>
    <m/>
    <m/>
    <x v="109"/>
    <m/>
  </r>
  <r>
    <m/>
    <x v="6"/>
    <s v="ec80a068-d876-4c47-b1dc-b46fc6bc100e"/>
    <s v="completed"/>
    <x v="3"/>
    <s v="2023-01-23T13:11:11.203000+00:00"/>
    <n v="2"/>
    <n v="2"/>
    <n v="1"/>
    <x v="4"/>
    <x v="5"/>
    <s v="52"/>
    <m/>
    <x v="2"/>
    <x v="2"/>
    <m/>
    <m/>
    <x v="0"/>
    <m/>
    <m/>
    <x v="109"/>
    <m/>
  </r>
  <r>
    <s v="707ec81e-8eff-4298-ab81-4255903b70de"/>
    <x v="5"/>
    <s v="19371ae4-ec18-412b-a4a4-351f4455152c"/>
    <s v="failed"/>
    <x v="0"/>
    <s v="2023-01-23T16:33:20.919000+00:00"/>
    <n v="43"/>
    <n v="1"/>
    <n v="2.3255813953488372E-2"/>
    <x v="291"/>
    <x v="5"/>
    <s v="64"/>
    <s v="URL"/>
    <x v="1"/>
    <x v="1"/>
    <m/>
    <m/>
    <x v="0"/>
    <m/>
    <m/>
    <x v="109"/>
    <m/>
  </r>
  <r>
    <s v="c642772e-9290-4fb8-be5a-a5444b2d5b40"/>
    <x v="5"/>
    <s v="19371ae4-ec18-412b-a4a4-351f4455152c"/>
    <s v="failed"/>
    <x v="0"/>
    <s v="2023-01-23T16:36:27.056000+00:00"/>
    <n v="43"/>
    <n v="2"/>
    <n v="4.6511627906976744E-2"/>
    <x v="292"/>
    <x v="5"/>
    <s v="64"/>
    <s v="URL"/>
    <x v="6"/>
    <x v="6"/>
    <m/>
    <m/>
    <x v="0"/>
    <m/>
    <m/>
    <x v="109"/>
    <m/>
  </r>
  <r>
    <s v="3ab82702-50c6-47a0-8622-40f2b5d61e9f"/>
    <x v="5"/>
    <s v="19371ae4-ec18-412b-a4a4-351f4455152c"/>
    <s v="failed"/>
    <x v="0"/>
    <s v="2023-01-23T16:56:15.857000+00:00"/>
    <n v="43"/>
    <n v="4"/>
    <n v="9.3023255813953487E-2"/>
    <x v="295"/>
    <x v="5"/>
    <s v="64"/>
    <s v="URL"/>
    <x v="16"/>
    <x v="16"/>
    <m/>
    <m/>
    <x v="0"/>
    <m/>
    <m/>
    <x v="109"/>
    <m/>
  </r>
  <r>
    <s v="19a9ee35-b19c-4097-837e-33664f471886"/>
    <x v="5"/>
    <s v="19371ae4-ec18-412b-a4a4-351f4455152c"/>
    <s v="failed"/>
    <x v="0"/>
    <s v="2023-01-23T17:13:16.072000+00:00"/>
    <n v="43"/>
    <n v="7"/>
    <n v="0.16279069767441862"/>
    <x v="296"/>
    <x v="5"/>
    <s v="64"/>
    <s v="URL"/>
    <x v="18"/>
    <x v="18"/>
    <m/>
    <m/>
    <x v="0"/>
    <m/>
    <m/>
    <x v="109"/>
    <m/>
  </r>
  <r>
    <s v="2ebdecb1-a0c0-4493-9671-2be2a6f6ca0b"/>
    <x v="5"/>
    <s v="19371ae4-ec18-412b-a4a4-351f4455152c"/>
    <s v="failed"/>
    <x v="20"/>
    <s v="2023-01-23T17:13:46.702000+00:00"/>
    <n v="43"/>
    <n v="8"/>
    <n v="0.18604651162790697"/>
    <x v="293"/>
    <x v="5"/>
    <s v="64"/>
    <s v="URL"/>
    <x v="5"/>
    <x v="5"/>
    <m/>
    <m/>
    <x v="0"/>
    <m/>
    <m/>
    <x v="109"/>
    <m/>
  </r>
  <r>
    <s v="717f7898-4569-4ce0-8069-6d01421c4bac"/>
    <x v="5"/>
    <s v="db033fd2-6c0a-40cb-a269-4d3c3a9c77c0"/>
    <s v="failed"/>
    <x v="22"/>
    <s v="2023-01-23T17:45:50.485000+00:00"/>
    <n v="37"/>
    <n v="2"/>
    <n v="5.4054054054054057E-2"/>
    <x v="297"/>
    <x v="5"/>
    <s v="64"/>
    <s v="URL"/>
    <x v="6"/>
    <x v="6"/>
    <m/>
    <m/>
    <x v="0"/>
    <m/>
    <m/>
    <x v="109"/>
    <m/>
  </r>
  <r>
    <m/>
    <x v="2"/>
    <s v="92962ed2-e666-4ce9-924f-cf13cc3662f5"/>
    <s v="completed"/>
    <x v="3"/>
    <s v="2023-01-23T20:30:14.801000+00:00"/>
    <n v="69"/>
    <n v="69"/>
    <n v="1"/>
    <x v="4"/>
    <x v="0"/>
    <s v="43"/>
    <m/>
    <x v="2"/>
    <x v="2"/>
    <m/>
    <m/>
    <x v="0"/>
    <m/>
    <m/>
    <x v="109"/>
    <m/>
  </r>
  <r>
    <s v="9712255d-1966-4c9f-85a5-4f6aac1e6b6c"/>
    <x v="6"/>
    <s v="e59e40d5-73e1-4a44-b5f7-5e545f431119"/>
    <s v="failed"/>
    <x v="0"/>
    <s v="2023-01-24T07:29:37.690000+00:00"/>
    <n v="16"/>
    <n v="1"/>
    <n v="6.25E-2"/>
    <x v="294"/>
    <x v="5"/>
    <s v="52"/>
    <s v="URL"/>
    <x v="18"/>
    <x v="18"/>
    <m/>
    <m/>
    <x v="0"/>
    <m/>
    <m/>
    <x v="110"/>
    <m/>
  </r>
  <r>
    <s v="b8fccd7c-8591-4d62-91cf-d397ff2cb6d5"/>
    <x v="6"/>
    <s v="e59e40d5-73e1-4a44-b5f7-5e545f431119"/>
    <s v="failed"/>
    <x v="0"/>
    <s v="2023-01-24T07:30:26.424000+00:00"/>
    <n v="16"/>
    <n v="2"/>
    <n v="0.125"/>
    <x v="294"/>
    <x v="5"/>
    <s v="52"/>
    <s v="URL"/>
    <x v="18"/>
    <x v="18"/>
    <m/>
    <m/>
    <x v="0"/>
    <m/>
    <m/>
    <x v="110"/>
    <m/>
  </r>
  <r>
    <s v="922d033e-e6b2-4457-9702-90d42f8217e2"/>
    <x v="6"/>
    <s v="e59e40d5-73e1-4a44-b5f7-5e545f431119"/>
    <s v="failed"/>
    <x v="19"/>
    <s v="2023-01-24T07:48:18.043000+00:00"/>
    <n v="16"/>
    <n v="10"/>
    <n v="0.625"/>
    <x v="298"/>
    <x v="5"/>
    <s v="52"/>
    <s v="URL"/>
    <x v="16"/>
    <x v="16"/>
    <m/>
    <m/>
    <x v="0"/>
    <m/>
    <m/>
    <x v="110"/>
    <m/>
  </r>
  <r>
    <s v="c468af7b-f381-43ce-bbae-8371f49c55c6"/>
    <x v="6"/>
    <s v="9bb5a9f9-bd46-4299-b965-277f549c21e9"/>
    <s v="completed"/>
    <x v="0"/>
    <s v="2023-01-24T10:25:32.509000+00:00"/>
    <n v="9"/>
    <n v="3"/>
    <n v="0.33333333333333331"/>
    <x v="299"/>
    <x v="5"/>
    <s v="52"/>
    <s v="URL"/>
    <x v="5"/>
    <x v="5"/>
    <m/>
    <m/>
    <x v="0"/>
    <m/>
    <m/>
    <x v="110"/>
    <m/>
  </r>
  <r>
    <m/>
    <x v="6"/>
    <s v="9bb5a9f9-bd46-4299-b965-277f549c21e9"/>
    <s v="completed"/>
    <x v="3"/>
    <s v="2023-01-24T10:40:51.366000+00:00"/>
    <n v="9"/>
    <n v="8"/>
    <n v="0.88888888888888884"/>
    <x v="4"/>
    <x v="5"/>
    <s v="52"/>
    <m/>
    <x v="2"/>
    <x v="2"/>
    <m/>
    <m/>
    <x v="0"/>
    <m/>
    <m/>
    <x v="110"/>
    <m/>
  </r>
  <r>
    <m/>
    <x v="6"/>
    <s v="cd5abb23-91fb-43fd-85a5-fca64976129e"/>
    <s v="stopped"/>
    <x v="3"/>
    <s v="2023-01-24T11:18:08.864000+00:00"/>
    <n v="22"/>
    <n v="1"/>
    <n v="4.5454545454545456E-2"/>
    <x v="4"/>
    <x v="5"/>
    <s v="51"/>
    <m/>
    <x v="2"/>
    <x v="2"/>
    <m/>
    <m/>
    <x v="0"/>
    <m/>
    <m/>
    <x v="110"/>
    <m/>
  </r>
  <r>
    <m/>
    <x v="6"/>
    <s v="fdfa0822-8961-4fbe-9e88-404cd171f216"/>
    <s v="stopped"/>
    <x v="3"/>
    <s v="2023-01-24T11:34:49.250000+00:00"/>
    <n v="14"/>
    <n v="6"/>
    <n v="0.42857142857142855"/>
    <x v="4"/>
    <x v="5"/>
    <s v="51"/>
    <m/>
    <x v="2"/>
    <x v="2"/>
    <m/>
    <m/>
    <x v="0"/>
    <m/>
    <m/>
    <x v="110"/>
    <m/>
  </r>
  <r>
    <s v="75a2ec75-b39c-46ab-8fec-9dd76ea1508f"/>
    <x v="6"/>
    <s v="36f784d4-005a-499e-8aee-e654e2e94c90"/>
    <s v="failed"/>
    <x v="22"/>
    <s v="2023-01-24T12:16:34.741000+00:00"/>
    <n v="16"/>
    <n v="2"/>
    <n v="0.125"/>
    <x v="298"/>
    <x v="5"/>
    <s v="51"/>
    <s v="URL"/>
    <x v="6"/>
    <x v="6"/>
    <s v="robot botst tegen betonrand van smal gangpad"/>
    <m/>
    <x v="0"/>
    <m/>
    <m/>
    <x v="110"/>
    <m/>
  </r>
  <r>
    <m/>
    <x v="6"/>
    <s v="1697495a-bffc-45e3-b78b-63fbfc7b7f3a"/>
    <s v="stopped"/>
    <x v="3"/>
    <s v="2023-01-24T13:29:53.154000+00:00"/>
    <n v="19"/>
    <n v="4"/>
    <n v="0.21052631578947367"/>
    <x v="4"/>
    <x v="5"/>
    <s v="51"/>
    <m/>
    <x v="2"/>
    <x v="2"/>
    <m/>
    <m/>
    <x v="0"/>
    <m/>
    <m/>
    <x v="110"/>
    <m/>
  </r>
  <r>
    <m/>
    <x v="6"/>
    <s v="0836f88d-b5a2-461a-8588-f7cd98aab569"/>
    <s v="stopped"/>
    <x v="3"/>
    <s v="2023-01-24T13:36:26.045000+00:00"/>
    <n v="15"/>
    <n v="0"/>
    <n v="0"/>
    <x v="4"/>
    <x v="5"/>
    <s v="51"/>
    <m/>
    <x v="2"/>
    <x v="2"/>
    <m/>
    <m/>
    <x v="0"/>
    <m/>
    <m/>
    <x v="110"/>
    <m/>
  </r>
  <r>
    <m/>
    <x v="6"/>
    <s v="bedcb505-a100-489f-83c5-e37ebd94d5e5"/>
    <s v="completed"/>
    <x v="3"/>
    <s v="2023-01-24T14:06:45.764000+00:00"/>
    <n v="15"/>
    <n v="15"/>
    <n v="1"/>
    <x v="4"/>
    <x v="5"/>
    <s v="51"/>
    <m/>
    <x v="2"/>
    <x v="2"/>
    <m/>
    <m/>
    <x v="0"/>
    <m/>
    <m/>
    <x v="110"/>
    <m/>
  </r>
  <r>
    <m/>
    <x v="5"/>
    <s v="dbeca59d-2252-4c90-8b58-f7a0f23d394e"/>
    <s v="completed"/>
    <x v="0"/>
    <s v="2023-01-24T14:29:24.987000+00:00"/>
    <n v="4"/>
    <n v="2"/>
    <n v="0.5"/>
    <x v="300"/>
    <x v="5"/>
    <s v="62"/>
    <m/>
    <x v="18"/>
    <x v="18"/>
    <m/>
    <m/>
    <x v="0"/>
    <m/>
    <m/>
    <x v="110"/>
    <m/>
  </r>
  <r>
    <m/>
    <x v="5"/>
    <s v="dbeca59d-2252-4c90-8b58-f7a0f23d394e"/>
    <s v="completed"/>
    <x v="3"/>
    <s v="2023-01-24T14:36:13.213000+00:00"/>
    <n v="4"/>
    <n v="3"/>
    <n v="0.75"/>
    <x v="4"/>
    <x v="5"/>
    <s v="62"/>
    <m/>
    <x v="2"/>
    <x v="2"/>
    <m/>
    <m/>
    <x v="0"/>
    <m/>
    <m/>
    <x v="110"/>
    <m/>
  </r>
  <r>
    <m/>
    <x v="6"/>
    <s v="594203a1-4dd7-4c72-90b1-36dde2b9ed1d"/>
    <s v="failed"/>
    <x v="41"/>
    <s v="2023-01-24T14:47:45.860000+00:00"/>
    <n v="8"/>
    <n v="6"/>
    <n v="0.75"/>
    <x v="301"/>
    <x v="5"/>
    <s v="51"/>
    <m/>
    <x v="5"/>
    <x v="5"/>
    <m/>
    <m/>
    <x v="0"/>
    <m/>
    <m/>
    <x v="110"/>
    <m/>
  </r>
  <r>
    <m/>
    <x v="6"/>
    <s v="6b9a2140-d366-440d-a07e-6e25679d75e6"/>
    <s v="completed"/>
    <x v="3"/>
    <s v="2023-01-24T17:42:53.110000+00:00"/>
    <n v="23"/>
    <n v="23"/>
    <n v="1"/>
    <x v="4"/>
    <x v="5"/>
    <s v="51"/>
    <m/>
    <x v="2"/>
    <x v="2"/>
    <m/>
    <m/>
    <x v="0"/>
    <m/>
    <m/>
    <x v="110"/>
    <m/>
  </r>
  <r>
    <m/>
    <x v="5"/>
    <s v="cd2effac-6494-440a-bd30-cf42cac809bb"/>
    <m/>
    <x v="3"/>
    <s v="2023-01-24T18:41:29.515000+00:00"/>
    <n v="43"/>
    <n v="42"/>
    <n v="0.97674418604651159"/>
    <x v="287"/>
    <x v="5"/>
    <s v="62"/>
    <m/>
    <x v="1"/>
    <x v="1"/>
    <m/>
    <m/>
    <x v="0"/>
    <m/>
    <m/>
    <x v="110"/>
    <m/>
  </r>
  <r>
    <s v="430e2481-07e4-4d47-b39c-82a5cef4cfcc"/>
    <x v="6"/>
    <s v="f25e0c5a-23f2-4414-83b0-4551f13699e7"/>
    <s v="completed"/>
    <x v="0"/>
    <s v="2023-01-25T17:38:15.995000+00:00"/>
    <n v="23"/>
    <n v="18"/>
    <n v="0.78260869565217395"/>
    <x v="275"/>
    <x v="5"/>
    <s v="51"/>
    <s v="URL"/>
    <x v="3"/>
    <x v="3"/>
    <m/>
    <m/>
    <x v="0"/>
    <m/>
    <m/>
    <x v="111"/>
    <m/>
  </r>
  <r>
    <m/>
    <x v="6"/>
    <s v="f25e0c5a-23f2-4414-83b0-4551f13699e7"/>
    <s v="completed"/>
    <x v="3"/>
    <s v="2023-01-25T17:44:19.773000+00:00"/>
    <n v="23"/>
    <n v="22"/>
    <n v="0.95652173913043481"/>
    <x v="4"/>
    <x v="5"/>
    <s v="51"/>
    <m/>
    <x v="2"/>
    <x v="2"/>
    <m/>
    <m/>
    <x v="0"/>
    <m/>
    <m/>
    <x v="111"/>
    <m/>
  </r>
  <r>
    <m/>
    <x v="2"/>
    <s v="5394964a-6bca-4bc9-9dd4-a9f4f130a6bd"/>
    <s v="completed"/>
    <x v="3"/>
    <s v="2023-01-26T13:16:00.589000+00:00"/>
    <n v="6"/>
    <n v="6"/>
    <n v="1"/>
    <x v="4"/>
    <x v="0"/>
    <s v="43"/>
    <m/>
    <x v="2"/>
    <x v="2"/>
    <m/>
    <m/>
    <x v="0"/>
    <m/>
    <m/>
    <x v="112"/>
    <m/>
  </r>
  <r>
    <m/>
    <x v="6"/>
    <s v="c2d7108b-32b2-4d98-9d37-daada39dae6c"/>
    <s v="completed"/>
    <x v="3"/>
    <s v="2023-01-27T06:11:19.833000+00:00"/>
    <n v="6"/>
    <n v="6"/>
    <n v="1"/>
    <x v="4"/>
    <x v="5"/>
    <s v="52"/>
    <m/>
    <x v="2"/>
    <x v="2"/>
    <m/>
    <m/>
    <x v="0"/>
    <m/>
    <m/>
    <x v="113"/>
    <m/>
  </r>
  <r>
    <s v="1f7c6f65-f284-4e45-be8b-4c2ccc51b3c9"/>
    <x v="5"/>
    <s v="138e652c-9c08-418b-8b18-801955f09c65"/>
    <m/>
    <x v="0"/>
    <s v="2023-01-27T16:30:58.966000+00:00"/>
    <n v="46"/>
    <n v="0"/>
    <n v="0"/>
    <x v="291"/>
    <x v="5"/>
    <s v="64"/>
    <s v="URL"/>
    <x v="6"/>
    <x v="6"/>
    <m/>
    <m/>
    <x v="0"/>
    <m/>
    <m/>
    <x v="113"/>
    <m/>
  </r>
  <r>
    <s v="38dd2f5e-66ea-4560-a70b-c41ad8dfecf0"/>
    <x v="5"/>
    <s v="138e652c-9c08-418b-8b18-801955f09c65"/>
    <m/>
    <x v="0"/>
    <s v="2023-01-27T16:46:25.494000+00:00"/>
    <n v="46"/>
    <n v="1"/>
    <n v="2.1739130434782608E-2"/>
    <x v="291"/>
    <x v="5"/>
    <s v="64"/>
    <s v="URL"/>
    <x v="1"/>
    <x v="1"/>
    <m/>
    <m/>
    <x v="0"/>
    <m/>
    <m/>
    <x v="113"/>
    <m/>
  </r>
  <r>
    <s v="ea173358-9bb6-42f4-b8ce-57f5e2e1f742"/>
    <x v="5"/>
    <s v="138e652c-9c08-418b-8b18-801955f09c65"/>
    <m/>
    <x v="0"/>
    <s v="2023-01-27T16:58:29.241000+00:00"/>
    <n v="46"/>
    <n v="5"/>
    <n v="0.10869565217391304"/>
    <x v="302"/>
    <x v="5"/>
    <s v="64"/>
    <s v="URL"/>
    <x v="16"/>
    <x v="16"/>
    <m/>
    <m/>
    <x v="0"/>
    <m/>
    <m/>
    <x v="113"/>
    <m/>
  </r>
  <r>
    <s v="f6b0e565-beab-4f7b-b126-87ab5693fac6"/>
    <x v="5"/>
    <s v="138e652c-9c08-418b-8b18-801955f09c65"/>
    <m/>
    <x v="0"/>
    <s v="2023-01-27T17:07:03.572000+00:00"/>
    <n v="46"/>
    <n v="6"/>
    <n v="0.13043478260869565"/>
    <x v="302"/>
    <x v="5"/>
    <s v="64"/>
    <s v="URL"/>
    <x v="18"/>
    <x v="18"/>
    <m/>
    <m/>
    <x v="0"/>
    <m/>
    <m/>
    <x v="113"/>
    <m/>
  </r>
  <r>
    <s v="827fa036-5352-4821-8cb3-88ae81f27b7c"/>
    <x v="5"/>
    <s v="138e652c-9c08-418b-8b18-801955f09c65"/>
    <m/>
    <x v="0"/>
    <s v="2023-01-27T17:16:29.428000+00:00"/>
    <n v="46"/>
    <n v="9"/>
    <n v="0.19565217391304349"/>
    <x v="296"/>
    <x v="5"/>
    <s v="64"/>
    <s v="URL"/>
    <x v="18"/>
    <x v="18"/>
    <m/>
    <m/>
    <x v="0"/>
    <m/>
    <m/>
    <x v="113"/>
    <m/>
  </r>
  <r>
    <s v="59fda235-d50c-4a44-8d7b-1dee9a800e88"/>
    <x v="5"/>
    <s v="138e652c-9c08-418b-8b18-801955f09c65"/>
    <m/>
    <x v="0"/>
    <s v="2023-01-27T17:17:41.428000+00:00"/>
    <n v="46"/>
    <n v="10"/>
    <n v="0.21739130434782608"/>
    <x v="293"/>
    <x v="5"/>
    <s v="64"/>
    <s v="URL"/>
    <x v="18"/>
    <x v="18"/>
    <m/>
    <m/>
    <x v="0"/>
    <m/>
    <m/>
    <x v="113"/>
    <m/>
  </r>
  <r>
    <s v="a424cd5f-8a43-4032-b3ee-7784ce0f54ca"/>
    <x v="5"/>
    <s v="138e652c-9c08-418b-8b18-801955f09c65"/>
    <m/>
    <x v="20"/>
    <s v="2023-01-27T19:44:52.573000+00:00"/>
    <n v="46"/>
    <n v="45"/>
    <n v="0.97826086956521741"/>
    <x v="287"/>
    <x v="5"/>
    <s v="64"/>
    <s v="URL"/>
    <x v="1"/>
    <x v="1"/>
    <m/>
    <s v="geen inductieve ontvangen ondanks dat hij lijkt van de rail te rijden"/>
    <x v="0"/>
    <m/>
    <m/>
    <x v="113"/>
    <m/>
  </r>
  <r>
    <s v="f657c4fb-4105-45d7-bcfa-fe61e9a76259"/>
    <x v="5"/>
    <s v="72f909af-3e2c-45ec-9b6d-a5f3fbfbb183"/>
    <s v="stopped"/>
    <x v="0"/>
    <s v="2023-01-30T16:16:44.395000+00:00"/>
    <n v="46"/>
    <n v="1"/>
    <n v="2.1739130434782608E-2"/>
    <x v="291"/>
    <x v="5"/>
    <s v="62"/>
    <s v="URL"/>
    <x v="0"/>
    <x v="0"/>
    <m/>
    <m/>
    <x v="0"/>
    <m/>
    <m/>
    <x v="114"/>
    <m/>
  </r>
  <r>
    <s v="a53f7a5e-f675-4cd6-b92a-c7ce96d03276"/>
    <x v="5"/>
    <s v="72f909af-3e2c-45ec-9b6d-a5f3fbfbb183"/>
    <s v="stopped"/>
    <x v="0"/>
    <s v="2023-01-30T16:20:43.019000+00:00"/>
    <n v="46"/>
    <n v="2"/>
    <n v="4.3478260869565216E-2"/>
    <x v="292"/>
    <x v="5"/>
    <s v="62"/>
    <s v="URL"/>
    <x v="9"/>
    <x v="9"/>
    <m/>
    <m/>
    <x v="0"/>
    <m/>
    <m/>
    <x v="114"/>
    <m/>
  </r>
  <r>
    <s v="7e66018b-99b1-4596-be6e-abaa564905b5"/>
    <x v="5"/>
    <s v="72f909af-3e2c-45ec-9b6d-a5f3fbfbb183"/>
    <s v="stopped"/>
    <x v="0"/>
    <s v="2023-01-30T16:27:36.077000+00:00"/>
    <n v="46"/>
    <n v="3"/>
    <n v="6.5217391304347824E-2"/>
    <x v="292"/>
    <x v="5"/>
    <s v="62"/>
    <s v="URL"/>
    <x v="18"/>
    <x v="18"/>
    <m/>
    <m/>
    <x v="0"/>
    <m/>
    <m/>
    <x v="114"/>
    <m/>
  </r>
  <r>
    <s v="9117ccfe-4038-4470-bc07-f10cac3b242e"/>
    <x v="5"/>
    <s v="72f909af-3e2c-45ec-9b6d-a5f3fbfbb183"/>
    <s v="stopped"/>
    <x v="0"/>
    <s v="2023-01-30T16:31:26.479000+00:00"/>
    <n v="46"/>
    <n v="4"/>
    <n v="8.6956521739130432E-2"/>
    <x v="292"/>
    <x v="5"/>
    <s v="62"/>
    <s v="URL"/>
    <x v="0"/>
    <x v="0"/>
    <m/>
    <m/>
    <x v="0"/>
    <m/>
    <m/>
    <x v="114"/>
    <m/>
  </r>
  <r>
    <s v="e0878d6c-b4ba-42d1-adc5-76ad25bcb260"/>
    <x v="5"/>
    <s v="72f909af-3e2c-45ec-9b6d-a5f3fbfbb183"/>
    <s v="stopped"/>
    <x v="0"/>
    <s v="2023-01-30T16:35:24.925000+00:00"/>
    <n v="46"/>
    <n v="5"/>
    <n v="0.10869565217391304"/>
    <x v="303"/>
    <x v="5"/>
    <s v="62"/>
    <s v="URL"/>
    <x v="0"/>
    <x v="0"/>
    <m/>
    <m/>
    <x v="0"/>
    <m/>
    <m/>
    <x v="114"/>
    <m/>
  </r>
  <r>
    <s v="f53f260a-a876-44e0-bf71-08dec8b24339"/>
    <x v="5"/>
    <s v="91357509-c3c8-4fe9-8544-423262291d7f"/>
    <s v="failed"/>
    <x v="0"/>
    <s v="2023-01-30T16:47:59.991000+00:00"/>
    <n v="41"/>
    <n v="0"/>
    <n v="0"/>
    <x v="303"/>
    <x v="5"/>
    <s v="62"/>
    <s v="URL"/>
    <x v="0"/>
    <x v="0"/>
    <m/>
    <m/>
    <x v="0"/>
    <m/>
    <m/>
    <x v="114"/>
    <m/>
  </r>
  <r>
    <s v="6f90ac49-f726-449b-8cc0-0999ee56bcbf"/>
    <x v="5"/>
    <s v="91357509-c3c8-4fe9-8544-423262291d7f"/>
    <s v="failed"/>
    <x v="0"/>
    <s v="2023-01-30T16:51:55.302000+00:00"/>
    <n v="41"/>
    <n v="1"/>
    <n v="2.4390243902439025E-2"/>
    <x v="295"/>
    <x v="5"/>
    <s v="62"/>
    <s v="URL"/>
    <x v="0"/>
    <x v="0"/>
    <m/>
    <m/>
    <x v="0"/>
    <m/>
    <m/>
    <x v="114"/>
    <m/>
  </r>
  <r>
    <s v="724ddecd-388c-467d-8119-e2c3246e989c"/>
    <x v="5"/>
    <s v="91357509-c3c8-4fe9-8544-423262291d7f"/>
    <s v="failed"/>
    <x v="0"/>
    <s v="2023-01-30T17:01:16.520000+00:00"/>
    <n v="41"/>
    <n v="2"/>
    <n v="4.878048780487805E-2"/>
    <x v="295"/>
    <x v="5"/>
    <s v="62"/>
    <s v="URL"/>
    <x v="0"/>
    <x v="0"/>
    <m/>
    <m/>
    <x v="0"/>
    <m/>
    <m/>
    <x v="114"/>
    <m/>
  </r>
  <r>
    <s v="9d346523-14a0-49c6-8dde-6f6a0f41eb5b"/>
    <x v="5"/>
    <s v="91357509-c3c8-4fe9-8544-423262291d7f"/>
    <s v="failed"/>
    <x v="20"/>
    <s v="2023-01-30T17:05:12.397000+00:00"/>
    <n v="41"/>
    <n v="3"/>
    <n v="7.3170731707317069E-2"/>
    <x v="302"/>
    <x v="5"/>
    <s v="62"/>
    <s v="URL"/>
    <x v="0"/>
    <x v="0"/>
    <m/>
    <m/>
    <x v="0"/>
    <m/>
    <m/>
    <x v="114"/>
    <m/>
  </r>
  <r>
    <s v="cd75ae63-6534-4fe3-99de-1807b5eba9ae"/>
    <x v="6"/>
    <s v="2c0e30ba-109d-484d-a4b8-679543b8e563"/>
    <s v="failed"/>
    <x v="0"/>
    <s v="2023-01-30T17:07:25.549000+00:00"/>
    <n v="20"/>
    <n v="5"/>
    <n v="0.25"/>
    <x v="299"/>
    <x v="5"/>
    <s v="52"/>
    <s v="URL"/>
    <x v="18"/>
    <x v="18"/>
    <s v="Lijkt met implement tegen de goot te botsen. Vermoedelijk tegen zo'n metalen haakje dat uitsteekt, want hij rijdt wel de rail op."/>
    <m/>
    <x v="0"/>
    <m/>
    <m/>
    <x v="114"/>
    <m/>
  </r>
  <r>
    <m/>
    <x v="5"/>
    <s v="cb1372c0-1bf5-4f5d-b2e0-74a000aefc5c"/>
    <s v="failed"/>
    <x v="0"/>
    <s v="2023-01-30T17:24:52.715000+00:00"/>
    <n v="38"/>
    <n v="1"/>
    <n v="2.6315789473684209E-2"/>
    <x v="304"/>
    <x v="5"/>
    <s v="62"/>
    <m/>
    <x v="1"/>
    <x v="1"/>
    <m/>
    <m/>
    <x v="0"/>
    <m/>
    <m/>
    <x v="114"/>
    <m/>
  </r>
  <r>
    <s v="899f5ae4-5233-4632-a98a-33da2583a137"/>
    <x v="6"/>
    <s v="2c0e30ba-109d-484d-a4b8-679543b8e563"/>
    <s v="failed"/>
    <x v="25"/>
    <s v="2023-01-30T17:32:57.808000+00:00"/>
    <n v="20"/>
    <n v="17"/>
    <n v="0.85"/>
    <x v="305"/>
    <x v="5"/>
    <s v="52"/>
    <s v="URL"/>
    <x v="5"/>
    <x v="5"/>
    <s v="botsing tijdens laneswitch"/>
    <m/>
    <x v="0"/>
    <m/>
    <m/>
    <x v="114"/>
    <m/>
  </r>
  <r>
    <m/>
    <x v="5"/>
    <s v="cb1372c0-1bf5-4f5d-b2e0-74a000aefc5c"/>
    <s v="failed"/>
    <x v="35"/>
    <s v="2023-01-30T19:26:41.423000+00:00"/>
    <n v="38"/>
    <n v="37"/>
    <n v="0.97368421052631582"/>
    <x v="287"/>
    <x v="5"/>
    <s v="62"/>
    <m/>
    <x v="1"/>
    <x v="1"/>
    <m/>
    <m/>
    <x v="0"/>
    <m/>
    <m/>
    <x v="114"/>
    <m/>
  </r>
  <r>
    <m/>
    <x v="5"/>
    <s v="cc3d8ba7-b58c-4d65-abed-045317814aa5"/>
    <m/>
    <x v="3"/>
    <s v="2023-01-30T19:43:57.735000+00:00"/>
    <n v="1"/>
    <n v="0"/>
    <n v="0"/>
    <x v="287"/>
    <x v="5"/>
    <s v="62"/>
    <m/>
    <x v="1"/>
    <x v="1"/>
    <m/>
    <m/>
    <x v="0"/>
    <m/>
    <m/>
    <x v="114"/>
    <m/>
  </r>
  <r>
    <m/>
    <x v="7"/>
    <s v="a2d2f14f-2ec9-4f4e-b0ad-eb8b8c12f3b9"/>
    <s v="completed"/>
    <x v="3"/>
    <s v="2023-01-31T09:53:41.123000+00:00"/>
    <n v="8"/>
    <n v="8"/>
    <n v="1"/>
    <x v="4"/>
    <x v="2"/>
    <n v="10"/>
    <m/>
    <x v="2"/>
    <x v="2"/>
    <m/>
    <m/>
    <x v="0"/>
    <m/>
    <m/>
    <x v="115"/>
    <m/>
  </r>
  <r>
    <m/>
    <x v="7"/>
    <s v="420503fa-9ae3-403a-9dac-d0d46f73915a"/>
    <s v="stopped"/>
    <x v="3"/>
    <s v="2023-01-31T11:02:59.531000+00:00"/>
    <n v="23"/>
    <n v="1"/>
    <n v="4.3478260869565001E-2"/>
    <x v="4"/>
    <x v="2"/>
    <n v="10"/>
    <m/>
    <x v="2"/>
    <x v="2"/>
    <m/>
    <m/>
    <x v="0"/>
    <m/>
    <m/>
    <x v="115"/>
    <m/>
  </r>
  <r>
    <m/>
    <x v="7"/>
    <s v="91655575-ae1b-404f-b720-64b158852462"/>
    <s v="stopped"/>
    <x v="3"/>
    <s v="2023-01-31T11:03:47.110000+00:00"/>
    <n v="119"/>
    <n v="1"/>
    <n v="8.4033613445380004E-3"/>
    <x v="4"/>
    <x v="0"/>
    <n v="10"/>
    <m/>
    <x v="2"/>
    <x v="2"/>
    <m/>
    <m/>
    <x v="0"/>
    <m/>
    <m/>
    <x v="115"/>
    <m/>
  </r>
  <r>
    <m/>
    <x v="7"/>
    <s v="79d59ef9-cecc-4a39-93ac-30fed7dc84ba"/>
    <s v="stopped"/>
    <x v="3"/>
    <s v="2023-01-31T11:05:12.965000+00:00"/>
    <n v="119"/>
    <n v="1"/>
    <n v="8.4033613445380004E-3"/>
    <x v="4"/>
    <x v="0"/>
    <n v="10"/>
    <m/>
    <x v="2"/>
    <x v="2"/>
    <m/>
    <m/>
    <x v="0"/>
    <m/>
    <m/>
    <x v="115"/>
    <m/>
  </r>
  <r>
    <m/>
    <x v="5"/>
    <s v="e4d38f76-997e-479a-80ca-886c96f7c74f"/>
    <s v="completed"/>
    <x v="3"/>
    <s v="2023-01-31T14:21:27.600000+00:00"/>
    <n v="3"/>
    <n v="3"/>
    <n v="1"/>
    <x v="4"/>
    <x v="5"/>
    <n v="64"/>
    <m/>
    <x v="2"/>
    <x v="2"/>
    <m/>
    <m/>
    <x v="0"/>
    <m/>
    <m/>
    <x v="115"/>
    <m/>
  </r>
  <r>
    <m/>
    <x v="5"/>
    <s v="48fc4da1-8e8b-4a51-9889-f4d82fad3be1"/>
    <m/>
    <x v="0"/>
    <s v="2023-01-31T16:17:33.092000+00:00"/>
    <n v="45"/>
    <n v="1"/>
    <n v="2.2222222222222001E-2"/>
    <x v="291"/>
    <x v="5"/>
    <n v="64"/>
    <m/>
    <x v="1"/>
    <x v="1"/>
    <m/>
    <m/>
    <x v="0"/>
    <m/>
    <m/>
    <x v="115"/>
    <m/>
  </r>
  <r>
    <m/>
    <x v="5"/>
    <s v="48fc4da1-8e8b-4a51-9889-f4d82fad3be1"/>
    <m/>
    <x v="0"/>
    <s v="2023-01-31T16:47:31.313000+00:00"/>
    <n v="45"/>
    <n v="10"/>
    <n v="0.22222222222222199"/>
    <x v="306"/>
    <x v="5"/>
    <n v="64"/>
    <m/>
    <x v="16"/>
    <x v="16"/>
    <m/>
    <m/>
    <x v="0"/>
    <m/>
    <m/>
    <x v="115"/>
    <m/>
  </r>
  <r>
    <m/>
    <x v="5"/>
    <s v="48fc4da1-8e8b-4a51-9889-f4d82fad3be1"/>
    <m/>
    <x v="0"/>
    <s v="2023-01-31T17:18:09.130000+00:00"/>
    <n v="45"/>
    <n v="16"/>
    <n v="0.35555555555555601"/>
    <x v="307"/>
    <x v="5"/>
    <n v="64"/>
    <m/>
    <x v="16"/>
    <x v="16"/>
    <m/>
    <m/>
    <x v="0"/>
    <m/>
    <m/>
    <x v="115"/>
    <m/>
  </r>
  <r>
    <s v="bf7bd3aa-f03d-431e-979a-ddac50321451"/>
    <x v="6"/>
    <s v="fa697d33-b153-472e-9a7f-007a36e62631"/>
    <s v="completed"/>
    <x v="0"/>
    <s v="2023-01-31T17:53:08.624000+00:00"/>
    <n v="23"/>
    <n v="11"/>
    <n v="0.47826086956521702"/>
    <x v="308"/>
    <x v="5"/>
    <n v="51"/>
    <s v="URL"/>
    <x v="3"/>
    <x v="3"/>
    <s v="voorwiel slip"/>
    <m/>
    <x v="0"/>
    <m/>
    <m/>
    <x v="115"/>
    <m/>
  </r>
  <r>
    <m/>
    <x v="6"/>
    <s v="fa697d33-b153-472e-9a7f-007a36e62631"/>
    <s v="completed"/>
    <x v="3"/>
    <s v="2023-01-31T18:15:20.803000+00:00"/>
    <n v="23"/>
    <n v="22"/>
    <n v="0.95652173913043503"/>
    <x v="4"/>
    <x v="5"/>
    <n v="51"/>
    <m/>
    <x v="2"/>
    <x v="2"/>
    <m/>
    <m/>
    <x v="0"/>
    <m/>
    <m/>
    <x v="115"/>
    <m/>
  </r>
  <r>
    <m/>
    <x v="5"/>
    <s v="48fc4da1-8e8b-4a51-9889-f4d82fad3be1"/>
    <m/>
    <x v="19"/>
    <s v="2023-01-31T19:05:04.385000+00:00"/>
    <n v="45"/>
    <n v="44"/>
    <n v="0.97777777777777797"/>
    <x v="287"/>
    <x v="5"/>
    <n v="64"/>
    <m/>
    <x v="1"/>
    <x v="1"/>
    <m/>
    <m/>
    <x v="0"/>
    <m/>
    <m/>
    <x v="115"/>
    <m/>
  </r>
  <r>
    <m/>
    <x v="5"/>
    <s v="d02168f4-7cd6-4c35-92e3-1f4c09e4ecf0"/>
    <s v="completed"/>
    <x v="3"/>
    <s v="2023-02-01T12:34:30.397000+00:00"/>
    <n v="3"/>
    <n v="3"/>
    <n v="1"/>
    <x v="4"/>
    <x v="5"/>
    <n v="61"/>
    <m/>
    <x v="2"/>
    <x v="2"/>
    <m/>
    <m/>
    <x v="0"/>
    <m/>
    <m/>
    <x v="116"/>
    <m/>
  </r>
  <r>
    <m/>
    <x v="5"/>
    <s v="d02168f4-7cd6-4c35-92e3-1f4c09e4ecf0"/>
    <s v="completed"/>
    <x v="3"/>
    <s v="2023-02-01T12:34:30.397000+00:00"/>
    <n v="3"/>
    <n v="3"/>
    <n v="1"/>
    <x v="4"/>
    <x v="5"/>
    <s v="61"/>
    <m/>
    <x v="2"/>
    <x v="2"/>
    <m/>
    <m/>
    <x v="0"/>
    <m/>
    <m/>
    <x v="116"/>
    <m/>
  </r>
  <r>
    <m/>
    <x v="5"/>
    <s v="0077d879-82d6-42b9-ace7-a5ae33688c57"/>
    <s v="failed"/>
    <x v="36"/>
    <s v="2023-02-01T17:37:23.377000+00:00"/>
    <n v="37"/>
    <n v="25"/>
    <n v="0.67567567567567599"/>
    <x v="309"/>
    <x v="5"/>
    <n v="61"/>
    <m/>
    <x v="25"/>
    <x v="25"/>
    <m/>
    <m/>
    <x v="0"/>
    <m/>
    <m/>
    <x v="116"/>
    <m/>
  </r>
  <r>
    <m/>
    <x v="5"/>
    <s v="0077d879-82d6-42b9-ace7-a5ae33688c57"/>
    <s v="failed"/>
    <x v="36"/>
    <s v="2023-02-01T17:37:23.377000+00:00"/>
    <n v="37"/>
    <n v="25"/>
    <n v="0.67567567567567566"/>
    <x v="309"/>
    <x v="5"/>
    <s v="61"/>
    <m/>
    <x v="25"/>
    <x v="25"/>
    <m/>
    <m/>
    <x v="0"/>
    <m/>
    <m/>
    <x v="116"/>
    <m/>
  </r>
  <r>
    <s v="ab0584cb-28fa-4c44-a7dd-4bd2e3187d10"/>
    <x v="6"/>
    <s v="d3d39eac-106a-486f-87be-5cea4502cdce"/>
    <s v="completed"/>
    <x v="0"/>
    <s v="2023-02-01T18:11:56.532000+00:00"/>
    <n v="23"/>
    <n v="4"/>
    <n v="0.173913043478261"/>
    <x v="275"/>
    <x v="5"/>
    <n v="51"/>
    <s v="URL"/>
    <x v="3"/>
    <x v="3"/>
    <s v="voorwiel slip"/>
    <m/>
    <x v="0"/>
    <m/>
    <m/>
    <x v="116"/>
    <m/>
  </r>
  <r>
    <s v="ab0584cb-28fa-4c44-a7dd-4bd2e3187d10"/>
    <x v="6"/>
    <s v="d3d39eac-106a-486f-87be-5cea4502cdce"/>
    <s v="completed"/>
    <x v="0"/>
    <s v="2023-02-01T18:11:56.532000+00:00"/>
    <n v="23"/>
    <n v="4"/>
    <n v="0.17391304347826086"/>
    <x v="275"/>
    <x v="5"/>
    <s v="51"/>
    <s v="URL"/>
    <x v="3"/>
    <x v="3"/>
    <s v="voorwiel slip"/>
    <m/>
    <x v="0"/>
    <m/>
    <m/>
    <x v="116"/>
    <m/>
  </r>
  <r>
    <m/>
    <x v="5"/>
    <s v="19afaf4d-d33c-4f7d-871c-d198bc3e45b5"/>
    <s v="completed"/>
    <x v="3"/>
    <s v="2023-02-01T18:45:31.393000+00:00"/>
    <n v="12"/>
    <n v="12"/>
    <n v="1"/>
    <x v="4"/>
    <x v="5"/>
    <n v="61"/>
    <m/>
    <x v="2"/>
    <x v="2"/>
    <m/>
    <m/>
    <x v="0"/>
    <m/>
    <m/>
    <x v="116"/>
    <m/>
  </r>
  <r>
    <m/>
    <x v="5"/>
    <s v="19afaf4d-d33c-4f7d-871c-d198bc3e45b5"/>
    <s v="completed"/>
    <x v="3"/>
    <s v="2023-02-01T18:45:31.393000+00:00"/>
    <n v="12"/>
    <n v="12"/>
    <n v="1"/>
    <x v="4"/>
    <x v="5"/>
    <s v="61"/>
    <m/>
    <x v="2"/>
    <x v="2"/>
    <m/>
    <m/>
    <x v="0"/>
    <m/>
    <m/>
    <x v="116"/>
    <m/>
  </r>
  <r>
    <m/>
    <x v="6"/>
    <s v="d3d39eac-106a-486f-87be-5cea4502cdce"/>
    <s v="completed"/>
    <x v="3"/>
    <s v="2023-02-01T18:47:55.988000+00:00"/>
    <n v="23"/>
    <n v="22"/>
    <n v="0.95652173913043503"/>
    <x v="4"/>
    <x v="5"/>
    <n v="51"/>
    <m/>
    <x v="2"/>
    <x v="2"/>
    <m/>
    <m/>
    <x v="0"/>
    <m/>
    <m/>
    <x v="116"/>
    <m/>
  </r>
  <r>
    <m/>
    <x v="6"/>
    <s v="d3d39eac-106a-486f-87be-5cea4502cdce"/>
    <s v="completed"/>
    <x v="3"/>
    <s v="2023-02-01T18:47:55.988000+00:00"/>
    <n v="23"/>
    <n v="22"/>
    <n v="0.95652173913043481"/>
    <x v="4"/>
    <x v="5"/>
    <s v="51"/>
    <m/>
    <x v="2"/>
    <x v="2"/>
    <m/>
    <m/>
    <x v="0"/>
    <m/>
    <m/>
    <x v="116"/>
    <m/>
  </r>
  <r>
    <s v="7d5708d8-a743-41dd-aeb4-74f1017e27a1"/>
    <x v="8"/>
    <s v="599366ee-5ee2-40dd-ada3-7401ea49a8cf"/>
    <s v="failed"/>
    <x v="0"/>
    <s v="2023-02-01T23:21:24.204000+00:00"/>
    <n v="116"/>
    <n v="0"/>
    <n v="0"/>
    <x v="124"/>
    <x v="12"/>
    <s v="71"/>
    <s v="URL"/>
    <x v="18"/>
    <x v="18"/>
    <m/>
    <m/>
    <x v="0"/>
    <m/>
    <m/>
    <x v="116"/>
    <m/>
  </r>
  <r>
    <s v="b2d9e367-20ba-490f-bac5-1cd70714ba09"/>
    <x v="8"/>
    <s v="599366ee-5ee2-40dd-ada3-7401ea49a8cf"/>
    <s v="failed"/>
    <x v="20"/>
    <s v="2023-02-01T23:28:54.765000+00:00"/>
    <n v="116"/>
    <n v="1"/>
    <n v="8.6206896551724137E-3"/>
    <x v="279"/>
    <x v="12"/>
    <s v="71"/>
    <s v="URL"/>
    <x v="18"/>
    <x v="18"/>
    <m/>
    <m/>
    <x v="0"/>
    <m/>
    <m/>
    <x v="116"/>
    <m/>
  </r>
  <r>
    <s v="a774867d-4269-4c45-afcb-56754fc9c205"/>
    <x v="8"/>
    <s v="b1af56e3-8cc7-4d8f-8523-85a92ca68470"/>
    <s v="failed"/>
    <x v="20"/>
    <s v="2023-02-01T23:39:13.200000+00:00"/>
    <n v="9"/>
    <n v="0"/>
    <n v="0"/>
    <x v="124"/>
    <x v="12"/>
    <s v="71"/>
    <s v="URL"/>
    <x v="18"/>
    <x v="18"/>
    <m/>
    <m/>
    <x v="0"/>
    <m/>
    <m/>
    <x v="116"/>
    <m/>
  </r>
  <r>
    <s v="e0de07e2-2ccd-436c-bd86-cbb68a7d4dce"/>
    <x v="8"/>
    <s v="da5ef1de-4bf5-46c7-ac94-ae753f164e03"/>
    <s v="failed"/>
    <x v="20"/>
    <s v="2023-02-02T00:02:50.107000+00:00"/>
    <n v="115"/>
    <n v="0"/>
    <n v="0"/>
    <x v="279"/>
    <x v="12"/>
    <s v="71"/>
    <s v="URL"/>
    <x v="18"/>
    <x v="18"/>
    <m/>
    <m/>
    <x v="0"/>
    <m/>
    <m/>
    <x v="117"/>
    <m/>
  </r>
  <r>
    <s v="ed00c4fe-8952-4da9-b845-0485789708e3"/>
    <x v="8"/>
    <s v="7f29ec8f-fa21-46cb-815b-35b287728c01"/>
    <s v="failed"/>
    <x v="0"/>
    <s v="2023-02-02T01:01:20.123000+00:00"/>
    <n v="116"/>
    <n v="0"/>
    <n v="0"/>
    <x v="124"/>
    <x v="12"/>
    <s v="71"/>
    <s v="URL"/>
    <x v="6"/>
    <x v="6"/>
    <m/>
    <m/>
    <x v="0"/>
    <m/>
    <m/>
    <x v="117"/>
    <m/>
  </r>
  <r>
    <m/>
    <x v="8"/>
    <s v="7f29ec8f-fa21-46cb-815b-35b287728c01"/>
    <s v="failed"/>
    <x v="35"/>
    <s v="2023-02-02T01:08:14.197000+00:00"/>
    <n v="116"/>
    <n v="1"/>
    <n v="8.6206896551724137E-3"/>
    <x v="279"/>
    <x v="12"/>
    <s v="71"/>
    <m/>
    <x v="18"/>
    <x v="18"/>
    <m/>
    <m/>
    <x v="0"/>
    <m/>
    <m/>
    <x v="117"/>
    <m/>
  </r>
  <r>
    <s v="0ef68b80-b089-4325-8109-ad3893111fd9"/>
    <x v="8"/>
    <s v="d1ec8008-2584-47c7-af3c-d2378215ab5f"/>
    <m/>
    <x v="0"/>
    <s v="2023-02-02T01:12:45.255000+00:00"/>
    <n v="6"/>
    <n v="0"/>
    <n v="0"/>
    <x v="279"/>
    <x v="12"/>
    <s v="71"/>
    <s v="URL"/>
    <x v="18"/>
    <x v="18"/>
    <m/>
    <m/>
    <x v="0"/>
    <m/>
    <m/>
    <x v="117"/>
    <m/>
  </r>
  <r>
    <s v="ff9dde8f-d7b2-47c5-a1b8-afda6add7131"/>
    <x v="8"/>
    <s v="d1ec8008-2584-47c7-af3c-d2378215ab5f"/>
    <m/>
    <x v="20"/>
    <s v="2023-02-02T01:18:53.838000+00:00"/>
    <n v="6"/>
    <n v="1"/>
    <n v="0.16666666666666666"/>
    <x v="279"/>
    <x v="12"/>
    <s v="71"/>
    <s v="URL"/>
    <x v="1"/>
    <x v="1"/>
    <m/>
    <s v="Geen inductieve flank gehad, raar dat hij dan nadien toch de rails niet ziet (Bart is er bij)"/>
    <x v="0"/>
    <m/>
    <m/>
    <x v="117"/>
    <m/>
  </r>
  <r>
    <m/>
    <x v="5"/>
    <s v="bcb22300-4b53-4105-8b64-0782543111f4"/>
    <s v="completed"/>
    <x v="3"/>
    <s v="2023-02-02T13:11:29.762000+00:00"/>
    <n v="3"/>
    <n v="3"/>
    <n v="1"/>
    <x v="4"/>
    <x v="5"/>
    <n v="63"/>
    <m/>
    <x v="2"/>
    <x v="2"/>
    <m/>
    <m/>
    <x v="0"/>
    <m/>
    <m/>
    <x v="117"/>
    <m/>
  </r>
  <r>
    <m/>
    <x v="5"/>
    <s v="bcb22300-4b53-4105-8b64-0782543111f4"/>
    <s v="completed"/>
    <x v="3"/>
    <s v="2023-02-02T13:11:29.762000+00:00"/>
    <n v="3"/>
    <n v="3"/>
    <n v="1"/>
    <x v="4"/>
    <x v="5"/>
    <s v="63"/>
    <m/>
    <x v="2"/>
    <x v="2"/>
    <m/>
    <m/>
    <x v="0"/>
    <m/>
    <m/>
    <x v="117"/>
    <m/>
  </r>
  <r>
    <s v="8db3abe6-01dc-4730-bcf1-a86462e2fd75"/>
    <x v="6"/>
    <s v="dea65708-05c7-4c24-8387-d5673729c303"/>
    <s v="completed"/>
    <x v="0"/>
    <s v="2023-02-02T17:44:55.198000+00:00"/>
    <n v="21"/>
    <n v="14"/>
    <n v="0.66666666666666696"/>
    <x v="310"/>
    <x v="5"/>
    <n v="52"/>
    <s v="URL"/>
    <x v="3"/>
    <x v="3"/>
    <s v="voorwiel slip"/>
    <m/>
    <x v="0"/>
    <m/>
    <m/>
    <x v="117"/>
    <m/>
  </r>
  <r>
    <s v="8db3abe6-01dc-4730-bcf1-a86462e2fd75"/>
    <x v="6"/>
    <s v="dea65708-05c7-4c24-8387-d5673729c303"/>
    <s v="completed"/>
    <x v="0"/>
    <s v="2023-02-02T17:44:55.198000+00:00"/>
    <n v="21"/>
    <n v="14"/>
    <n v="0.66666666666666663"/>
    <x v="310"/>
    <x v="5"/>
    <s v="52"/>
    <s v="URL"/>
    <x v="3"/>
    <x v="3"/>
    <s v="voorwiel slip"/>
    <m/>
    <x v="0"/>
    <m/>
    <m/>
    <x v="117"/>
    <m/>
  </r>
  <r>
    <s v="8aad42ea-a5aa-4a88-a85f-f1c168600b68"/>
    <x v="6"/>
    <s v="dea65708-05c7-4c24-8387-d5673729c303"/>
    <s v="completed"/>
    <x v="0"/>
    <s v="2023-02-02T17:47:41.164000+00:00"/>
    <n v="21"/>
    <n v="15"/>
    <n v="0.71428571428571397"/>
    <x v="299"/>
    <x v="5"/>
    <n v="52"/>
    <s v="URL"/>
    <x v="18"/>
    <x v="18"/>
    <s v="Lijkt met implement tegen de goot te botsen. Vermoedelijk tegen zo'n metalen haakje dat uitsteekt, want hij rijdt wel de rail op."/>
    <m/>
    <x v="0"/>
    <m/>
    <m/>
    <x v="117"/>
    <m/>
  </r>
  <r>
    <s v="8aad42ea-a5aa-4a88-a85f-f1c168600b68"/>
    <x v="6"/>
    <s v="dea65708-05c7-4c24-8387-d5673729c303"/>
    <s v="completed"/>
    <x v="0"/>
    <s v="2023-02-02T17:47:41.164000+00:00"/>
    <n v="21"/>
    <n v="15"/>
    <n v="0.7142857142857143"/>
    <x v="299"/>
    <x v="5"/>
    <s v="52"/>
    <s v="URL"/>
    <x v="18"/>
    <x v="18"/>
    <s v="Lijkt met implement tegen de goot te botsen. Vermoedelijk tegen zo'n metalen haakje dat uitsteekt, want hij rijdt wel de rail op."/>
    <m/>
    <x v="0"/>
    <m/>
    <m/>
    <x v="117"/>
    <m/>
  </r>
  <r>
    <m/>
    <x v="6"/>
    <s v="dea65708-05c7-4c24-8387-d5673729c303"/>
    <s v="completed"/>
    <x v="3"/>
    <s v="2023-02-02T17:58:24.845000+00:00"/>
    <n v="21"/>
    <n v="19"/>
    <n v="0.90476190476190499"/>
    <x v="4"/>
    <x v="5"/>
    <n v="52"/>
    <m/>
    <x v="2"/>
    <x v="2"/>
    <m/>
    <m/>
    <x v="0"/>
    <m/>
    <m/>
    <x v="117"/>
    <m/>
  </r>
  <r>
    <m/>
    <x v="6"/>
    <s v="dea65708-05c7-4c24-8387-d5673729c303"/>
    <s v="completed"/>
    <x v="3"/>
    <s v="2023-02-02T17:58:24.845000+00:00"/>
    <n v="21"/>
    <n v="19"/>
    <n v="0.90476190476190477"/>
    <x v="4"/>
    <x v="5"/>
    <s v="52"/>
    <m/>
    <x v="2"/>
    <x v="2"/>
    <m/>
    <m/>
    <x v="0"/>
    <m/>
    <m/>
    <x v="117"/>
    <m/>
  </r>
  <r>
    <m/>
    <x v="5"/>
    <s v="6e10ffa1-f693-48ed-a1d9-20471199d8f4"/>
    <s v="completed"/>
    <x v="3"/>
    <s v="2023-02-02T18:23:24.762000+00:00"/>
    <n v="37"/>
    <n v="37"/>
    <n v="1"/>
    <x v="4"/>
    <x v="5"/>
    <n v="63"/>
    <m/>
    <x v="2"/>
    <x v="2"/>
    <m/>
    <m/>
    <x v="0"/>
    <m/>
    <m/>
    <x v="117"/>
    <m/>
  </r>
  <r>
    <m/>
    <x v="5"/>
    <s v="6e10ffa1-f693-48ed-a1d9-20471199d8f4"/>
    <s v="completed"/>
    <x v="3"/>
    <s v="2023-02-02T18:23:24.762000+00:00"/>
    <n v="37"/>
    <n v="37"/>
    <n v="1"/>
    <x v="4"/>
    <x v="5"/>
    <s v="63"/>
    <m/>
    <x v="2"/>
    <x v="2"/>
    <m/>
    <m/>
    <x v="0"/>
    <m/>
    <m/>
    <x v="117"/>
    <m/>
  </r>
  <r>
    <s v="7d57e065-ae26-4a66-a8da-0913b376f568"/>
    <x v="9"/>
    <s v="03b50b41-da79-47df-8f3e-c938a9061466"/>
    <s v="failed"/>
    <x v="39"/>
    <s v="2023-02-02T22:45:28.738000+00:00"/>
    <n v="80"/>
    <n v="1"/>
    <n v="1.2500000000000001E-2"/>
    <x v="311"/>
    <x v="13"/>
    <n v="22"/>
    <s v="URL"/>
    <x v="21"/>
    <x v="21"/>
    <m/>
    <m/>
    <x v="0"/>
    <m/>
    <m/>
    <x v="117"/>
    <m/>
  </r>
  <r>
    <s v="7d57e065-ae26-4a66-a8da-0913b376f568"/>
    <x v="9"/>
    <s v="03b50b41-da79-47df-8f3e-c938a9061466"/>
    <s v="failed"/>
    <x v="39"/>
    <s v="2023-02-02T22:45:28.738000+00:00"/>
    <n v="80"/>
    <n v="1"/>
    <n v="1.2500000000000001E-2"/>
    <x v="311"/>
    <x v="13"/>
    <s v="22"/>
    <s v="URL"/>
    <x v="21"/>
    <x v="21"/>
    <m/>
    <m/>
    <x v="0"/>
    <m/>
    <m/>
    <x v="117"/>
    <m/>
  </r>
  <r>
    <s v="f1da2c05-1197-4116-b0d2-6735319b5f9b"/>
    <x v="9"/>
    <s v="dc9f69cf-6e77-45d9-a02d-943eee8714fb"/>
    <s v="failed"/>
    <x v="19"/>
    <s v="2023-02-02T22:47:25.723000+00:00"/>
    <n v="5"/>
    <n v="1"/>
    <n v="0.2"/>
    <x v="311"/>
    <x v="13"/>
    <n v="22"/>
    <s v="URL"/>
    <x v="16"/>
    <x v="16"/>
    <m/>
    <m/>
    <x v="0"/>
    <m/>
    <m/>
    <x v="117"/>
    <m/>
  </r>
  <r>
    <s v="f1da2c05-1197-4116-b0d2-6735319b5f9b"/>
    <x v="9"/>
    <s v="dc9f69cf-6e77-45d9-a02d-943eee8714fb"/>
    <s v="failed"/>
    <x v="19"/>
    <s v="2023-02-02T22:47:25.723000+00:00"/>
    <n v="5"/>
    <n v="1"/>
    <n v="0.2"/>
    <x v="311"/>
    <x v="13"/>
    <s v="22"/>
    <s v="URL"/>
    <x v="16"/>
    <x v="16"/>
    <m/>
    <m/>
    <x v="0"/>
    <m/>
    <m/>
    <x v="117"/>
    <m/>
  </r>
  <r>
    <s v="023e62ef-16b1-4720-b3f7-d835e8e54f0b"/>
    <x v="9"/>
    <s v="3c0efa94-62ac-42e4-b62f-f626eb4caf92"/>
    <s v="failed"/>
    <x v="37"/>
    <s v="2023-02-02T22:49:24.433000+00:00"/>
    <n v="11"/>
    <n v="1"/>
    <n v="9.0909090909090995E-2"/>
    <x v="312"/>
    <x v="13"/>
    <n v="22"/>
    <s v="URL"/>
    <x v="27"/>
    <x v="27"/>
    <m/>
    <m/>
    <x v="0"/>
    <m/>
    <m/>
    <x v="117"/>
    <m/>
  </r>
  <r>
    <s v="023e62ef-16b1-4720-b3f7-d835e8e54f0b"/>
    <x v="9"/>
    <s v="3c0efa94-62ac-42e4-b62f-f626eb4caf92"/>
    <s v="failed"/>
    <x v="37"/>
    <s v="2023-02-02T22:49:24.433000+00:00"/>
    <n v="11"/>
    <n v="1"/>
    <n v="9.0909090909090912E-2"/>
    <x v="312"/>
    <x v="13"/>
    <s v="22"/>
    <s v="URL"/>
    <x v="27"/>
    <x v="27"/>
    <m/>
    <m/>
    <x v="0"/>
    <m/>
    <m/>
    <x v="117"/>
    <m/>
  </r>
  <r>
    <s v="29428641-51c0-4602-92d6-ede5d58eb2ef"/>
    <x v="9"/>
    <s v="797358e1-3149-4726-a19e-54959c9023b0"/>
    <s v="stopped"/>
    <x v="0"/>
    <s v="2023-02-02T22:50:55.444000+00:00"/>
    <n v="10"/>
    <n v="1"/>
    <n v="0.1"/>
    <x v="312"/>
    <x v="13"/>
    <n v="22"/>
    <s v="URL"/>
    <x v="16"/>
    <x v="16"/>
    <m/>
    <m/>
    <x v="0"/>
    <m/>
    <m/>
    <x v="117"/>
    <m/>
  </r>
  <r>
    <s v="29428641-51c0-4602-92d6-ede5d58eb2ef"/>
    <x v="9"/>
    <s v="797358e1-3149-4726-a19e-54959c9023b0"/>
    <s v="stopped"/>
    <x v="0"/>
    <s v="2023-02-02T22:50:55.444000+00:00"/>
    <n v="10"/>
    <n v="1"/>
    <n v="0.1"/>
    <x v="312"/>
    <x v="13"/>
    <s v="22"/>
    <s v="URL"/>
    <x v="16"/>
    <x v="16"/>
    <m/>
    <m/>
    <x v="0"/>
    <m/>
    <m/>
    <x v="117"/>
    <m/>
  </r>
  <r>
    <s v="42c4bce8-605d-40b7-bbb8-e0b5e5c9c7e2"/>
    <x v="9"/>
    <s v="d5dd4785-b032-4902-aa68-5770d5bf02bf"/>
    <s v="failed"/>
    <x v="37"/>
    <s v="2023-02-03T01:12:43.481000+00:00"/>
    <n v="74"/>
    <n v="1"/>
    <n v="1.3513513513514E-2"/>
    <x v="313"/>
    <x v="13"/>
    <n v="22"/>
    <s v="URL"/>
    <x v="27"/>
    <x v="27"/>
    <m/>
    <m/>
    <x v="0"/>
    <m/>
    <m/>
    <x v="118"/>
    <m/>
  </r>
  <r>
    <s v="42c4bce8-605d-40b7-bbb8-e0b5e5c9c7e2"/>
    <x v="9"/>
    <s v="d5dd4785-b032-4902-aa68-5770d5bf02bf"/>
    <s v="failed"/>
    <x v="37"/>
    <s v="2023-02-03T01:12:43.481000+00:00"/>
    <n v="74"/>
    <n v="1"/>
    <n v="1.3513513513513514E-2"/>
    <x v="313"/>
    <x v="13"/>
    <s v="22"/>
    <s v="URL"/>
    <x v="27"/>
    <x v="27"/>
    <m/>
    <m/>
    <x v="0"/>
    <m/>
    <m/>
    <x v="118"/>
    <m/>
  </r>
  <r>
    <s v="5b8ff5d4-92be-4d72-9216-ef936c79d739"/>
    <x v="9"/>
    <s v="407541b4-b490-4fff-ae42-052776cfaffe"/>
    <s v="failed"/>
    <x v="37"/>
    <s v="2023-02-03T01:20:24.110000+00:00"/>
    <n v="74"/>
    <n v="1"/>
    <n v="1.3513513513514E-2"/>
    <x v="124"/>
    <x v="13"/>
    <n v="22"/>
    <s v="URL"/>
    <x v="27"/>
    <x v="27"/>
    <m/>
    <m/>
    <x v="0"/>
    <m/>
    <m/>
    <x v="118"/>
    <m/>
  </r>
  <r>
    <s v="5b8ff5d4-92be-4d72-9216-ef936c79d739"/>
    <x v="9"/>
    <s v="407541b4-b490-4fff-ae42-052776cfaffe"/>
    <s v="failed"/>
    <x v="37"/>
    <s v="2023-02-03T01:20:24.110000+00:00"/>
    <n v="74"/>
    <n v="1"/>
    <n v="1.3513513513513514E-2"/>
    <x v="124"/>
    <x v="13"/>
    <s v="22"/>
    <s v="URL"/>
    <x v="27"/>
    <x v="27"/>
    <m/>
    <m/>
    <x v="0"/>
    <m/>
    <m/>
    <x v="118"/>
    <m/>
  </r>
  <r>
    <m/>
    <x v="9"/>
    <s v="91d35b4d-6ed7-455c-9cca-9b23e785652a"/>
    <s v="stopped"/>
    <x v="3"/>
    <s v="2023-02-03T01:27:16.354000+00:00"/>
    <n v="56"/>
    <n v="0"/>
    <n v="0"/>
    <x v="4"/>
    <x v="13"/>
    <n v="22"/>
    <m/>
    <x v="2"/>
    <x v="2"/>
    <m/>
    <m/>
    <x v="0"/>
    <m/>
    <m/>
    <x v="118"/>
    <m/>
  </r>
  <r>
    <m/>
    <x v="9"/>
    <s v="91d35b4d-6ed7-455c-9cca-9b23e785652a"/>
    <s v="stopped"/>
    <x v="3"/>
    <s v="2023-02-03T01:27:16.354000+00:00"/>
    <n v="56"/>
    <n v="0"/>
    <n v="0"/>
    <x v="4"/>
    <x v="13"/>
    <s v="22"/>
    <m/>
    <x v="2"/>
    <x v="2"/>
    <m/>
    <m/>
    <x v="0"/>
    <m/>
    <m/>
    <x v="118"/>
    <m/>
  </r>
  <r>
    <s v="840b0934-13d5-452e-9da7-b98798216121"/>
    <x v="9"/>
    <s v="01734a5b-f23b-4076-842e-d7000a1a2ceb"/>
    <s v="failed"/>
    <x v="48"/>
    <s v="2023-02-03T01:41:26.584000+00:00"/>
    <n v="74"/>
    <n v="1"/>
    <n v="1.3513513513514E-2"/>
    <x v="124"/>
    <x v="13"/>
    <n v="22"/>
    <s v="URL"/>
    <x v="27"/>
    <x v="27"/>
    <m/>
    <m/>
    <x v="0"/>
    <m/>
    <m/>
    <x v="118"/>
    <m/>
  </r>
  <r>
    <s v="840b0934-13d5-452e-9da7-b98798216121"/>
    <x v="9"/>
    <s v="01734a5b-f23b-4076-842e-d7000a1a2ceb"/>
    <s v="failed"/>
    <x v="48"/>
    <s v="2023-02-03T01:41:26.584000+00:00"/>
    <n v="74"/>
    <n v="1"/>
    <n v="1.3513513513513514E-2"/>
    <x v="124"/>
    <x v="13"/>
    <s v="22"/>
    <s v="URL"/>
    <x v="27"/>
    <x v="27"/>
    <m/>
    <m/>
    <x v="0"/>
    <m/>
    <m/>
    <x v="118"/>
    <m/>
  </r>
  <r>
    <s v="eac41540-a210-43f7-93aa-01222afc7a9f"/>
    <x v="9"/>
    <s v="3dce0c13-68a0-4fff-aed6-a856abb0de57"/>
    <s v="failed"/>
    <x v="49"/>
    <s v="2023-02-03T04:03:32.722000+00:00"/>
    <n v="61"/>
    <n v="28"/>
    <n v="0.45901639344262302"/>
    <x v="314"/>
    <x v="13"/>
    <n v="22"/>
    <s v="URL"/>
    <x v="1"/>
    <x v="1"/>
    <m/>
    <s v="Robot is op de rail gereden (wel wat onorthodox), maar inductive werd niet gedetecteerd. "/>
    <x v="0"/>
    <m/>
    <m/>
    <x v="118"/>
    <m/>
  </r>
  <r>
    <m/>
    <x v="9"/>
    <s v="252bc4a8-1959-49d2-bf9d-dc8e8cb9b4c3"/>
    <s v="stopped"/>
    <x v="3"/>
    <s v="2023-02-03T16:47:40.808000+00:00"/>
    <n v="80"/>
    <n v="2"/>
    <n v="2.5000000000000001E-2"/>
    <x v="4"/>
    <x v="13"/>
    <n v="22"/>
    <m/>
    <x v="2"/>
    <x v="2"/>
    <m/>
    <m/>
    <x v="0"/>
    <m/>
    <m/>
    <x v="118"/>
    <m/>
  </r>
  <r>
    <m/>
    <x v="9"/>
    <s v="252bc4a8-1959-49d2-bf9d-dc8e8cb9b4c3"/>
    <s v="stopped"/>
    <x v="3"/>
    <s v="2023-02-03T16:47:40.808000+00:00"/>
    <n v="80"/>
    <n v="2"/>
    <n v="2.5000000000000001E-2"/>
    <x v="4"/>
    <x v="13"/>
    <s v="22"/>
    <m/>
    <x v="2"/>
    <x v="2"/>
    <m/>
    <m/>
    <x v="0"/>
    <m/>
    <m/>
    <x v="118"/>
    <m/>
  </r>
  <r>
    <m/>
    <x v="9"/>
    <s v="a045aec0-d3c5-41fc-90f3-f3c84e7c3915"/>
    <s v="stopped"/>
    <x v="3"/>
    <s v="2023-02-03T17:38:24.142000+00:00"/>
    <n v="80"/>
    <n v="1"/>
    <n v="1.2500000000000001E-2"/>
    <x v="4"/>
    <x v="13"/>
    <n v="22"/>
    <m/>
    <x v="2"/>
    <x v="2"/>
    <m/>
    <m/>
    <x v="0"/>
    <m/>
    <m/>
    <x v="118"/>
    <m/>
  </r>
  <r>
    <m/>
    <x v="9"/>
    <s v="a045aec0-d3c5-41fc-90f3-f3c84e7c3915"/>
    <s v="stopped"/>
    <x v="3"/>
    <s v="2023-02-03T17:38:24.142000+00:00"/>
    <n v="80"/>
    <n v="1"/>
    <n v="1.2500000000000001E-2"/>
    <x v="4"/>
    <x v="13"/>
    <s v="22"/>
    <m/>
    <x v="2"/>
    <x v="2"/>
    <m/>
    <m/>
    <x v="0"/>
    <m/>
    <m/>
    <x v="118"/>
    <m/>
  </r>
  <r>
    <m/>
    <x v="9"/>
    <s v="4798e0a4-6be8-4450-ae25-8985b5f6caa9"/>
    <s v="stopped"/>
    <x v="3"/>
    <s v="2023-02-03T18:06:39.256000+00:00"/>
    <n v="80"/>
    <n v="7"/>
    <n v="8.7499999999999994E-2"/>
    <x v="4"/>
    <x v="13"/>
    <n v="22"/>
    <m/>
    <x v="2"/>
    <x v="2"/>
    <m/>
    <m/>
    <x v="0"/>
    <m/>
    <m/>
    <x v="118"/>
    <m/>
  </r>
  <r>
    <m/>
    <x v="9"/>
    <s v="4798e0a4-6be8-4450-ae25-8985b5f6caa9"/>
    <s v="stopped"/>
    <x v="3"/>
    <s v="2023-02-03T18:06:39.256000+00:00"/>
    <n v="80"/>
    <n v="7"/>
    <n v="8.7499999999999994E-2"/>
    <x v="4"/>
    <x v="13"/>
    <s v="22"/>
    <m/>
    <x v="2"/>
    <x v="2"/>
    <m/>
    <m/>
    <x v="0"/>
    <m/>
    <m/>
    <x v="118"/>
    <m/>
  </r>
  <r>
    <s v="a4b3c4d1-1ce0-4d46-a8ce-1bab09190015"/>
    <x v="6"/>
    <s v="d940e41e-634d-4d59-ac4e-dcf670ef60ab"/>
    <m/>
    <x v="0"/>
    <s v="2023-02-03T19:20:36.335000+00:00"/>
    <n v="21"/>
    <n v="5"/>
    <n v="0.23809523809523808"/>
    <x v="315"/>
    <x v="5"/>
    <s v="52"/>
    <s v="URL"/>
    <x v="3"/>
    <x v="3"/>
    <s v="voorwiel slip"/>
    <m/>
    <x v="0"/>
    <m/>
    <m/>
    <x v="118"/>
    <m/>
  </r>
  <r>
    <s v="2ee23a81-cef5-48b1-8050-14d36fe17e01"/>
    <x v="9"/>
    <s v="bd841874-cb64-46fd-885f-fe0b3de92c65"/>
    <s v="failed"/>
    <x v="50"/>
    <s v="2023-02-03T22:47:30.951000+00:00"/>
    <n v="76"/>
    <n v="59"/>
    <n v="0.77631578947368396"/>
    <x v="316"/>
    <x v="13"/>
    <n v="22"/>
    <s v="URL"/>
    <x v="22"/>
    <x v="22"/>
    <m/>
    <m/>
    <x v="0"/>
    <m/>
    <m/>
    <x v="118"/>
    <m/>
  </r>
  <r>
    <s v="2ee23a81-cef5-48b1-8050-14d36fe17e01"/>
    <x v="9"/>
    <s v="bd841874-cb64-46fd-885f-fe0b3de92c65"/>
    <s v="failed"/>
    <x v="50"/>
    <s v="2023-02-03T22:47:30.951000+00:00"/>
    <n v="76"/>
    <n v="59"/>
    <n v="0.77631578947368418"/>
    <x v="316"/>
    <x v="13"/>
    <s v="22"/>
    <s v="URL"/>
    <x v="22"/>
    <x v="22"/>
    <m/>
    <m/>
    <x v="0"/>
    <m/>
    <m/>
    <x v="118"/>
    <m/>
  </r>
  <r>
    <s v="92057a10-e7b3-4321-b599-7649619c1c7c"/>
    <x v="8"/>
    <s v="e5ea94a0-ccef-460e-aa2c-33c241ee9af1"/>
    <m/>
    <x v="0"/>
    <s v="2023-02-04T01:03:20.824000+00:00"/>
    <n v="116"/>
    <n v="0"/>
    <n v="0"/>
    <x v="124"/>
    <x v="12"/>
    <s v="71"/>
    <s v="URL"/>
    <x v="18"/>
    <x v="18"/>
    <m/>
    <m/>
    <x v="0"/>
    <m/>
    <m/>
    <x v="119"/>
    <m/>
  </r>
  <r>
    <s v="d3c61428-82a8-4147-a655-803ea3e62916"/>
    <x v="8"/>
    <s v="e5ea94a0-ccef-460e-aa2c-33c241ee9af1"/>
    <m/>
    <x v="20"/>
    <s v="2023-02-04T01:12:37.683000+00:00"/>
    <n v="116"/>
    <n v="1"/>
    <n v="8.6206896551724137E-3"/>
    <x v="279"/>
    <x v="12"/>
    <s v="71"/>
    <s v="URL"/>
    <x v="1"/>
    <x v="1"/>
    <m/>
    <s v="Geen inductieve flank gehad, raar dat hij dan nadien toch de rails niet ziet (Bart is er bij)"/>
    <x v="0"/>
    <m/>
    <m/>
    <x v="119"/>
    <m/>
  </r>
  <r>
    <s v="f44d76c0-3045-4250-bda0-465035972694"/>
    <x v="8"/>
    <s v="1fd1c0d2-68a0-490e-844c-82403be726b4"/>
    <s v="failed"/>
    <x v="20"/>
    <s v="2023-02-04T01:19:36.447000+00:00"/>
    <n v="115"/>
    <n v="0"/>
    <n v="0"/>
    <x v="124"/>
    <x v="12"/>
    <s v="71"/>
    <s v="URL"/>
    <x v="6"/>
    <x v="6"/>
    <m/>
    <m/>
    <x v="0"/>
    <m/>
    <m/>
    <x v="119"/>
    <m/>
  </r>
  <r>
    <s v="13a9d0a0-152e-400d-9d95-c2ae4e5250d5"/>
    <x v="8"/>
    <s v="637a3640-5160-4cc5-9019-c68b33d0bb53"/>
    <m/>
    <x v="0"/>
    <s v="2023-02-04T01:24:20.636000+00:00"/>
    <n v="117"/>
    <n v="0"/>
    <n v="0"/>
    <x v="124"/>
    <x v="12"/>
    <s v="71"/>
    <s v="URL"/>
    <x v="6"/>
    <x v="6"/>
    <m/>
    <m/>
    <x v="0"/>
    <m/>
    <m/>
    <x v="119"/>
    <m/>
  </r>
  <r>
    <s v="13a9d0a0-152e-400d-9d95-c2ae4e5250d5"/>
    <x v="8"/>
    <s v="637a3640-5160-4cc5-9019-c68b33d0bb53"/>
    <m/>
    <x v="0"/>
    <s v="2023-02-04T01:24:20.636000+00:00"/>
    <n v="117"/>
    <n v="1"/>
    <n v="8.5470085470085479E-3"/>
    <x v="279"/>
    <x v="12"/>
    <s v="71"/>
    <s v="URL"/>
    <x v="18"/>
    <x v="18"/>
    <m/>
    <m/>
    <x v="0"/>
    <m/>
    <m/>
    <x v="119"/>
    <m/>
  </r>
  <r>
    <s v="ec1ea846-a470-4275-90cd-8627640c321b"/>
    <x v="8"/>
    <s v="637a3640-5160-4cc5-9019-c68b33d0bb53"/>
    <m/>
    <x v="20"/>
    <s v="2023-02-04T01:30:15.780000+00:00"/>
    <n v="117"/>
    <n v="2"/>
    <n v="1.7094017094017096E-2"/>
    <x v="279"/>
    <x v="12"/>
    <s v="71"/>
    <s v="URL"/>
    <x v="1"/>
    <x v="1"/>
    <m/>
    <s v="Geen inductieve flank gehad, raar dat hij dan nadien toch de rails niet ziet (Bart is er bij)"/>
    <x v="0"/>
    <m/>
    <m/>
    <x v="119"/>
    <m/>
  </r>
  <r>
    <s v="09859c8b-31cd-4882-a9da-1365182e8079"/>
    <x v="8"/>
    <s v="4d1d60ec-967c-4f12-99c8-182888de7b69"/>
    <s v="failed"/>
    <x v="20"/>
    <s v="2023-02-04T01:44:43.590000+00:00"/>
    <n v="115"/>
    <n v="0"/>
    <n v="0"/>
    <x v="124"/>
    <x v="12"/>
    <s v="71"/>
    <s v="URL"/>
    <x v="6"/>
    <x v="6"/>
    <m/>
    <m/>
    <x v="0"/>
    <m/>
    <m/>
    <x v="119"/>
    <m/>
  </r>
  <r>
    <s v="cffc2905-5389-4227-82a6-199300112a82"/>
    <x v="8"/>
    <s v="ba8436cd-f2ca-43f8-8c52-e1e54e04b076"/>
    <s v="failed"/>
    <x v="51"/>
    <s v="2023-02-04T01:54:24.391000+00:00"/>
    <n v="115"/>
    <n v="1"/>
    <n v="8.6956521739130436E-3"/>
    <x v="317"/>
    <x v="12"/>
    <s v="71"/>
    <s v="URL"/>
    <x v="18"/>
    <x v="18"/>
    <m/>
    <m/>
    <x v="0"/>
    <m/>
    <m/>
    <x v="119"/>
    <m/>
  </r>
  <r>
    <m/>
    <x v="5"/>
    <s v="b5c16676-b2b7-4ba1-8eb6-b3b3844b00b7"/>
    <m/>
    <x v="0"/>
    <s v="2023-02-04T16:16:47.280000+00:00"/>
    <n v="44"/>
    <n v="0"/>
    <n v="0"/>
    <x v="291"/>
    <x v="5"/>
    <n v="64"/>
    <m/>
    <x v="1"/>
    <x v="1"/>
    <m/>
    <m/>
    <x v="0"/>
    <m/>
    <m/>
    <x v="119"/>
    <m/>
  </r>
  <r>
    <m/>
    <x v="5"/>
    <s v="b5c16676-b2b7-4ba1-8eb6-b3b3844b00b7"/>
    <m/>
    <x v="0"/>
    <s v="2023-02-04T16:16:47.280000+00:00"/>
    <n v="44"/>
    <n v="0"/>
    <n v="0"/>
    <x v="291"/>
    <x v="5"/>
    <s v="64"/>
    <m/>
    <x v="1"/>
    <x v="1"/>
    <m/>
    <m/>
    <x v="0"/>
    <m/>
    <m/>
    <x v="119"/>
    <m/>
  </r>
  <r>
    <m/>
    <x v="5"/>
    <s v="b5c16676-b2b7-4ba1-8eb6-b3b3844b00b7"/>
    <m/>
    <x v="0"/>
    <s v="2023-02-04T16:17:50.205000+00:00"/>
    <n v="44"/>
    <n v="1"/>
    <n v="2.2727272727272999E-2"/>
    <x v="292"/>
    <x v="5"/>
    <n v="64"/>
    <m/>
    <x v="7"/>
    <x v="7"/>
    <m/>
    <m/>
    <x v="0"/>
    <m/>
    <m/>
    <x v="119"/>
    <m/>
  </r>
  <r>
    <m/>
    <x v="5"/>
    <s v="b5c16676-b2b7-4ba1-8eb6-b3b3844b00b7"/>
    <m/>
    <x v="0"/>
    <s v="2023-02-04T16:17:50.205000+00:00"/>
    <n v="44"/>
    <n v="1"/>
    <n v="2.2727272727272728E-2"/>
    <x v="292"/>
    <x v="5"/>
    <s v="64"/>
    <m/>
    <x v="7"/>
    <x v="7"/>
    <m/>
    <m/>
    <x v="0"/>
    <m/>
    <m/>
    <x v="119"/>
    <m/>
  </r>
  <r>
    <m/>
    <x v="5"/>
    <s v="b5c16676-b2b7-4ba1-8eb6-b3b3844b00b7"/>
    <m/>
    <x v="0"/>
    <s v="2023-02-04T17:35:37.729000+00:00"/>
    <n v="44"/>
    <n v="22"/>
    <n v="0.5"/>
    <x v="318"/>
    <x v="5"/>
    <n v="64"/>
    <m/>
    <x v="18"/>
    <x v="18"/>
    <m/>
    <m/>
    <x v="0"/>
    <m/>
    <m/>
    <x v="119"/>
    <m/>
  </r>
  <r>
    <m/>
    <x v="5"/>
    <s v="b5c16676-b2b7-4ba1-8eb6-b3b3844b00b7"/>
    <m/>
    <x v="0"/>
    <s v="2023-02-04T17:35:37.729000+00:00"/>
    <n v="44"/>
    <n v="22"/>
    <n v="0.5"/>
    <x v="318"/>
    <x v="5"/>
    <s v="64"/>
    <m/>
    <x v="18"/>
    <x v="18"/>
    <m/>
    <m/>
    <x v="0"/>
    <m/>
    <m/>
    <x v="119"/>
    <m/>
  </r>
  <r>
    <m/>
    <x v="5"/>
    <s v="b5c16676-b2b7-4ba1-8eb6-b3b3844b00b7"/>
    <m/>
    <x v="0"/>
    <s v="2023-02-04T17:37:04.491000+00:00"/>
    <n v="44"/>
    <n v="23"/>
    <n v="0.52272727272727304"/>
    <x v="319"/>
    <x v="5"/>
    <n v="64"/>
    <m/>
    <x v="1"/>
    <x v="1"/>
    <m/>
    <m/>
    <x v="0"/>
    <m/>
    <m/>
    <x v="119"/>
    <m/>
  </r>
  <r>
    <m/>
    <x v="5"/>
    <s v="b5c16676-b2b7-4ba1-8eb6-b3b3844b00b7"/>
    <m/>
    <x v="0"/>
    <s v="2023-02-04T17:37:04.491000+00:00"/>
    <n v="44"/>
    <n v="23"/>
    <n v="0.52272727272727271"/>
    <x v="319"/>
    <x v="5"/>
    <s v="64"/>
    <m/>
    <x v="1"/>
    <x v="1"/>
    <m/>
    <m/>
    <x v="0"/>
    <m/>
    <m/>
    <x v="119"/>
    <m/>
  </r>
  <r>
    <m/>
    <x v="5"/>
    <s v="b5c16676-b2b7-4ba1-8eb6-b3b3844b00b7"/>
    <m/>
    <x v="0"/>
    <s v="2023-02-04T18:02:51.608000+00:00"/>
    <n v="44"/>
    <n v="31"/>
    <n v="0.70454545454545503"/>
    <x v="320"/>
    <x v="5"/>
    <n v="64"/>
    <m/>
    <x v="16"/>
    <x v="16"/>
    <m/>
    <m/>
    <x v="0"/>
    <m/>
    <m/>
    <x v="119"/>
    <m/>
  </r>
  <r>
    <m/>
    <x v="5"/>
    <s v="b5c16676-b2b7-4ba1-8eb6-b3b3844b00b7"/>
    <m/>
    <x v="0"/>
    <s v="2023-02-04T18:02:51.608000+00:00"/>
    <n v="44"/>
    <n v="31"/>
    <n v="0.70454545454545459"/>
    <x v="320"/>
    <x v="5"/>
    <s v="64"/>
    <m/>
    <x v="16"/>
    <x v="16"/>
    <m/>
    <m/>
    <x v="0"/>
    <m/>
    <m/>
    <x v="119"/>
    <m/>
  </r>
  <r>
    <m/>
    <x v="5"/>
    <s v="b5c16676-b2b7-4ba1-8eb6-b3b3844b00b7"/>
    <m/>
    <x v="19"/>
    <s v="2023-02-04T19:02:05.068000+00:00"/>
    <n v="44"/>
    <n v="43"/>
    <n v="0.97727272727272696"/>
    <x v="287"/>
    <x v="5"/>
    <n v="64"/>
    <m/>
    <x v="1"/>
    <x v="1"/>
    <m/>
    <m/>
    <x v="0"/>
    <m/>
    <m/>
    <x v="119"/>
    <m/>
  </r>
  <r>
    <m/>
    <x v="5"/>
    <s v="b5c16676-b2b7-4ba1-8eb6-b3b3844b00b7"/>
    <m/>
    <x v="19"/>
    <s v="2023-02-04T19:02:05.068000+00:00"/>
    <n v="44"/>
    <n v="43"/>
    <n v="0.97727272727272729"/>
    <x v="287"/>
    <x v="5"/>
    <s v="64"/>
    <m/>
    <x v="1"/>
    <x v="1"/>
    <m/>
    <m/>
    <x v="0"/>
    <m/>
    <m/>
    <x v="119"/>
    <m/>
  </r>
  <r>
    <s v="da6a19e9-5896-4460-b2dd-70d51738a301"/>
    <x v="9"/>
    <s v="57cfe0ce-2a71-4007-81b6-9ba9891a15bd"/>
    <s v="failed"/>
    <x v="35"/>
    <s v="2023-02-04T19:55:33.145000+00:00"/>
    <n v="81"/>
    <n v="1"/>
    <n v="1.2345679012345999E-2"/>
    <x v="321"/>
    <x v="14"/>
    <n v="22"/>
    <s v="URL"/>
    <x v="1"/>
    <x v="1"/>
    <m/>
    <s v="Korte lengte ingesteld? robot ontvangt inductieve niet bij terug af rail rijden, lijkt nochtans volledig van de rail te zijn gereden"/>
    <x v="0"/>
    <m/>
    <m/>
    <x v="119"/>
    <m/>
  </r>
  <r>
    <s v="cf16c7ed-a352-4a66-a4f8-d82da36299cd"/>
    <x v="8"/>
    <s v="f08a1052-f019-476c-b112-1a81658aebd3"/>
    <m/>
    <x v="3"/>
    <s v="2023-02-04T23:15:03.376000+00:00"/>
    <n v="118"/>
    <n v="0"/>
    <n v="0"/>
    <x v="322"/>
    <x v="12"/>
    <s v="71"/>
    <s v="URL"/>
    <x v="18"/>
    <x v="18"/>
    <m/>
    <m/>
    <x v="0"/>
    <m/>
    <m/>
    <x v="119"/>
    <m/>
  </r>
  <r>
    <m/>
    <x v="8"/>
    <s v="31a712e7-43fa-4851-ac51-90474793961c"/>
    <s v="failed"/>
    <x v="35"/>
    <s v="2023-02-04T23:19:03.221000+00:00"/>
    <n v="118"/>
    <n v="0"/>
    <n v="0"/>
    <x v="322"/>
    <x v="12"/>
    <s v="71"/>
    <m/>
    <x v="3"/>
    <x v="3"/>
    <m/>
    <m/>
    <x v="0"/>
    <m/>
    <m/>
    <x v="119"/>
    <m/>
  </r>
  <r>
    <s v="cdbbe369-ac92-40e7-bba7-3ce417289aee"/>
    <x v="8"/>
    <s v="36db50a1-ed05-47b7-93ba-a4eff5f389a4"/>
    <s v="failed"/>
    <x v="42"/>
    <s v="2023-02-05T00:06:57.294000+00:00"/>
    <n v="209"/>
    <n v="0"/>
    <n v="0"/>
    <x v="124"/>
    <x v="15"/>
    <s v="71"/>
    <s v="URL"/>
    <x v="18"/>
    <x v="18"/>
    <m/>
    <m/>
    <x v="0"/>
    <m/>
    <m/>
    <x v="120"/>
    <m/>
  </r>
  <r>
    <s v="cdbbe369-ac92-40e7-bba7-3ce417289aee"/>
    <x v="8"/>
    <s v="8e7a3972-882a-4a0f-815d-80c03a0659aa"/>
    <m/>
    <x v="3"/>
    <s v="2023-02-05T00:06:57.294000+00:00"/>
    <n v="117"/>
    <n v="0"/>
    <n v="0"/>
    <x v="124"/>
    <x v="12"/>
    <s v="71"/>
    <s v="URL"/>
    <x v="18"/>
    <x v="18"/>
    <m/>
    <m/>
    <x v="0"/>
    <m/>
    <m/>
    <x v="120"/>
    <m/>
  </r>
  <r>
    <s v="f18608a8-7cc4-4a5b-b7bd-8a5bc41b1b61"/>
    <x v="8"/>
    <s v="514bc62a-0ae8-461a-aa66-37a78989d843"/>
    <s v="failed"/>
    <x v="21"/>
    <s v="2023-02-05T01:09:01.499000+00:00"/>
    <n v="120"/>
    <n v="3"/>
    <n v="2.5000000000000001E-2"/>
    <x v="323"/>
    <x v="15"/>
    <s v="71"/>
    <s v="URL"/>
    <x v="1"/>
    <x v="1"/>
    <m/>
    <s v="Korte lengte ingesteld? robot lijkt vast te zitten en gaat in error bij terugkeren"/>
    <x v="0"/>
    <m/>
    <m/>
    <x v="120"/>
    <m/>
  </r>
  <r>
    <m/>
    <x v="9"/>
    <s v="6bfe527f-2cfa-4db6-91f5-3def6a21a643"/>
    <s v="paused"/>
    <x v="3"/>
    <s v="2023-02-05T02:17:21.192000+00:00"/>
    <n v="4"/>
    <n v="4"/>
    <n v="1"/>
    <x v="4"/>
    <x v="14"/>
    <s v="22"/>
    <m/>
    <x v="2"/>
    <x v="2"/>
    <m/>
    <m/>
    <x v="0"/>
    <m/>
    <m/>
    <x v="120"/>
    <m/>
  </r>
  <r>
    <s v="04781162-17b6-4ca4-9647-76d394277a40"/>
    <x v="9"/>
    <s v="bd1a5232-79e2-48fa-8771-5a646ac745bf"/>
    <s v="failed"/>
    <x v="47"/>
    <s v="2023-02-05T03:28:01.431000+00:00"/>
    <n v="79"/>
    <n v="15"/>
    <n v="0.189873417721519"/>
    <x v="324"/>
    <x v="14"/>
    <n v="22"/>
    <s v="URL"/>
    <x v="9"/>
    <x v="9"/>
    <m/>
    <m/>
    <x v="0"/>
    <s v="Dit is eigenljik ook een 0x01040004 (4 collisions in a row)"/>
    <m/>
    <x v="120"/>
    <m/>
  </r>
  <r>
    <s v="04781162-17b6-4ca4-9647-76d394277a40"/>
    <x v="9"/>
    <s v="bd1a5232-79e2-48fa-8771-5a646ac745bf"/>
    <m/>
    <x v="0"/>
    <s v="2023-02-05T03:28:01.431000+00:00"/>
    <n v="80"/>
    <n v="15"/>
    <n v="0.1875"/>
    <x v="324"/>
    <x v="14"/>
    <s v="22"/>
    <s v="URL"/>
    <x v="9"/>
    <x v="9"/>
    <m/>
    <m/>
    <x v="0"/>
    <m/>
    <m/>
    <x v="120"/>
    <m/>
  </r>
  <r>
    <s v="b8c54399-1fbc-4955-b5f1-115ddeb1d0fb"/>
    <x v="9"/>
    <s v="5e21e59e-26f1-4c72-83b5-c395077ac70f"/>
    <s v="completed"/>
    <x v="0"/>
    <s v="2023-02-05T05:55:43.942000+00:00"/>
    <n v="68"/>
    <n v="16"/>
    <n v="0.23529411764705899"/>
    <x v="325"/>
    <x v="14"/>
    <n v="22"/>
    <s v="URL"/>
    <x v="3"/>
    <x v="3"/>
    <m/>
    <m/>
    <x v="0"/>
    <m/>
    <m/>
    <x v="120"/>
    <m/>
  </r>
  <r>
    <s v="b8c54399-1fbc-4955-b5f1-115ddeb1d0fb"/>
    <x v="9"/>
    <s v="5e21e59e-26f1-4c72-83b5-c395077ac70f"/>
    <s v="completed"/>
    <x v="0"/>
    <s v="2023-02-05T05:55:43.942000+00:00"/>
    <n v="68"/>
    <n v="16"/>
    <n v="0.23529411764705882"/>
    <x v="325"/>
    <x v="14"/>
    <s v="22"/>
    <s v="URL"/>
    <x v="3"/>
    <x v="3"/>
    <m/>
    <m/>
    <x v="0"/>
    <m/>
    <m/>
    <x v="120"/>
    <m/>
  </r>
  <r>
    <s v="2141f8e0-519b-4d7a-ace4-4aa622f6a92e"/>
    <x v="9"/>
    <s v="5e21e59e-26f1-4c72-83b5-c395077ac70f"/>
    <s v="completed"/>
    <x v="0"/>
    <s v="2023-02-05T06:25:53.380000+00:00"/>
    <n v="68"/>
    <n v="23"/>
    <n v="0.33823529411764702"/>
    <x v="326"/>
    <x v="14"/>
    <n v="22"/>
    <s v="URL"/>
    <x v="6"/>
    <x v="6"/>
    <m/>
    <m/>
    <x v="0"/>
    <m/>
    <m/>
    <x v="120"/>
    <m/>
  </r>
  <r>
    <s v="2141f8e0-519b-4d7a-ace4-4aa622f6a92e"/>
    <x v="9"/>
    <s v="5e21e59e-26f1-4c72-83b5-c395077ac70f"/>
    <s v="completed"/>
    <x v="0"/>
    <s v="2023-02-05T06:25:53.380000+00:00"/>
    <n v="68"/>
    <n v="23"/>
    <n v="0.33823529411764708"/>
    <x v="326"/>
    <x v="14"/>
    <s v="22"/>
    <s v="URL"/>
    <x v="6"/>
    <x v="6"/>
    <m/>
    <m/>
    <x v="0"/>
    <m/>
    <m/>
    <x v="120"/>
    <m/>
  </r>
  <r>
    <m/>
    <x v="5"/>
    <s v="f4613f64-7767-454b-af86-741fe3c7fe9d"/>
    <s v="completed"/>
    <x v="3"/>
    <s v="2023-02-05T18:17:58.260000+00:00"/>
    <n v="37"/>
    <n v="37"/>
    <n v="1"/>
    <x v="4"/>
    <x v="5"/>
    <n v="61"/>
    <m/>
    <x v="2"/>
    <x v="2"/>
    <m/>
    <m/>
    <x v="0"/>
    <m/>
    <m/>
    <x v="120"/>
    <m/>
  </r>
  <r>
    <m/>
    <x v="5"/>
    <s v="f4613f64-7767-454b-af86-741fe3c7fe9d"/>
    <s v="completed"/>
    <x v="3"/>
    <s v="2023-02-05T18:17:58.260000+00:00"/>
    <n v="37"/>
    <n v="37"/>
    <n v="1"/>
    <x v="4"/>
    <x v="5"/>
    <s v="61"/>
    <m/>
    <x v="2"/>
    <x v="2"/>
    <m/>
    <m/>
    <x v="0"/>
    <m/>
    <m/>
    <x v="120"/>
    <m/>
  </r>
  <r>
    <s v="daa91571-986d-4679-ad78-0e210f09be96"/>
    <x v="9"/>
    <s v="5e21e59e-26f1-4c72-83b5-c395077ac70f"/>
    <s v="completed"/>
    <x v="0"/>
    <s v="2023-02-05T19:33:37.952000+00:00"/>
    <n v="68"/>
    <n v="42"/>
    <n v="0.61764705882352899"/>
    <x v="327"/>
    <x v="14"/>
    <n v="22"/>
    <s v="URL"/>
    <x v="16"/>
    <x v="16"/>
    <m/>
    <m/>
    <x v="0"/>
    <m/>
    <m/>
    <x v="120"/>
    <m/>
  </r>
  <r>
    <s v="daa91571-986d-4679-ad78-0e210f09be96"/>
    <x v="9"/>
    <s v="5e21e59e-26f1-4c72-83b5-c395077ac70f"/>
    <s v="completed"/>
    <x v="0"/>
    <s v="2023-02-05T19:33:37.952000+00:00"/>
    <n v="68"/>
    <n v="42"/>
    <n v="0.61764705882352944"/>
    <x v="327"/>
    <x v="14"/>
    <s v="22"/>
    <s v="URL"/>
    <x v="16"/>
    <x v="16"/>
    <m/>
    <m/>
    <x v="0"/>
    <m/>
    <m/>
    <x v="120"/>
    <m/>
  </r>
  <r>
    <m/>
    <x v="9"/>
    <s v="5e21e59e-26f1-4c72-83b5-c395077ac70f"/>
    <s v="completed"/>
    <x v="3"/>
    <s v="2023-02-05T21:22:46.072000+00:00"/>
    <n v="68"/>
    <n v="65"/>
    <n v="0.95588235294117596"/>
    <x v="4"/>
    <x v="14"/>
    <n v="22"/>
    <m/>
    <x v="2"/>
    <x v="2"/>
    <m/>
    <m/>
    <x v="0"/>
    <m/>
    <m/>
    <x v="120"/>
    <m/>
  </r>
  <r>
    <m/>
    <x v="9"/>
    <s v="5e21e59e-26f1-4c72-83b5-c395077ac70f"/>
    <s v="completed"/>
    <x v="3"/>
    <s v="2023-02-05T21:22:46.072000+00:00"/>
    <n v="68"/>
    <n v="65"/>
    <n v="0.95588235294117652"/>
    <x v="4"/>
    <x v="14"/>
    <s v="22"/>
    <m/>
    <x v="2"/>
    <x v="2"/>
    <m/>
    <m/>
    <x v="0"/>
    <m/>
    <m/>
    <x v="120"/>
    <m/>
  </r>
  <r>
    <m/>
    <x v="9"/>
    <s v="c04be0e3-906e-4b9f-9bd2-643d8702517a"/>
    <s v="stopped"/>
    <x v="3"/>
    <s v="2023-02-06T01:56:16.887000+00:00"/>
    <n v="80"/>
    <n v="56"/>
    <n v="0.7"/>
    <x v="4"/>
    <x v="13"/>
    <n v="22"/>
    <m/>
    <x v="2"/>
    <x v="2"/>
    <m/>
    <m/>
    <x v="0"/>
    <m/>
    <m/>
    <x v="121"/>
    <m/>
  </r>
  <r>
    <m/>
    <x v="9"/>
    <s v="c04be0e3-906e-4b9f-9bd2-643d8702517a"/>
    <s v="stopped"/>
    <x v="3"/>
    <s v="2023-02-06T01:56:16.887000+00:00"/>
    <n v="80"/>
    <n v="56"/>
    <n v="0.7"/>
    <x v="4"/>
    <x v="13"/>
    <s v="22"/>
    <m/>
    <x v="2"/>
    <x v="2"/>
    <m/>
    <m/>
    <x v="0"/>
    <m/>
    <m/>
    <x v="121"/>
    <m/>
  </r>
  <r>
    <m/>
    <x v="9"/>
    <s v="c30b4eea-4714-4b57-99fe-97359bf15fe1"/>
    <s v="completed"/>
    <x v="3"/>
    <s v="2023-02-06T08:17:38.224000+00:00"/>
    <n v="80"/>
    <n v="80"/>
    <n v="1"/>
    <x v="4"/>
    <x v="13"/>
    <n v="22"/>
    <m/>
    <x v="2"/>
    <x v="2"/>
    <m/>
    <m/>
    <x v="0"/>
    <m/>
    <m/>
    <x v="121"/>
    <m/>
  </r>
  <r>
    <m/>
    <x v="9"/>
    <s v="c30b4eea-4714-4b57-99fe-97359bf15fe1"/>
    <s v="completed"/>
    <x v="3"/>
    <s v="2023-02-06T08:17:38.224000+00:00"/>
    <n v="80"/>
    <n v="80"/>
    <n v="1"/>
    <x v="4"/>
    <x v="13"/>
    <s v="22"/>
    <m/>
    <x v="2"/>
    <x v="2"/>
    <m/>
    <m/>
    <x v="0"/>
    <m/>
    <m/>
    <x v="121"/>
    <m/>
  </r>
  <r>
    <m/>
    <x v="5"/>
    <s v="30ff12d4-6386-4b34-a747-aa96e346ec2d"/>
    <m/>
    <x v="0"/>
    <s v="2023-02-06T16:35:56.211000+00:00"/>
    <n v="37"/>
    <n v="2"/>
    <n v="5.4054054054054057E-2"/>
    <x v="292"/>
    <x v="5"/>
    <s v="63"/>
    <m/>
    <x v="1"/>
    <x v="1"/>
    <m/>
    <m/>
    <x v="0"/>
    <m/>
    <m/>
    <x v="121"/>
    <m/>
  </r>
  <r>
    <m/>
    <x v="5"/>
    <s v="30ff12d4-6386-4b34-a747-aa96e346ec2d"/>
    <m/>
    <x v="0"/>
    <s v="2023-02-06T16:39:55.136000+00:00"/>
    <n v="37"/>
    <n v="3"/>
    <n v="8.1081081081081086E-2"/>
    <x v="303"/>
    <x v="5"/>
    <s v="63"/>
    <m/>
    <x v="1"/>
    <x v="1"/>
    <m/>
    <m/>
    <x v="0"/>
    <m/>
    <m/>
    <x v="121"/>
    <m/>
  </r>
  <r>
    <m/>
    <x v="5"/>
    <s v="30ff12d4-6386-4b34-a747-aa96e346ec2d"/>
    <m/>
    <x v="0"/>
    <s v="2023-02-06T17:00:13.436000+00:00"/>
    <n v="37"/>
    <n v="9"/>
    <n v="0.24324324324324326"/>
    <x v="328"/>
    <x v="5"/>
    <s v="63"/>
    <m/>
    <x v="3"/>
    <x v="3"/>
    <m/>
    <m/>
    <x v="0"/>
    <m/>
    <m/>
    <x v="121"/>
    <m/>
  </r>
  <r>
    <m/>
    <x v="5"/>
    <s v="30ff12d4-6386-4b34-a747-aa96e346ec2d"/>
    <m/>
    <x v="0"/>
    <s v="2023-02-06T17:13:07.649000+00:00"/>
    <n v="37"/>
    <n v="12"/>
    <n v="0.32432432432432434"/>
    <x v="286"/>
    <x v="5"/>
    <s v="63"/>
    <m/>
    <x v="3"/>
    <x v="3"/>
    <m/>
    <m/>
    <x v="0"/>
    <m/>
    <m/>
    <x v="121"/>
    <m/>
  </r>
  <r>
    <s v="0fccbfdb-85d0-44af-85e8-8a0819d133dc"/>
    <x v="9"/>
    <s v="92f98803-30a9-4e4a-bd3c-84680b4d9d39"/>
    <s v="failed"/>
    <x v="0"/>
    <s v="2023-02-06T17:57:18.431000+00:00"/>
    <n v="79"/>
    <n v="1"/>
    <n v="1.2658227848101266E-2"/>
    <x v="321"/>
    <x v="14"/>
    <s v="22"/>
    <s v="URL"/>
    <x v="3"/>
    <x v="3"/>
    <m/>
    <m/>
    <x v="0"/>
    <m/>
    <m/>
    <x v="121"/>
    <m/>
  </r>
  <r>
    <m/>
    <x v="5"/>
    <s v="30ff12d4-6386-4b34-a747-aa96e346ec2d"/>
    <m/>
    <x v="0"/>
    <s v="2023-02-06T18:06:26.975000+00:00"/>
    <n v="37"/>
    <n v="26"/>
    <n v="0.70270270270270274"/>
    <x v="329"/>
    <x v="5"/>
    <s v="63"/>
    <m/>
    <x v="1"/>
    <x v="1"/>
    <m/>
    <m/>
    <x v="0"/>
    <m/>
    <m/>
    <x v="121"/>
    <m/>
  </r>
  <r>
    <s v="4b499a5e-5eea-43ee-bb9f-6e4f245cddd0"/>
    <x v="9"/>
    <s v="92f98803-30a9-4e4a-bd3c-84680b4d9d39"/>
    <s v="failed"/>
    <x v="0"/>
    <s v="2023-02-06T18:26:15.296000+00:00"/>
    <n v="79"/>
    <n v="8"/>
    <n v="0.10126582278481013"/>
    <x v="330"/>
    <x v="14"/>
    <s v="22"/>
    <s v="URL"/>
    <x v="6"/>
    <x v="6"/>
    <m/>
    <m/>
    <x v="0"/>
    <m/>
    <m/>
    <x v="121"/>
    <m/>
  </r>
  <r>
    <m/>
    <x v="5"/>
    <s v="30ff12d4-6386-4b34-a747-aa96e346ec2d"/>
    <m/>
    <x v="0"/>
    <s v="2023-02-06T18:29:06.409000+00:00"/>
    <n v="37"/>
    <n v="33"/>
    <n v="0.89189189189189189"/>
    <x v="331"/>
    <x v="5"/>
    <s v="63"/>
    <m/>
    <x v="18"/>
    <x v="18"/>
    <m/>
    <m/>
    <x v="0"/>
    <m/>
    <m/>
    <x v="121"/>
    <m/>
  </r>
  <r>
    <m/>
    <x v="5"/>
    <s v="30ff12d4-6386-4b34-a747-aa96e346ec2d"/>
    <m/>
    <x v="3"/>
    <s v="2023-02-06T18:38:53.924000+00:00"/>
    <n v="37"/>
    <n v="36"/>
    <n v="0.97297297297297303"/>
    <x v="288"/>
    <x v="5"/>
    <s v="63"/>
    <m/>
    <x v="3"/>
    <x v="3"/>
    <m/>
    <m/>
    <x v="0"/>
    <m/>
    <m/>
    <x v="121"/>
    <m/>
  </r>
  <r>
    <s v="fd173aed-a61f-4586-b740-643df87318ff"/>
    <x v="6"/>
    <s v="c12c3313-d0ff-4bb8-9dac-cfe93071e2a6"/>
    <s v="completed"/>
    <x v="0"/>
    <s v="2023-02-06T19:07:35.460000+00:00"/>
    <n v="23"/>
    <n v="19"/>
    <n v="0.82608695652173914"/>
    <x v="274"/>
    <x v="5"/>
    <s v="51"/>
    <s v="URL"/>
    <x v="1"/>
    <x v="1"/>
    <s v="Ook voorwielslip, maar ik denk dat hij initieel al te vroeg met zijn inductieve sensor op de rail zit."/>
    <m/>
    <x v="0"/>
    <m/>
    <m/>
    <x v="121"/>
    <m/>
  </r>
  <r>
    <m/>
    <x v="6"/>
    <s v="c12c3313-d0ff-4bb8-9dac-cfe93071e2a6"/>
    <s v="completed"/>
    <x v="3"/>
    <s v="2023-02-06T19:11:41.524000+00:00"/>
    <n v="23"/>
    <n v="22"/>
    <n v="0.95652173913043481"/>
    <x v="4"/>
    <x v="5"/>
    <s v="51"/>
    <m/>
    <x v="2"/>
    <x v="2"/>
    <m/>
    <m/>
    <x v="0"/>
    <m/>
    <m/>
    <x v="121"/>
    <m/>
  </r>
  <r>
    <s v="0413b5c6-c382-406f-a11a-61f8d41edc7f"/>
    <x v="9"/>
    <s v="92f98803-30a9-4e4a-bd3c-84680b4d9d39"/>
    <s v="failed"/>
    <x v="0"/>
    <s v="2023-02-06T20:29:00.340000+00:00"/>
    <n v="79"/>
    <n v="35"/>
    <n v="0.44303797468354428"/>
    <x v="325"/>
    <x v="14"/>
    <s v="22"/>
    <s v="URL"/>
    <x v="3"/>
    <x v="3"/>
    <m/>
    <m/>
    <x v="0"/>
    <m/>
    <m/>
    <x v="121"/>
    <m/>
  </r>
  <r>
    <s v="073288db-5373-4daa-ba65-24ae0b114b70"/>
    <x v="9"/>
    <s v="92f98803-30a9-4e4a-bd3c-84680b4d9d39"/>
    <s v="failed"/>
    <x v="0"/>
    <s v="2023-02-06T20:58:14.886000+00:00"/>
    <n v="79"/>
    <n v="42"/>
    <n v="0.53164556962025311"/>
    <x v="326"/>
    <x v="14"/>
    <s v="22"/>
    <s v="URL"/>
    <x v="6"/>
    <x v="6"/>
    <m/>
    <m/>
    <x v="0"/>
    <m/>
    <m/>
    <x v="121"/>
    <m/>
  </r>
  <r>
    <s v="d566b746-51ea-48e2-852c-2704948d76ec"/>
    <x v="9"/>
    <s v="92f98803-30a9-4e4a-bd3c-84680b4d9d39"/>
    <s v="failed"/>
    <x v="0"/>
    <s v="2023-02-06T21:03:17.306000+00:00"/>
    <n v="79"/>
    <n v="44"/>
    <n v="0.55696202531645567"/>
    <x v="332"/>
    <x v="14"/>
    <s v="22"/>
    <s v="URL"/>
    <x v="16"/>
    <x v="16"/>
    <m/>
    <m/>
    <x v="0"/>
    <m/>
    <m/>
    <x v="121"/>
    <m/>
  </r>
  <r>
    <s v="b9304ca7-1476-4379-9df1-a22f4be743df"/>
    <x v="9"/>
    <s v="92f98803-30a9-4e4a-bd3c-84680b4d9d39"/>
    <s v="failed"/>
    <x v="19"/>
    <s v="2023-02-06T21:09:17.039000+00:00"/>
    <n v="79"/>
    <n v="46"/>
    <n v="0.58227848101265822"/>
    <x v="333"/>
    <x v="14"/>
    <s v="22"/>
    <s v="URL"/>
    <x v="16"/>
    <x v="16"/>
    <m/>
    <m/>
    <x v="0"/>
    <m/>
    <m/>
    <x v="121"/>
    <m/>
  </r>
  <r>
    <s v="7cd2d353-d44b-4e6e-86b2-54b23a404c4d"/>
    <x v="9"/>
    <s v="6bf3f492-48e2-4043-ac00-75bf015327f2"/>
    <s v="stopped"/>
    <x v="0"/>
    <s v="2023-02-06T21:14:17.977000+00:00"/>
    <n v="45"/>
    <n v="1"/>
    <n v="2.2222222222222223E-2"/>
    <x v="334"/>
    <x v="14"/>
    <s v="22"/>
    <s v="URL"/>
    <x v="18"/>
    <x v="18"/>
    <m/>
    <m/>
    <x v="0"/>
    <m/>
    <m/>
    <x v="121"/>
    <m/>
  </r>
  <r>
    <m/>
    <x v="9"/>
    <s v="71c3dffd-8596-4417-945c-25c9205953b7"/>
    <s v="stopped"/>
    <x v="3"/>
    <s v="2023-02-06T21:42:09.929000+00:00"/>
    <n v="44"/>
    <n v="7"/>
    <n v="0.15909090909090909"/>
    <x v="4"/>
    <x v="14"/>
    <s v="22"/>
    <m/>
    <x v="2"/>
    <x v="2"/>
    <m/>
    <m/>
    <x v="0"/>
    <m/>
    <m/>
    <x v="121"/>
    <m/>
  </r>
  <r>
    <s v="853f3e2e-e3d7-468e-8b0e-c1791060d55c"/>
    <x v="9"/>
    <s v="ac35489e-8cf3-4d52-a0a5-dafad5780350"/>
    <s v="failed"/>
    <x v="0"/>
    <s v="2023-02-07T02:56:27.596000+00:00"/>
    <n v="77"/>
    <n v="60"/>
    <n v="0.77922077922077926"/>
    <x v="335"/>
    <x v="14"/>
    <s v="22"/>
    <s v="URL"/>
    <x v="3"/>
    <x v="3"/>
    <m/>
    <m/>
    <x v="0"/>
    <m/>
    <m/>
    <x v="122"/>
    <m/>
  </r>
  <r>
    <s v="a4fb5569-2af5-429a-881f-fc4243d0f422"/>
    <x v="9"/>
    <s v="ac35489e-8cf3-4d52-a0a5-dafad5780350"/>
    <s v="failed"/>
    <x v="22"/>
    <s v="2023-02-07T03:26:39.619000+00:00"/>
    <n v="77"/>
    <n v="67"/>
    <n v="0.87012987012987009"/>
    <x v="336"/>
    <x v="14"/>
    <s v="22"/>
    <s v="URL"/>
    <x v="6"/>
    <x v="6"/>
    <m/>
    <m/>
    <x v="0"/>
    <m/>
    <m/>
    <x v="122"/>
    <m/>
  </r>
  <r>
    <s v="4e7f2942-c833-4266-89c9-92632352c38c"/>
    <x v="0"/>
    <s v="616399e5-4ab7-47c0-b374-654df5171ba5"/>
    <s v="failed"/>
    <x v="0"/>
    <s v="2023-02-08T09:23:08.636000+00:00"/>
    <n v="10"/>
    <n v="0"/>
    <n v="0"/>
    <x v="337"/>
    <x v="2"/>
    <s v="66"/>
    <s v="URL"/>
    <x v="3"/>
    <x v="3"/>
    <s v="te vroeg gestopt, Niels is er bij"/>
    <m/>
    <x v="0"/>
    <m/>
    <m/>
    <x v="123"/>
    <m/>
  </r>
  <r>
    <s v="7ed151e4-457c-47d9-9e20-5a55feefd186"/>
    <x v="0"/>
    <s v="616399e5-4ab7-47c0-b374-654df5171ba5"/>
    <s v="failed"/>
    <x v="20"/>
    <s v="2023-02-08T09:26:35.842000+00:00"/>
    <n v="10"/>
    <n v="1"/>
    <n v="0.1"/>
    <x v="338"/>
    <x v="2"/>
    <s v="66"/>
    <s v="URL"/>
    <x v="7"/>
    <x v="7"/>
    <s v="fout op einde laneswitch"/>
    <m/>
    <x v="0"/>
    <m/>
    <m/>
    <x v="123"/>
    <m/>
  </r>
  <r>
    <s v="464867d7-f12c-4d76-990a-de243ffd5a05"/>
    <x v="0"/>
    <s v="aadcac68-ed1e-4617-8eb9-0751673f76b2"/>
    <s v="failed"/>
    <x v="44"/>
    <s v="2023-02-08T09:49:36.099000+00:00"/>
    <n v="9"/>
    <n v="0"/>
    <n v="0"/>
    <x v="124"/>
    <x v="2"/>
    <s v="66"/>
    <s v="URL"/>
    <x v="6"/>
    <x v="6"/>
    <s v="Niels duwt op noodstop"/>
    <m/>
    <x v="0"/>
    <m/>
    <m/>
    <x v="123"/>
    <m/>
  </r>
  <r>
    <s v="d781bf46-6cc0-437a-976f-c4bf9a19c73e"/>
    <x v="0"/>
    <s v="13edc5c4-bb6a-42e2-9916-010568b63afd"/>
    <s v="failed"/>
    <x v="44"/>
    <s v="2023-02-08T10:15:11.197000+00:00"/>
    <n v="5"/>
    <n v="0"/>
    <n v="0"/>
    <x v="339"/>
    <x v="2"/>
    <s v="66"/>
    <s v="URL"/>
    <x v="6"/>
    <x v="6"/>
    <s v="Niet geupload"/>
    <m/>
    <x v="0"/>
    <m/>
    <m/>
    <x v="123"/>
    <m/>
  </r>
  <r>
    <s v="0bfe4bc8-6876-4150-a3a0-264e128537e3"/>
    <x v="0"/>
    <s v="c8992970-7a4d-4ce9-ab0b-c7cfbae987cf"/>
    <s v="failed"/>
    <x v="0"/>
    <s v="2023-02-08T10:30:09.113000+00:00"/>
    <n v="15"/>
    <n v="0"/>
    <n v="0"/>
    <x v="340"/>
    <x v="0"/>
    <s v="66"/>
    <s v="URL"/>
    <x v="14"/>
    <x v="14"/>
    <s v="Niet geupload"/>
    <m/>
    <x v="0"/>
    <m/>
    <m/>
    <x v="123"/>
    <m/>
  </r>
  <r>
    <s v="3e437b56-d680-4097-aec2-c6815f64b079"/>
    <x v="0"/>
    <s v="c8992970-7a4d-4ce9-ab0b-c7cfbae987cf"/>
    <s v="failed"/>
    <x v="0"/>
    <s v="2023-02-08T10:34:41.619000+00:00"/>
    <n v="15"/>
    <n v="1"/>
    <n v="6.6666666666666666E-2"/>
    <x v="341"/>
    <x v="0"/>
    <s v="66"/>
    <s v="URL"/>
    <x v="14"/>
    <x v="14"/>
    <s v="Niet geupload"/>
    <m/>
    <x v="0"/>
    <m/>
    <m/>
    <x v="123"/>
    <m/>
  </r>
  <r>
    <s v="d612a1a9-b581-4f14-963b-94f1fa7f0136"/>
    <x v="0"/>
    <s v="c8992970-7a4d-4ce9-ab0b-c7cfbae987cf"/>
    <s v="failed"/>
    <x v="20"/>
    <s v="2023-02-08T10:35:41.754000+00:00"/>
    <n v="15"/>
    <n v="2"/>
    <n v="0.13333333333333333"/>
    <x v="342"/>
    <x v="0"/>
    <s v="66"/>
    <s v="URL"/>
    <x v="6"/>
    <x v="6"/>
    <s v="Niet geupload"/>
    <m/>
    <x v="0"/>
    <m/>
    <m/>
    <x v="123"/>
    <m/>
  </r>
  <r>
    <m/>
    <x v="2"/>
    <s v="25a96e8a-d765-4396-b432-73b8d124b34d"/>
    <s v="completed"/>
    <x v="3"/>
    <s v="2023-02-08T12:48:03.570000+00:00"/>
    <n v="2"/>
    <n v="2"/>
    <n v="1"/>
    <x v="4"/>
    <x v="0"/>
    <s v="65"/>
    <m/>
    <x v="2"/>
    <x v="2"/>
    <m/>
    <m/>
    <x v="0"/>
    <m/>
    <m/>
    <x v="123"/>
    <m/>
  </r>
  <r>
    <s v="da1363be-c481-4596-928d-7715e4a8bf11"/>
    <x v="2"/>
    <s v="84e17806-096e-488c-8826-d88f07ae5c82"/>
    <s v="failed"/>
    <x v="25"/>
    <s v="2023-02-08T13:00:49.747000+00:00"/>
    <n v="6"/>
    <n v="2"/>
    <n v="0.33333333333333331"/>
    <x v="343"/>
    <x v="0"/>
    <s v="65"/>
    <s v="URL"/>
    <x v="5"/>
    <x v="5"/>
    <s v="Niels duwt op noodstop"/>
    <m/>
    <x v="0"/>
    <m/>
    <m/>
    <x v="123"/>
    <m/>
  </r>
  <r>
    <m/>
    <x v="2"/>
    <s v="e60be7e2-0d1d-4e97-858d-390135795a3e"/>
    <s v="completed"/>
    <x v="3"/>
    <s v="2023-02-08T13:44:36.076000+00:00"/>
    <n v="6"/>
    <n v="6"/>
    <n v="1"/>
    <x v="4"/>
    <x v="0"/>
    <s v="65"/>
    <m/>
    <x v="2"/>
    <x v="2"/>
    <m/>
    <m/>
    <x v="0"/>
    <m/>
    <m/>
    <x v="123"/>
    <m/>
  </r>
  <r>
    <s v="252f913c-fa29-4cf6-9cdd-3d65d478ce6b"/>
    <x v="0"/>
    <s v="1c94fdb5-3bed-4c55-8f4c-1faf1b29fd8c"/>
    <s v="failed"/>
    <x v="0"/>
    <s v="2023-02-08T14:18:43.430000+00:00"/>
    <n v="6"/>
    <n v="0"/>
    <n v="0"/>
    <x v="124"/>
    <x v="0"/>
    <s v="65"/>
    <s v="URL"/>
    <x v="6"/>
    <x v="6"/>
    <s v="Niet geupload"/>
    <m/>
    <x v="0"/>
    <m/>
    <m/>
    <x v="123"/>
    <m/>
  </r>
  <r>
    <s v="daa91a0c-86db-406d-93bc-3bef40a13ae5"/>
    <x v="0"/>
    <s v="1c94fdb5-3bed-4c55-8f4c-1faf1b29fd8c"/>
    <s v="failed"/>
    <x v="20"/>
    <s v="2023-02-08T14:21:49.892000+00:00"/>
    <n v="6"/>
    <n v="1"/>
    <n v="0.16666666666666666"/>
    <x v="344"/>
    <x v="0"/>
    <s v="65"/>
    <s v="URL"/>
    <x v="27"/>
    <x v="27"/>
    <s v="Niet geupload"/>
    <m/>
    <x v="0"/>
    <m/>
    <m/>
    <x v="123"/>
    <m/>
  </r>
  <r>
    <s v="c0820ed2-f60c-4764-9381-bd370a522a00"/>
    <x v="0"/>
    <s v="b58e34a5-9b51-4cd0-897e-bde5f3e8c930"/>
    <s v="failed"/>
    <x v="20"/>
    <s v="2023-02-08T14:25:20.546000+00:00"/>
    <n v="2"/>
    <n v="0"/>
    <n v="0"/>
    <x v="345"/>
    <x v="0"/>
    <s v="65"/>
    <s v="URL"/>
    <x v="27"/>
    <x v="27"/>
    <s v="Niet geupload"/>
    <m/>
    <x v="0"/>
    <m/>
    <m/>
    <x v="123"/>
    <m/>
  </r>
  <r>
    <m/>
    <x v="2"/>
    <s v="97361976-10c7-4119-b44a-f975ca2073be"/>
    <s v="completed"/>
    <x v="3"/>
    <s v="2023-02-08T14:25:25.084000+00:00"/>
    <n v="9"/>
    <n v="9"/>
    <n v="1"/>
    <x v="4"/>
    <x v="2"/>
    <s v="65"/>
    <m/>
    <x v="2"/>
    <x v="2"/>
    <m/>
    <m/>
    <x v="0"/>
    <m/>
    <m/>
    <x v="123"/>
    <m/>
  </r>
  <r>
    <s v="64845f63-4cc2-4c73-ae1c-3818573f8fd7"/>
    <x v="0"/>
    <s v="9b6e0b05-d72a-44d1-a233-3751996237ef"/>
    <m/>
    <x v="3"/>
    <s v="2023-02-08T14:36:01.800000+00:00"/>
    <n v="2"/>
    <n v="1"/>
    <n v="0.5"/>
    <x v="346"/>
    <x v="2"/>
    <s v="65"/>
    <s v="URL"/>
    <x v="22"/>
    <x v="22"/>
    <s v="Niet geupload"/>
    <m/>
    <x v="0"/>
    <m/>
    <m/>
    <x v="123"/>
    <m/>
  </r>
  <r>
    <s v="b8be17e3-6e80-4be2-9da5-ea0c59f24e69"/>
    <x v="0"/>
    <s v="3c85f895-ed14-4c60-b4c7-182432f612c1"/>
    <s v="completed"/>
    <x v="0"/>
    <s v="2023-02-08T15:15:54.835000+00:00"/>
    <n v="10"/>
    <n v="1"/>
    <n v="0.1"/>
    <x v="347"/>
    <x v="2"/>
    <s v="65"/>
    <s v="URL"/>
    <x v="22"/>
    <x v="22"/>
    <s v="Niet geupload"/>
    <m/>
    <x v="0"/>
    <m/>
    <m/>
    <x v="123"/>
    <m/>
  </r>
  <r>
    <m/>
    <x v="0"/>
    <s v="3c85f895-ed14-4c60-b4c7-182432f612c1"/>
    <s v="completed"/>
    <x v="3"/>
    <s v="2023-02-08T15:50:32.861000+00:00"/>
    <n v="10"/>
    <n v="9"/>
    <n v="0.9"/>
    <x v="4"/>
    <x v="2"/>
    <s v="65"/>
    <m/>
    <x v="2"/>
    <x v="2"/>
    <m/>
    <m/>
    <x v="0"/>
    <m/>
    <m/>
    <x v="123"/>
    <m/>
  </r>
  <r>
    <s v="96283ba8-d7d7-41bf-a4a7-ff1d8b65738c"/>
    <x v="2"/>
    <s v="2f4e236e-1cd5-417f-a9e7-8c9af285ce0b"/>
    <s v="failed"/>
    <x v="26"/>
    <s v="2023-02-08T15:59:32.043000+00:00"/>
    <n v="145"/>
    <n v="9"/>
    <n v="6.2068965517241378E-2"/>
    <x v="348"/>
    <x v="0"/>
    <s v="65"/>
    <s v="URL"/>
    <x v="18"/>
    <x v="18"/>
    <s v="Lijkt veroorzaakt door een slechte laneswitch ?"/>
    <m/>
    <x v="0"/>
    <m/>
    <m/>
    <x v="123"/>
    <m/>
  </r>
  <r>
    <s v="3e969509-9a72-49c2-befb-ecd21e1bffc9"/>
    <x v="9"/>
    <s v="7a3a4b1c-988c-4614-b62d-d242512149b9"/>
    <s v="stopped"/>
    <x v="0"/>
    <s v="2023-02-08T16:26:49.023000+00:00"/>
    <n v="82"/>
    <n v="1"/>
    <n v="1.2195121951219513E-2"/>
    <x v="321"/>
    <x v="14"/>
    <s v="22"/>
    <s v="URL"/>
    <x v="3"/>
    <x v="3"/>
    <s v="niets speciaal te zien"/>
    <m/>
    <x v="0"/>
    <m/>
    <m/>
    <x v="123"/>
    <m/>
  </r>
  <r>
    <s v="daa83a0a-3faf-4e32-9dc8-29491150c3e6"/>
    <x v="5"/>
    <s v="9fb31d10-1a8a-4818-bd45-38cd588c0cd4"/>
    <m/>
    <x v="0"/>
    <s v="2023-02-08T16:33:58.910000+00:00"/>
    <n v="47"/>
    <n v="1"/>
    <n v="2.1276595744680851E-2"/>
    <x v="291"/>
    <x v="5"/>
    <s v="64"/>
    <s v="URL"/>
    <x v="1"/>
    <x v="1"/>
    <s v="robot komt te kort, elektriciteitskasten ?"/>
    <m/>
    <x v="0"/>
    <m/>
    <m/>
    <x v="123"/>
    <m/>
  </r>
  <r>
    <s v="97067215-b003-435e-9138-a6c7ffd6be93"/>
    <x v="5"/>
    <s v="9fb31d10-1a8a-4818-bd45-38cd588c0cd4"/>
    <m/>
    <x v="0"/>
    <s v="2023-02-08T16:35:03.853000+00:00"/>
    <n v="47"/>
    <n v="2"/>
    <n v="4.2553191489361701E-2"/>
    <x v="292"/>
    <x v="5"/>
    <s v="64"/>
    <s v="URL"/>
    <x v="9"/>
    <x v="9"/>
    <s v="Robot gaat in fout na laneswitch"/>
    <m/>
    <x v="0"/>
    <m/>
    <m/>
    <x v="123"/>
    <m/>
  </r>
  <r>
    <s v="5e44a4b9-38c1-49d5-90d9-0d8fc9f4fd3e"/>
    <x v="6"/>
    <s v="b8e35189-cd52-4583-b1a1-385ae4aa4530"/>
    <s v="completed"/>
    <x v="0"/>
    <s v="2023-02-08T17:10:08.849000+00:00"/>
    <n v="23"/>
    <n v="18"/>
    <n v="0.78260869565217395"/>
    <x v="275"/>
    <x v="5"/>
    <s v="51"/>
    <s v="URL"/>
    <x v="3"/>
    <x v="3"/>
    <s v="voorwiel slip"/>
    <m/>
    <x v="0"/>
    <m/>
    <m/>
    <x v="123"/>
    <m/>
  </r>
  <r>
    <s v="ebd6acc6-c781-4b71-ad59-6bca3543507d"/>
    <x v="2"/>
    <s v="6c86df7e-8a68-4669-9b3a-6ea039afde26"/>
    <s v="failed"/>
    <x v="20"/>
    <s v="2023-02-08T17:14:04.708000+00:00"/>
    <n v="2"/>
    <n v="0"/>
    <n v="0"/>
    <x v="349"/>
    <x v="0"/>
    <s v="65"/>
    <s v="URL"/>
    <x v="27"/>
    <x v="27"/>
    <s v="Niet geupload"/>
    <m/>
    <x v="0"/>
    <m/>
    <m/>
    <x v="123"/>
    <m/>
  </r>
  <r>
    <m/>
    <x v="9"/>
    <s v="edf36651-df03-4af4-959e-f4e645f58b4e"/>
    <m/>
    <x v="3"/>
    <s v="2023-02-08T17:15:52.353000+00:00"/>
    <n v="72"/>
    <n v="2"/>
    <n v="2.7777777777777776E-2"/>
    <x v="4"/>
    <x v="14"/>
    <s v="22"/>
    <m/>
    <x v="2"/>
    <x v="2"/>
    <m/>
    <m/>
    <x v="0"/>
    <m/>
    <m/>
    <x v="123"/>
    <m/>
  </r>
  <r>
    <m/>
    <x v="6"/>
    <s v="b8e35189-cd52-4583-b1a1-385ae4aa4530"/>
    <s v="completed"/>
    <x v="3"/>
    <s v="2023-02-08T17:16:49.222000+00:00"/>
    <n v="23"/>
    <n v="22"/>
    <n v="0.95652173913043481"/>
    <x v="4"/>
    <x v="5"/>
    <s v="51"/>
    <m/>
    <x v="2"/>
    <x v="2"/>
    <m/>
    <m/>
    <x v="0"/>
    <m/>
    <m/>
    <x v="123"/>
    <m/>
  </r>
  <r>
    <m/>
    <x v="9"/>
    <s v="af959238-0998-4433-8784-6c8db494a40a"/>
    <s v="completed"/>
    <x v="3"/>
    <s v="2023-02-08T17:34:05.414000+00:00"/>
    <n v="3"/>
    <n v="3"/>
    <n v="1"/>
    <x v="4"/>
    <x v="14"/>
    <s v="22"/>
    <m/>
    <x v="2"/>
    <x v="2"/>
    <m/>
    <m/>
    <x v="0"/>
    <m/>
    <m/>
    <x v="123"/>
    <m/>
  </r>
  <r>
    <m/>
    <x v="9"/>
    <s v="ffcd2c72-8067-402e-b579-8e12af3eb5e6"/>
    <s v="completed"/>
    <x v="3"/>
    <s v="2023-02-08T17:42:37.196000+00:00"/>
    <n v="3"/>
    <n v="3"/>
    <n v="1"/>
    <x v="4"/>
    <x v="13"/>
    <s v="22"/>
    <m/>
    <x v="2"/>
    <x v="2"/>
    <m/>
    <m/>
    <x v="0"/>
    <m/>
    <m/>
    <x v="123"/>
    <m/>
  </r>
  <r>
    <s v="50168fdd-99c2-48b3-8071-cdbf329d6544"/>
    <x v="5"/>
    <s v="9fb31d10-1a8a-4818-bd45-38cd588c0cd4"/>
    <m/>
    <x v="0"/>
    <s v="2023-02-08T17:48:10.387000+00:00"/>
    <n v="47"/>
    <n v="9"/>
    <n v="0.19148936170212766"/>
    <x v="293"/>
    <x v="5"/>
    <s v="64"/>
    <s v="URL"/>
    <x v="16"/>
    <x v="16"/>
    <s v="botsing"/>
    <m/>
    <x v="0"/>
    <m/>
    <m/>
    <x v="123"/>
    <m/>
  </r>
  <r>
    <s v="45889550-b5ca-4df8-9191-9bc0cd93fe44"/>
    <x v="5"/>
    <s v="9fb31d10-1a8a-4818-bd45-38cd588c0cd4"/>
    <m/>
    <x v="0"/>
    <s v="2023-02-08T17:56:25.054000+00:00"/>
    <n v="47"/>
    <n v="10"/>
    <n v="0.21276595744680851"/>
    <x v="293"/>
    <x v="5"/>
    <s v="64"/>
    <s v="URL"/>
    <x v="18"/>
    <x v="18"/>
    <s v="slecht klaar gezet ? vertrok van heel ver om op de rail te geraken"/>
    <m/>
    <x v="0"/>
    <m/>
    <m/>
    <x v="123"/>
    <m/>
  </r>
  <r>
    <s v="a891740a-4e52-400c-85e1-498b79158732"/>
    <x v="5"/>
    <s v="9fb31d10-1a8a-4818-bd45-38cd588c0cd4"/>
    <m/>
    <x v="0"/>
    <s v="2023-02-08T17:58:50.709000+00:00"/>
    <n v="47"/>
    <n v="11"/>
    <n v="0.23404255319148937"/>
    <x v="293"/>
    <x v="5"/>
    <s v="64"/>
    <s v="URL"/>
    <x v="18"/>
    <x v="18"/>
    <s v="geraakt de rail niet op of weer slecht klaar gezet"/>
    <m/>
    <x v="0"/>
    <m/>
    <m/>
    <x v="123"/>
    <m/>
  </r>
  <r>
    <s v="3c7b8ceb-fe9f-4d50-9110-7cc7d17e48b5"/>
    <x v="9"/>
    <s v="7511a7e8-20ef-4b46-b627-655ba21a04d9"/>
    <s v="paused"/>
    <x v="0"/>
    <s v="2023-02-08T18:40:31.173000+00:00"/>
    <n v="44"/>
    <n v="9"/>
    <n v="0.20454545454545456"/>
    <x v="350"/>
    <x v="14"/>
    <s v="22"/>
    <s v="URL"/>
    <x v="30"/>
    <x v="26"/>
    <s v="error in het midden van de rij"/>
    <m/>
    <x v="0"/>
    <m/>
    <m/>
    <x v="123"/>
    <m/>
  </r>
  <r>
    <s v="7dcb66d2-6546-4907-abec-61cdb832efab"/>
    <x v="5"/>
    <s v="9fb31d10-1a8a-4818-bd45-38cd588c0cd4"/>
    <m/>
    <x v="0"/>
    <s v="2023-02-08T19:52:12.712000+00:00"/>
    <n v="47"/>
    <n v="43"/>
    <n v="0.91489361702127658"/>
    <x v="351"/>
    <x v="5"/>
    <s v="64"/>
    <s v="URL"/>
    <x v="18"/>
    <x v="18"/>
    <s v="slipte wat net voor hij er op geraakte"/>
    <m/>
    <x v="0"/>
    <m/>
    <m/>
    <x v="123"/>
    <m/>
  </r>
  <r>
    <m/>
    <x v="8"/>
    <s v="a33f0037-58c1-4c9c-adba-477de87944b4"/>
    <s v="failed"/>
    <x v="35"/>
    <s v="2023-02-08T20:42:57.917000+00:00"/>
    <n v="5"/>
    <n v="0"/>
    <n v="0"/>
    <x v="291"/>
    <x v="16"/>
    <s v="71"/>
    <m/>
    <x v="3"/>
    <x v="3"/>
    <s v="Niet geupload"/>
    <m/>
    <x v="0"/>
    <m/>
    <m/>
    <x v="123"/>
    <m/>
  </r>
  <r>
    <s v="f91b85b9-abdb-472e-bacb-5a5f41e5cacf"/>
    <x v="8"/>
    <s v="3152f762-272d-48b4-8fb6-3ed0f4fd6c49"/>
    <s v="stopped"/>
    <x v="0"/>
    <s v="2023-02-09T00:21:54.528000+00:00"/>
    <n v="118"/>
    <n v="0"/>
    <n v="0"/>
    <x v="124"/>
    <x v="12"/>
    <s v="71"/>
    <s v="URL"/>
    <x v="1"/>
    <x v="1"/>
    <s v="robot komt te kort"/>
    <m/>
    <x v="0"/>
    <m/>
    <m/>
    <x v="124"/>
    <m/>
  </r>
  <r>
    <s v="f91b85b9-abdb-472e-bacb-5a5f41e5cacf"/>
    <x v="8"/>
    <s v="3152f762-272d-48b4-8fb6-3ed0f4fd6c49"/>
    <s v="stopped"/>
    <x v="0"/>
    <s v="2023-02-09T00:21:54.528000+00:00"/>
    <n v="118"/>
    <n v="1"/>
    <n v="8.4745762711864406E-3"/>
    <x v="286"/>
    <x v="12"/>
    <s v="71"/>
    <s v="URL"/>
    <x v="5"/>
    <x v="5"/>
    <m/>
    <m/>
    <x v="0"/>
    <m/>
    <m/>
    <x v="124"/>
    <m/>
  </r>
  <r>
    <s v="dbab016d-54e1-4f77-93d8-fcfe1eaf53ae"/>
    <x v="8"/>
    <s v="3152f762-272d-48b4-8fb6-3ed0f4fd6c49"/>
    <s v="stopped"/>
    <x v="0"/>
    <s v="2023-02-09T00:29:41.070000+00:00"/>
    <n v="118"/>
    <n v="2"/>
    <n v="1.6949152542372881E-2"/>
    <x v="286"/>
    <x v="12"/>
    <s v="71"/>
    <s v="URL"/>
    <x v="1"/>
    <x v="1"/>
    <m/>
    <m/>
    <x v="0"/>
    <m/>
    <m/>
    <x v="124"/>
    <m/>
  </r>
  <r>
    <m/>
    <x v="8"/>
    <s v="3152f762-272d-48b4-8fb6-3ed0f4fd6c49"/>
    <s v="stopped"/>
    <x v="0"/>
    <s v="2023-02-09T00:34:26.958000+00:00"/>
    <n v="118"/>
    <n v="3"/>
    <n v="2.5423728813559324E-2"/>
    <x v="352"/>
    <x v="12"/>
    <s v="71"/>
    <m/>
    <x v="19"/>
    <x v="19"/>
    <m/>
    <m/>
    <x v="0"/>
    <m/>
    <m/>
    <x v="124"/>
    <m/>
  </r>
  <r>
    <s v="d97a8cd8-e243-4707-9edd-e52b792e3a72"/>
    <x v="8"/>
    <s v="fc2a1e32-9228-452c-985e-bc621f2e78df"/>
    <s v="failed"/>
    <x v="35"/>
    <s v="2023-02-09T01:38:09.172000+00:00"/>
    <n v="4"/>
    <n v="0"/>
    <n v="0"/>
    <x v="124"/>
    <x v="16"/>
    <s v="71"/>
    <s v="URL"/>
    <x v="1"/>
    <x v="1"/>
    <s v="vreemd, maar bart is er bij"/>
    <s v="Bart is iets aan het testen"/>
    <x v="0"/>
    <m/>
    <m/>
    <x v="124"/>
    <m/>
  </r>
  <r>
    <m/>
    <x v="8"/>
    <s v="40486fe1-a5cc-4401-a6df-2d0ea0c6beb7"/>
    <s v="failed"/>
    <x v="35"/>
    <s v="2023-02-09T01:43:35.186000+00:00"/>
    <n v="10"/>
    <n v="0"/>
    <n v="0"/>
    <x v="353"/>
    <x v="16"/>
    <s v="71"/>
    <m/>
    <x v="3"/>
    <x v="3"/>
    <s v="Niet geupload"/>
    <m/>
    <x v="0"/>
    <m/>
    <m/>
    <x v="124"/>
    <m/>
  </r>
  <r>
    <m/>
    <x v="8"/>
    <s v="1f79538f-c30a-4af3-ae04-f9f0e4913fe2"/>
    <s v="paused"/>
    <x v="3"/>
    <s v="2023-02-09T02:04:20.833000+00:00"/>
    <n v="1"/>
    <n v="1"/>
    <n v="1"/>
    <x v="4"/>
    <x v="16"/>
    <s v="71"/>
    <m/>
    <x v="2"/>
    <x v="2"/>
    <m/>
    <m/>
    <x v="0"/>
    <m/>
    <m/>
    <x v="124"/>
    <m/>
  </r>
  <r>
    <m/>
    <x v="8"/>
    <s v="b5a8bbc9-c635-403a-8339-5134dca25da1"/>
    <s v="stopped"/>
    <x v="3"/>
    <s v="2023-02-09T02:07:33.437000+00:00"/>
    <n v="4"/>
    <n v="0"/>
    <n v="0"/>
    <x v="4"/>
    <x v="16"/>
    <s v="71"/>
    <m/>
    <x v="2"/>
    <x v="2"/>
    <m/>
    <m/>
    <x v="0"/>
    <m/>
    <m/>
    <x v="124"/>
    <m/>
  </r>
  <r>
    <m/>
    <x v="8"/>
    <s v="a5d2ddb3-57d9-4265-8649-aef58386eb53"/>
    <s v="paused"/>
    <x v="3"/>
    <s v="2023-02-09T02:12:15.777000+00:00"/>
    <n v="1"/>
    <n v="1"/>
    <n v="1"/>
    <x v="4"/>
    <x v="16"/>
    <s v="71"/>
    <m/>
    <x v="2"/>
    <x v="2"/>
    <m/>
    <m/>
    <x v="0"/>
    <m/>
    <m/>
    <x v="124"/>
    <m/>
  </r>
  <r>
    <s v="bcbb8ffd-76ed-46f8-bd22-074d38edc5b2"/>
    <x v="8"/>
    <s v="66002489-88af-4a6f-8896-c8f5ea7e5731"/>
    <s v="failed"/>
    <x v="24"/>
    <s v="2023-02-09T02:17:57.806000+00:00"/>
    <n v="2"/>
    <n v="0"/>
    <n v="0"/>
    <x v="304"/>
    <x v="12"/>
    <s v="71"/>
    <s v="URL"/>
    <x v="5"/>
    <x v="5"/>
    <s v="Bart staat in de weg"/>
    <m/>
    <x v="0"/>
    <m/>
    <m/>
    <x v="124"/>
    <m/>
  </r>
  <r>
    <s v="5fdce621-7929-498e-8e81-1e355f958c8b"/>
    <x v="2"/>
    <s v="2a31af38-f2f0-4e12-a5d6-56b6b8476e89"/>
    <s v="failed"/>
    <x v="52"/>
    <s v="2023-02-09T07:11:40.172000+00:00"/>
    <n v="2"/>
    <n v="0"/>
    <n v="0"/>
    <x v="354"/>
    <x v="0"/>
    <s v="58"/>
    <s v="URL"/>
    <x v="16"/>
    <x v="16"/>
    <s v="Niet geupload"/>
    <m/>
    <x v="0"/>
    <m/>
    <m/>
    <x v="124"/>
    <m/>
  </r>
  <r>
    <m/>
    <x v="2"/>
    <s v="be5fd3b3-bfa7-4b7d-92d4-6d7a1fd99a4b"/>
    <s v="completed"/>
    <x v="3"/>
    <s v="2023-02-09T08:06:52.661000+00:00"/>
    <n v="7"/>
    <n v="7"/>
    <n v="1"/>
    <x v="4"/>
    <x v="0"/>
    <s v="58"/>
    <m/>
    <x v="2"/>
    <x v="2"/>
    <m/>
    <m/>
    <x v="0"/>
    <m/>
    <m/>
    <x v="124"/>
    <m/>
  </r>
  <r>
    <m/>
    <x v="9"/>
    <s v="d9f5fef4-55f1-4e70-9653-bc0d98e8f6ea"/>
    <s v="completed"/>
    <x v="3"/>
    <s v="2023-02-09T08:34:09.362000+00:00"/>
    <n v="82"/>
    <n v="82"/>
    <n v="1"/>
    <x v="4"/>
    <x v="14"/>
    <s v="22"/>
    <m/>
    <x v="2"/>
    <x v="2"/>
    <m/>
    <m/>
    <x v="0"/>
    <m/>
    <m/>
    <x v="124"/>
    <m/>
  </r>
  <r>
    <s v="9ea6dfe3-7e5c-4d13-9c0c-82df13d0f87f"/>
    <x v="2"/>
    <s v="d44f8cee-131a-4c56-a9cc-ab3578d21bcc"/>
    <s v="completed"/>
    <x v="0"/>
    <s v="2023-02-09T08:52:05.825000+00:00"/>
    <n v="10"/>
    <n v="5"/>
    <n v="0.5"/>
    <x v="355"/>
    <x v="0"/>
    <s v="58"/>
    <s v="URL"/>
    <x v="22"/>
    <x v="22"/>
    <s v="Niet geupload"/>
    <m/>
    <x v="0"/>
    <m/>
    <m/>
    <x v="124"/>
    <m/>
  </r>
  <r>
    <m/>
    <x v="2"/>
    <s v="d44f8cee-131a-4c56-a9cc-ab3578d21bcc"/>
    <s v="completed"/>
    <x v="3"/>
    <s v="2023-02-09T09:08:39.674000+00:00"/>
    <n v="10"/>
    <n v="9"/>
    <n v="0.9"/>
    <x v="4"/>
    <x v="0"/>
    <s v="58"/>
    <m/>
    <x v="2"/>
    <x v="2"/>
    <m/>
    <m/>
    <x v="0"/>
    <m/>
    <m/>
    <x v="124"/>
    <m/>
  </r>
  <r>
    <m/>
    <x v="0"/>
    <s v="e4285969-60f8-47b0-9c89-63abcd34b7bc"/>
    <s v="completed"/>
    <x v="3"/>
    <s v="2023-02-09T09:12:43.154000+00:00"/>
    <n v="15"/>
    <n v="15"/>
    <n v="1"/>
    <x v="4"/>
    <x v="2"/>
    <s v="58"/>
    <m/>
    <x v="2"/>
    <x v="2"/>
    <m/>
    <m/>
    <x v="0"/>
    <m/>
    <m/>
    <x v="124"/>
    <m/>
  </r>
  <r>
    <s v="3a1d5a30-13f7-4f45-a851-2fb234693097"/>
    <x v="2"/>
    <s v="2fa426f8-35d9-48ee-8e95-b26152660dba"/>
    <s v="completed"/>
    <x v="0"/>
    <s v="2023-02-09T09:45:10.732000+00:00"/>
    <n v="5"/>
    <n v="0"/>
    <n v="0"/>
    <x v="323"/>
    <x v="0"/>
    <s v="58"/>
    <s v="URL"/>
    <x v="19"/>
    <x v="19"/>
    <s v="Niet geupload"/>
    <m/>
    <x v="0"/>
    <m/>
    <m/>
    <x v="124"/>
    <m/>
  </r>
  <r>
    <m/>
    <x v="2"/>
    <s v="2fa426f8-35d9-48ee-8e95-b26152660dba"/>
    <s v="completed"/>
    <x v="3"/>
    <s v="2023-02-09T10:03:55.291000+00:00"/>
    <n v="5"/>
    <n v="4"/>
    <n v="0.8"/>
    <x v="4"/>
    <x v="0"/>
    <s v="58"/>
    <m/>
    <x v="2"/>
    <x v="2"/>
    <m/>
    <m/>
    <x v="0"/>
    <m/>
    <m/>
    <x v="124"/>
    <m/>
  </r>
  <r>
    <s v="608017bd-b582-428c-87f2-86ebeff4d874"/>
    <x v="0"/>
    <s v="7243bedd-9e92-4d97-837a-c0f829f2a250"/>
    <s v="failed"/>
    <x v="22"/>
    <s v="2023-02-09T10:29:02.123000+00:00"/>
    <n v="187"/>
    <n v="14"/>
    <n v="7.4866310160427801E-2"/>
    <x v="356"/>
    <x v="2"/>
    <s v="58"/>
    <s v="URL"/>
    <x v="6"/>
    <x v="6"/>
    <s v="Niet geupload"/>
    <m/>
    <x v="0"/>
    <m/>
    <m/>
    <x v="124"/>
    <m/>
  </r>
  <r>
    <m/>
    <x v="0"/>
    <s v="db379626-a036-41bd-a859-2766476b4807"/>
    <m/>
    <x v="3"/>
    <s v="2023-02-09T10:56:39.626000+00:00"/>
    <n v="5"/>
    <n v="2"/>
    <n v="0.4"/>
    <x v="4"/>
    <x v="0"/>
    <s v="59"/>
    <m/>
    <x v="2"/>
    <x v="2"/>
    <m/>
    <m/>
    <x v="0"/>
    <m/>
    <m/>
    <x v="124"/>
    <m/>
  </r>
  <r>
    <m/>
    <x v="0"/>
    <s v="f35d45b0-ae51-4244-99da-d4eb4bcbf78c"/>
    <s v="completed"/>
    <x v="3"/>
    <s v="2023-02-09T12:00:49.069000+00:00"/>
    <n v="11"/>
    <n v="11"/>
    <n v="1"/>
    <x v="4"/>
    <x v="0"/>
    <s v="59"/>
    <m/>
    <x v="2"/>
    <x v="2"/>
    <m/>
    <m/>
    <x v="0"/>
    <m/>
    <m/>
    <x v="124"/>
    <m/>
  </r>
  <r>
    <s v="71620029-360b-4088-94be-abcd08edb0c8"/>
    <x v="2"/>
    <s v="514d08fb-65b3-4bc0-b8ab-3f5dc52191cd"/>
    <s v="completed"/>
    <x v="0"/>
    <s v="2023-02-09T12:10:49.678000+00:00"/>
    <n v="4"/>
    <n v="0"/>
    <n v="0"/>
    <x v="124"/>
    <x v="0"/>
    <s v="58"/>
    <s v="URL"/>
    <x v="14"/>
    <x v="14"/>
    <s v="Niet geupload"/>
    <m/>
    <x v="0"/>
    <m/>
    <m/>
    <x v="124"/>
    <m/>
  </r>
  <r>
    <s v="0bbba836-bf48-40d2-a071-e1d413562b64"/>
    <x v="2"/>
    <s v="514d08fb-65b3-4bc0-b8ab-3f5dc52191cd"/>
    <s v="completed"/>
    <x v="0"/>
    <s v="2023-02-09T12:16:00.227000+00:00"/>
    <n v="4"/>
    <n v="1"/>
    <n v="0.25"/>
    <x v="357"/>
    <x v="0"/>
    <s v="58"/>
    <s v="URL"/>
    <x v="14"/>
    <x v="14"/>
    <s v="Niet geupload"/>
    <m/>
    <x v="0"/>
    <m/>
    <m/>
    <x v="124"/>
    <m/>
  </r>
  <r>
    <m/>
    <x v="2"/>
    <s v="514d08fb-65b3-4bc0-b8ab-3f5dc52191cd"/>
    <s v="completed"/>
    <x v="3"/>
    <s v="2023-02-09T12:26:46.784000+00:00"/>
    <n v="4"/>
    <n v="2"/>
    <n v="0.5"/>
    <x v="4"/>
    <x v="0"/>
    <s v="58"/>
    <m/>
    <x v="2"/>
    <x v="2"/>
    <m/>
    <m/>
    <x v="0"/>
    <m/>
    <m/>
    <x v="124"/>
    <m/>
  </r>
  <r>
    <s v="b6bc519c-80cb-4abc-b132-56472e72595d"/>
    <x v="2"/>
    <s v="423e44c2-f2dc-4726-af86-9430c7dc6bd8"/>
    <s v="stopped"/>
    <x v="0"/>
    <s v="2023-02-09T12:45:38.629000+00:00"/>
    <n v="5"/>
    <n v="0"/>
    <n v="0"/>
    <x v="354"/>
    <x v="0"/>
    <s v="58"/>
    <s v="URL"/>
    <x v="14"/>
    <x v="14"/>
    <s v="EOL open aan muurzijde."/>
    <m/>
    <x v="0"/>
    <m/>
    <m/>
    <x v="124"/>
    <m/>
  </r>
  <r>
    <s v="6bd703ce-4b49-4ff8-97ae-6a38a91e23ea"/>
    <x v="2"/>
    <s v="87ed4401-db8e-449f-8077-e57219d32c37"/>
    <s v="failed"/>
    <x v="3"/>
    <s v="2023-02-09T14:05:26.200000+00:00"/>
    <n v="3"/>
    <n v="0"/>
    <n v="0"/>
    <x v="124"/>
    <x v="0"/>
    <s v="58"/>
    <s v="URL"/>
    <x v="14"/>
    <x v="14"/>
    <s v="Niet geupload"/>
    <m/>
    <x v="0"/>
    <m/>
    <m/>
    <x v="124"/>
    <m/>
  </r>
  <r>
    <m/>
    <x v="2"/>
    <s v="c992aa00-1ddb-4fae-9e1e-f862ff72db03"/>
    <s v="completed"/>
    <x v="3"/>
    <s v="2023-02-09T16:28:44.525000+00:00"/>
    <n v="18"/>
    <n v="18"/>
    <n v="1"/>
    <x v="4"/>
    <x v="2"/>
    <s v="58"/>
    <m/>
    <x v="2"/>
    <x v="2"/>
    <m/>
    <m/>
    <x v="0"/>
    <m/>
    <m/>
    <x v="124"/>
    <m/>
  </r>
  <r>
    <s v="da407c73-4246-491d-b577-70f37ffb42b8"/>
    <x v="2"/>
    <s v="4120cf81-27c3-4418-b968-b986d074ba06"/>
    <s v="failed"/>
    <x v="0"/>
    <s v="2023-02-09T16:36:52.825000+00:00"/>
    <n v="121"/>
    <n v="0"/>
    <n v="0"/>
    <x v="124"/>
    <x v="2"/>
    <s v="58"/>
    <s v="URL"/>
    <x v="3"/>
    <x v="3"/>
    <s v="Niet geupload"/>
    <m/>
    <x v="0"/>
    <m/>
    <m/>
    <x v="124"/>
    <m/>
  </r>
  <r>
    <s v="38caba3a-0bcf-4011-9086-0dcf7fee25e1"/>
    <x v="2"/>
    <s v="4120cf81-27c3-4418-b968-b986d074ba06"/>
    <s v="failed"/>
    <x v="20"/>
    <s v="2023-02-09T16:40:35.057000+00:00"/>
    <n v="121"/>
    <n v="1"/>
    <n v="8.2644628099173556E-3"/>
    <x v="358"/>
    <x v="2"/>
    <s v="58"/>
    <s v="URL"/>
    <x v="0"/>
    <x v="0"/>
    <s v="Niet geupload"/>
    <m/>
    <x v="0"/>
    <m/>
    <m/>
    <x v="124"/>
    <m/>
  </r>
  <r>
    <s v="9c6bf8c4-bda7-4573-ab17-181564ac869a"/>
    <x v="0"/>
    <s v="a80721c7-11e0-449c-8611-16f9737097b8"/>
    <s v="failed"/>
    <x v="0"/>
    <s v="2023-02-09T17:11:21.848000+00:00"/>
    <n v="112"/>
    <n v="13"/>
    <n v="0.11607142857142858"/>
    <x v="359"/>
    <x v="2"/>
    <s v="59"/>
    <s v="URL"/>
    <x v="3"/>
    <x v="3"/>
    <s v="Niet geupload"/>
    <m/>
    <x v="0"/>
    <m/>
    <m/>
    <x v="124"/>
    <m/>
  </r>
  <r>
    <m/>
    <x v="2"/>
    <s v="bb787910-71f3-4bc2-97f6-43617df97371"/>
    <s v="completed"/>
    <x v="0"/>
    <s v="2023-02-09T17:56:49.365000+00:00"/>
    <n v="120"/>
    <n v="16"/>
    <n v="0.13333333333333333"/>
    <x v="360"/>
    <x v="2"/>
    <s v="58"/>
    <m/>
    <x v="1"/>
    <x v="1"/>
    <s v="Niet geupload"/>
    <m/>
    <x v="0"/>
    <m/>
    <m/>
    <x v="124"/>
    <m/>
  </r>
  <r>
    <m/>
    <x v="5"/>
    <s v="6298fe28-ba84-451e-91b9-9d05ae40aa58"/>
    <s v="completed"/>
    <x v="3"/>
    <s v="2023-02-09T18:31:58.996000+00:00"/>
    <n v="37"/>
    <n v="37"/>
    <n v="1"/>
    <x v="4"/>
    <x v="5"/>
    <s v="61"/>
    <m/>
    <x v="2"/>
    <x v="2"/>
    <m/>
    <m/>
    <x v="0"/>
    <m/>
    <m/>
    <x v="124"/>
    <m/>
  </r>
  <r>
    <m/>
    <x v="6"/>
    <s v="23f83f3e-6665-4a12-9a5d-89f0c5711080"/>
    <s v="completed"/>
    <x v="3"/>
    <s v="2023-02-09T19:11:27.337000+00:00"/>
    <n v="23"/>
    <n v="23"/>
    <n v="1"/>
    <x v="4"/>
    <x v="5"/>
    <s v="51"/>
    <m/>
    <x v="2"/>
    <x v="2"/>
    <m/>
    <m/>
    <x v="0"/>
    <m/>
    <m/>
    <x v="124"/>
    <m/>
  </r>
  <r>
    <m/>
    <x v="2"/>
    <s v="bb787910-71f3-4bc2-97f6-43617df97371"/>
    <s v="completed"/>
    <x v="0"/>
    <s v="2023-02-09T20:09:44.345000+00:00"/>
    <n v="120"/>
    <n v="47"/>
    <n v="0.39166666666666666"/>
    <x v="361"/>
    <x v="2"/>
    <s v="58"/>
    <m/>
    <x v="1"/>
    <x v="1"/>
    <s v="Niet geupload"/>
    <m/>
    <x v="0"/>
    <m/>
    <m/>
    <x v="124"/>
    <m/>
  </r>
  <r>
    <s v="4d570cc3-172a-4042-9be8-c5473c1df497"/>
    <x v="0"/>
    <s v="a80721c7-11e0-449c-8611-16f9737097b8"/>
    <s v="failed"/>
    <x v="0"/>
    <s v="2023-02-09T20:13:18.295000+00:00"/>
    <n v="112"/>
    <n v="55"/>
    <n v="0.49107142857142855"/>
    <x v="362"/>
    <x v="2"/>
    <s v="59"/>
    <s v="URL"/>
    <x v="18"/>
    <x v="18"/>
    <s v="Niet geupload"/>
    <m/>
    <x v="0"/>
    <m/>
    <m/>
    <x v="124"/>
    <m/>
  </r>
  <r>
    <s v="b7a58cda-378c-463b-9cf4-c8e9e42e6af6"/>
    <x v="0"/>
    <s v="a80721c7-11e0-449c-8611-16f9737097b8"/>
    <s v="failed"/>
    <x v="53"/>
    <s v="2023-02-09T21:39:59.801000+00:00"/>
    <n v="112"/>
    <n v="75"/>
    <n v="0.6696428571428571"/>
    <x v="363"/>
    <x v="2"/>
    <s v="59"/>
    <s v="URL"/>
    <x v="11"/>
    <x v="11"/>
    <s v="Niet geupload"/>
    <m/>
    <x v="0"/>
    <m/>
    <m/>
    <x v="124"/>
    <m/>
  </r>
  <r>
    <m/>
    <x v="2"/>
    <s v="bb787910-71f3-4bc2-97f6-43617df97371"/>
    <s v="completed"/>
    <x v="3"/>
    <s v="2023-02-10T01:21:50.658000+00:00"/>
    <n v="120"/>
    <n v="118"/>
    <n v="0.98333333333333328"/>
    <x v="4"/>
    <x v="2"/>
    <s v="58"/>
    <m/>
    <x v="2"/>
    <x v="2"/>
    <m/>
    <m/>
    <x v="0"/>
    <m/>
    <m/>
    <x v="125"/>
    <m/>
  </r>
  <r>
    <m/>
    <x v="9"/>
    <s v="d395a600-9803-4f11-a026-596a9b56f114"/>
    <s v="completed"/>
    <x v="3"/>
    <s v="2023-02-10T08:03:05.685000+00:00"/>
    <n v="81"/>
    <n v="81"/>
    <n v="1"/>
    <x v="4"/>
    <x v="13"/>
    <s v="22"/>
    <m/>
    <x v="2"/>
    <x v="2"/>
    <m/>
    <m/>
    <x v="0"/>
    <m/>
    <m/>
    <x v="125"/>
    <m/>
  </r>
  <r>
    <s v="7871e935-790b-4500-9d42-61202d749212"/>
    <x v="2"/>
    <s v="fe0b1e2e-1fcd-4840-b09a-ffcea5f01659"/>
    <s v="completed"/>
    <x v="0"/>
    <s v="2023-02-10T08:34:28.045000+00:00"/>
    <n v="7"/>
    <n v="2"/>
    <n v="0.2857142857142857"/>
    <x v="364"/>
    <x v="0"/>
    <s v="58"/>
    <s v="URL"/>
    <x v="3"/>
    <x v="3"/>
    <s v="Niet geupload"/>
    <m/>
    <x v="0"/>
    <m/>
    <m/>
    <x v="125"/>
    <m/>
  </r>
  <r>
    <m/>
    <x v="2"/>
    <s v="fe0b1e2e-1fcd-4840-b09a-ffcea5f01659"/>
    <s v="completed"/>
    <x v="3"/>
    <s v="2023-02-10T08:49:17.463000+00:00"/>
    <n v="7"/>
    <n v="6"/>
    <n v="0.8571428571428571"/>
    <x v="4"/>
    <x v="0"/>
    <s v="58"/>
    <m/>
    <x v="2"/>
    <x v="2"/>
    <m/>
    <m/>
    <x v="0"/>
    <m/>
    <m/>
    <x v="125"/>
    <m/>
  </r>
  <r>
    <m/>
    <x v="0"/>
    <s v="609a561b-42c8-429d-a8da-5738045fee7f"/>
    <s v="stopped"/>
    <x v="3"/>
    <s v="2023-02-10T15:41:38.290000+00:00"/>
    <n v="155"/>
    <n v="0"/>
    <n v="0"/>
    <x v="4"/>
    <x v="0"/>
    <s v="59"/>
    <m/>
    <x v="2"/>
    <x v="2"/>
    <m/>
    <m/>
    <x v="0"/>
    <m/>
    <m/>
    <x v="125"/>
    <m/>
  </r>
  <r>
    <s v="01383e8f-e9fc-4f60-a274-215ef2390e04"/>
    <x v="5"/>
    <s v="21eff3b6-5645-47ad-920b-9183fdf7d493"/>
    <m/>
    <x v="0"/>
    <s v="2023-02-10T16:44:30.472000+00:00"/>
    <n v="37"/>
    <n v="4"/>
    <n v="0.10810810810810811"/>
    <x v="295"/>
    <x v="5"/>
    <s v="63"/>
    <s v="URL"/>
    <x v="1"/>
    <x v="1"/>
    <m/>
    <m/>
    <x v="1"/>
    <m/>
    <m/>
    <x v="125"/>
    <m/>
  </r>
  <r>
    <s v="b1bdf656-6b0e-4554-bd07-47a6459cd528"/>
    <x v="5"/>
    <s v="21eff3b6-5645-47ad-920b-9183fdf7d493"/>
    <m/>
    <x v="0"/>
    <s v="2023-02-10T17:01:15.240000+00:00"/>
    <n v="37"/>
    <n v="9"/>
    <n v="0.24324324324324326"/>
    <x v="328"/>
    <x v="5"/>
    <s v="63"/>
    <s v="URL"/>
    <x v="3"/>
    <x v="3"/>
    <m/>
    <m/>
    <x v="2"/>
    <m/>
    <m/>
    <x v="125"/>
    <m/>
  </r>
  <r>
    <s v="0d6b39b1-8771-43b0-aed6-f930753ae034"/>
    <x v="5"/>
    <s v="21eff3b6-5645-47ad-920b-9183fdf7d493"/>
    <m/>
    <x v="0"/>
    <s v="2023-02-10T17:12:00.937000+00:00"/>
    <n v="37"/>
    <n v="11"/>
    <n v="0.29729729729729731"/>
    <x v="365"/>
    <x v="5"/>
    <s v="63"/>
    <s v="URL"/>
    <x v="1"/>
    <x v="1"/>
    <m/>
    <m/>
    <x v="1"/>
    <m/>
    <m/>
    <x v="125"/>
    <m/>
  </r>
  <r>
    <s v="28c35d55-b858-46e1-a310-673a93883be0"/>
    <x v="5"/>
    <s v="21eff3b6-5645-47ad-920b-9183fdf7d493"/>
    <m/>
    <x v="0"/>
    <s v="2023-02-10T17:30:00.169000+00:00"/>
    <n v="37"/>
    <n v="16"/>
    <n v="0.43243243243243246"/>
    <x v="300"/>
    <x v="5"/>
    <s v="63"/>
    <s v="URL"/>
    <x v="1"/>
    <x v="1"/>
    <m/>
    <m/>
    <x v="1"/>
    <m/>
    <m/>
    <x v="125"/>
    <m/>
  </r>
  <r>
    <s v="085d7d31-a608-4d96-9ed1-6ad51d6fdf88"/>
    <x v="5"/>
    <s v="21eff3b6-5645-47ad-920b-9183fdf7d493"/>
    <m/>
    <x v="0"/>
    <s v="2023-02-10T17:47:53.333000+00:00"/>
    <n v="37"/>
    <n v="21"/>
    <n v="0.56756756756756754"/>
    <x v="366"/>
    <x v="5"/>
    <s v="63"/>
    <s v="URL"/>
    <x v="1"/>
    <x v="1"/>
    <m/>
    <m/>
    <x v="1"/>
    <m/>
    <m/>
    <x v="125"/>
    <m/>
  </r>
  <r>
    <s v="16b42460-7f9c-42ed-bc96-72d6588061da"/>
    <x v="5"/>
    <s v="21eff3b6-5645-47ad-920b-9183fdf7d493"/>
    <m/>
    <x v="0"/>
    <s v="2023-02-10T18:02:28.426000+00:00"/>
    <n v="37"/>
    <n v="25"/>
    <n v="0.67567567567567566"/>
    <x v="309"/>
    <x v="5"/>
    <s v="63"/>
    <s v="URL"/>
    <x v="1"/>
    <x v="1"/>
    <m/>
    <m/>
    <x v="1"/>
    <m/>
    <m/>
    <x v="125"/>
    <m/>
  </r>
  <r>
    <s v="c8997ef2-9b1c-437d-b4b1-ff8db30c432a"/>
    <x v="5"/>
    <s v="21eff3b6-5645-47ad-920b-9183fdf7d493"/>
    <m/>
    <x v="0"/>
    <s v="2023-02-10T18:05:06.436000+00:00"/>
    <n v="37"/>
    <n v="26"/>
    <n v="0.70270270270270274"/>
    <x v="329"/>
    <x v="5"/>
    <s v="63"/>
    <s v="URL"/>
    <x v="3"/>
    <x v="3"/>
    <m/>
    <m/>
    <x v="2"/>
    <m/>
    <m/>
    <x v="125"/>
    <m/>
  </r>
  <r>
    <s v="b4d4e925-6cad-44c3-a899-e008475f0fcf"/>
    <x v="5"/>
    <s v="21eff3b6-5645-47ad-920b-9183fdf7d493"/>
    <m/>
    <x v="0"/>
    <s v="2023-02-10T18:40:19.416000+00:00"/>
    <n v="37"/>
    <n v="35"/>
    <n v="0.94594594594594594"/>
    <x v="289"/>
    <x v="5"/>
    <s v="63"/>
    <s v="URL"/>
    <x v="1"/>
    <x v="1"/>
    <m/>
    <m/>
    <x v="1"/>
    <m/>
    <m/>
    <x v="125"/>
    <m/>
  </r>
  <r>
    <s v="241eb093-15b7-4d3c-887e-817af316318f"/>
    <x v="5"/>
    <s v="21eff3b6-5645-47ad-920b-9183fdf7d493"/>
    <m/>
    <x v="3"/>
    <s v="2023-02-10T18:44:32.812000+00:00"/>
    <n v="37"/>
    <n v="36"/>
    <n v="0.97297297297297303"/>
    <x v="288"/>
    <x v="5"/>
    <s v="63"/>
    <s v="URL"/>
    <x v="1"/>
    <x v="1"/>
    <m/>
    <s v="Gekende bug waarbij niet gerecoverd wordt in de laatste rij"/>
    <x v="1"/>
    <m/>
    <m/>
    <x v="125"/>
    <m/>
  </r>
  <r>
    <s v="a05753ee-e29b-4d02-87a2-19107c33c294"/>
    <x v="6"/>
    <s v="2d86ad7e-544c-4cfb-9fe9-aef05e8e140a"/>
    <s v="completed"/>
    <x v="0"/>
    <s v="2023-02-10T19:09:17.242000+00:00"/>
    <n v="23"/>
    <n v="19"/>
    <n v="0.82608695652173914"/>
    <x v="274"/>
    <x v="5"/>
    <s v="51"/>
    <s v="URL"/>
    <x v="1"/>
    <x v="1"/>
    <s v="Je ziet dat de robot al op de rails valt na de retry. nadien is er ook nog front wheel slip"/>
    <m/>
    <x v="3"/>
    <m/>
    <m/>
    <x v="125"/>
    <m/>
  </r>
  <r>
    <m/>
    <x v="6"/>
    <s v="2d86ad7e-544c-4cfb-9fe9-aef05e8e140a"/>
    <s v="completed"/>
    <x v="3"/>
    <s v="2023-02-10T19:13:17.445000+00:00"/>
    <n v="23"/>
    <n v="22"/>
    <n v="0.95652173913043481"/>
    <x v="4"/>
    <x v="5"/>
    <s v="51"/>
    <m/>
    <x v="2"/>
    <x v="2"/>
    <m/>
    <m/>
    <x v="0"/>
    <m/>
    <m/>
    <x v="125"/>
    <m/>
  </r>
  <r>
    <s v="124000d6-a62d-4226-8cdf-0a2f033914de"/>
    <x v="3"/>
    <s v="81033564-da54-44d9-983e-e4436077345e"/>
    <s v="failed"/>
    <x v="54"/>
    <s v="2023-02-10T19:50:54.408000+00:00"/>
    <n v="125"/>
    <n v="31"/>
    <n v="0.248"/>
    <x v="367"/>
    <x v="3"/>
    <s v="47"/>
    <s v="URL"/>
    <x v="31"/>
    <x v="26"/>
    <s v="Niet geupload"/>
    <m/>
    <x v="0"/>
    <m/>
    <m/>
    <x v="125"/>
    <m/>
  </r>
  <r>
    <s v="9aefb364-cd9e-4b5b-a4f6-c4973875056d"/>
    <x v="2"/>
    <s v="7b3a248a-0008-4d73-832d-55db4a43c248"/>
    <s v="completed"/>
    <x v="0"/>
    <s v="2023-02-11T01:28:47.314000+00:00"/>
    <n v="153"/>
    <n v="136"/>
    <n v="0.88888888888888884"/>
    <x v="368"/>
    <x v="2"/>
    <s v="59"/>
    <s v="URL"/>
    <x v="1"/>
    <x v="1"/>
    <m/>
    <m/>
    <x v="0"/>
    <m/>
    <m/>
    <x v="126"/>
    <m/>
  </r>
  <r>
    <s v="ba5dca60-7a83-4987-9770-d3941610b24e"/>
    <x v="0"/>
    <s v="9cbdf8db-f192-4424-8cc6-bc92953d9388"/>
    <s v="failed"/>
    <x v="0"/>
    <s v="2023-02-11T01:35:47.140000+00:00"/>
    <n v="155"/>
    <n v="126"/>
    <n v="0.81290322580645158"/>
    <x v="369"/>
    <x v="0"/>
    <s v="59"/>
    <s v="URL"/>
    <x v="18"/>
    <x v="18"/>
    <s v="front wheel slip"/>
    <m/>
    <x v="4"/>
    <m/>
    <m/>
    <x v="126"/>
    <m/>
  </r>
  <r>
    <s v="c7c6b4e5-bfa7-458a-a33a-058e2bc1689d"/>
    <x v="2"/>
    <s v="7b3a248a-0008-4d73-832d-55db4a43c248"/>
    <s v="completed"/>
    <x v="0"/>
    <s v="2023-02-11T02:11:32.153000+00:00"/>
    <n v="153"/>
    <n v="146"/>
    <n v="0.95424836601307195"/>
    <x v="299"/>
    <x v="2"/>
    <s v="59"/>
    <s v="URL"/>
    <x v="1"/>
    <x v="1"/>
    <m/>
    <m/>
    <x v="0"/>
    <m/>
    <m/>
    <x v="126"/>
    <m/>
  </r>
  <r>
    <m/>
    <x v="2"/>
    <s v="7b3a248a-0008-4d73-832d-55db4a43c248"/>
    <s v="completed"/>
    <x v="3"/>
    <s v="2023-02-11T02:32:59.081000+00:00"/>
    <n v="153"/>
    <n v="151"/>
    <n v="0.98692810457516345"/>
    <x v="4"/>
    <x v="2"/>
    <s v="59"/>
    <m/>
    <x v="2"/>
    <x v="2"/>
    <m/>
    <m/>
    <x v="0"/>
    <m/>
    <m/>
    <x v="126"/>
    <m/>
  </r>
  <r>
    <s v="3eca5d43-b76c-453c-9243-9f2e798b6be1"/>
    <x v="0"/>
    <s v="9cbdf8db-f192-4424-8cc6-bc92953d9388"/>
    <s v="failed"/>
    <x v="0"/>
    <s v="2023-02-11T02:57:21.019000+00:00"/>
    <n v="155"/>
    <n v="146"/>
    <n v="0.9419354838709677"/>
    <x v="280"/>
    <x v="0"/>
    <s v="59"/>
    <s v="URL"/>
    <x v="22"/>
    <x v="22"/>
    <m/>
    <m/>
    <x v="4"/>
    <m/>
    <m/>
    <x v="126"/>
    <m/>
  </r>
  <r>
    <s v="5d147493-281a-4753-aa42-5f3d1fe4996d"/>
    <x v="0"/>
    <s v="9cbdf8db-f192-4424-8cc6-bc92953d9388"/>
    <s v="failed"/>
    <x v="20"/>
    <s v="2023-02-11T02:58:24.685000+00:00"/>
    <n v="155"/>
    <n v="147"/>
    <n v="0.94838709677419353"/>
    <x v="355"/>
    <x v="0"/>
    <s v="59"/>
    <s v="URL"/>
    <x v="22"/>
    <x v="22"/>
    <s v="Robot lijkt tegen goot te botsen tijdens LS"/>
    <m/>
    <x v="5"/>
    <s v="Hier gebeuren meerdere dingen. de slip recovery lane switch lijkt niet goed, nadien is er ook een collision detection die door een bug als 4de wordt gezien (bug is opgelost in feature branch)"/>
    <m/>
    <x v="126"/>
    <m/>
  </r>
  <r>
    <m/>
    <x v="0"/>
    <s v="f14156b6-8cc9-402f-b11b-5fbedf1589e9"/>
    <s v="completed"/>
    <x v="3"/>
    <s v="2023-02-11T06:51:20.786000+00:00"/>
    <n v="8"/>
    <n v="8"/>
    <n v="1"/>
    <x v="4"/>
    <x v="0"/>
    <s v="59"/>
    <m/>
    <x v="2"/>
    <x v="2"/>
    <m/>
    <m/>
    <x v="0"/>
    <m/>
    <m/>
    <x v="126"/>
    <m/>
  </r>
  <r>
    <m/>
    <x v="9"/>
    <s v="542d5de4-5675-404f-b96a-dbec25914639"/>
    <s v="completed"/>
    <x v="3"/>
    <s v="2023-02-11T08:02:57.726000+00:00"/>
    <n v="82"/>
    <n v="82"/>
    <n v="1"/>
    <x v="4"/>
    <x v="14"/>
    <s v="22"/>
    <m/>
    <x v="2"/>
    <x v="2"/>
    <m/>
    <m/>
    <x v="0"/>
    <m/>
    <m/>
    <x v="126"/>
    <m/>
  </r>
  <r>
    <s v="63721612-14cc-41e7-81d0-649c7700c3a6"/>
    <x v="0"/>
    <s v="46fc98e3-cf6d-4e64-8d53-27a295ea5141"/>
    <s v="failed"/>
    <x v="42"/>
    <s v="2023-02-11T23:23:45.912000+00:00"/>
    <n v="210"/>
    <n v="89"/>
    <n v="0.4238095238095238"/>
    <x v="370"/>
    <x v="2"/>
    <s v="58"/>
    <s v="URL"/>
    <x v="7"/>
    <x v="7"/>
    <m/>
    <m/>
    <x v="0"/>
    <m/>
    <m/>
    <x v="126"/>
    <m/>
  </r>
  <r>
    <s v="dad48fc1-b718-4250-b743-80c744e72150"/>
    <x v="2"/>
    <s v="28c58eca-c66a-4563-a1d6-cec242fa3dfb"/>
    <s v="failed"/>
    <x v="0"/>
    <s v="2023-02-12T02:10:30.714000+00:00"/>
    <n v="222"/>
    <n v="136"/>
    <n v="0.61261261261261257"/>
    <x v="342"/>
    <x v="0"/>
    <s v="58"/>
    <s v="URL"/>
    <x v="22"/>
    <x v="22"/>
    <m/>
    <m/>
    <x v="0"/>
    <m/>
    <m/>
    <x v="127"/>
    <m/>
  </r>
  <r>
    <s v="e9c1c5ab-4bb8-40d4-8b1f-cb302dc7069f"/>
    <x v="2"/>
    <s v="28c58eca-c66a-4563-a1d6-cec242fa3dfb"/>
    <s v="failed"/>
    <x v="0"/>
    <s v="2023-02-12T07:36:34.054000+00:00"/>
    <n v="222"/>
    <n v="214"/>
    <n v="0.963963963963964"/>
    <x v="364"/>
    <x v="0"/>
    <s v="58"/>
    <s v="URL"/>
    <x v="3"/>
    <x v="3"/>
    <m/>
    <m/>
    <x v="0"/>
    <m/>
    <m/>
    <x v="127"/>
    <m/>
  </r>
  <r>
    <s v="3b3690d3-b806-4642-b33e-ec9eea836fe9"/>
    <x v="2"/>
    <s v="28c58eca-c66a-4563-a1d6-cec242fa3dfb"/>
    <s v="failed"/>
    <x v="25"/>
    <s v="2023-02-12T07:55:21.569000+00:00"/>
    <n v="222"/>
    <n v="219"/>
    <n v="0.98648648648648651"/>
    <x v="344"/>
    <x v="0"/>
    <s v="58"/>
    <s v="URL"/>
    <x v="5"/>
    <x v="5"/>
    <m/>
    <m/>
    <x v="0"/>
    <m/>
    <m/>
    <x v="127"/>
    <m/>
  </r>
  <r>
    <m/>
    <x v="5"/>
    <s v="477f3b33-3553-4b8b-870a-281d700892c7"/>
    <s v="failed"/>
    <x v="0"/>
    <s v="2023-02-12T17:00:03.009000+00:00"/>
    <n v="43"/>
    <n v="0"/>
    <n v="0"/>
    <x v="291"/>
    <x v="5"/>
    <s v="64"/>
    <m/>
    <x v="1"/>
    <x v="1"/>
    <m/>
    <m/>
    <x v="0"/>
    <m/>
    <m/>
    <x v="127"/>
    <m/>
  </r>
  <r>
    <m/>
    <x v="5"/>
    <s v="477f3b33-3553-4b8b-870a-281d700892c7"/>
    <s v="failed"/>
    <x v="0"/>
    <s v="2023-02-12T17:22:57.923000+00:00"/>
    <n v="43"/>
    <n v="7"/>
    <n v="0.16279069767441862"/>
    <x v="293"/>
    <x v="5"/>
    <s v="64"/>
    <m/>
    <x v="16"/>
    <x v="16"/>
    <m/>
    <m/>
    <x v="0"/>
    <m/>
    <m/>
    <x v="127"/>
    <m/>
  </r>
  <r>
    <m/>
    <x v="5"/>
    <s v="477f3b33-3553-4b8b-870a-281d700892c7"/>
    <s v="failed"/>
    <x v="25"/>
    <s v="2023-02-12T17:43:23.225000+00:00"/>
    <n v="43"/>
    <n v="12"/>
    <n v="0.27906976744186046"/>
    <x v="286"/>
    <x v="5"/>
    <s v="64"/>
    <m/>
    <x v="5"/>
    <x v="5"/>
    <m/>
    <m/>
    <x v="0"/>
    <m/>
    <m/>
    <x v="127"/>
    <m/>
  </r>
  <r>
    <m/>
    <x v="6"/>
    <s v="50c780c7-abd5-4497-92a9-4dcff2679a44"/>
    <s v="failed"/>
    <x v="0"/>
    <s v="2023-02-12T18:25:43.889000+00:00"/>
    <n v="23"/>
    <n v="1"/>
    <n v="4.3478260869565216E-2"/>
    <x v="371"/>
    <x v="5"/>
    <s v="51"/>
    <m/>
    <x v="0"/>
    <x v="0"/>
    <m/>
    <m/>
    <x v="6"/>
    <m/>
    <m/>
    <x v="127"/>
    <m/>
  </r>
  <r>
    <m/>
    <x v="6"/>
    <s v="50c780c7-abd5-4497-92a9-4dcff2679a44"/>
    <s v="failed"/>
    <x v="20"/>
    <s v="2023-02-12T18:28:53.874000+00:00"/>
    <n v="23"/>
    <n v="2"/>
    <n v="8.6956521739130432E-2"/>
    <x v="294"/>
    <x v="5"/>
    <s v="51"/>
    <m/>
    <x v="0"/>
    <x v="0"/>
    <m/>
    <m/>
    <x v="6"/>
    <m/>
    <m/>
    <x v="127"/>
    <m/>
  </r>
  <r>
    <m/>
    <x v="5"/>
    <s v="40c409f0-c265-4794-9ac6-c2fd0c2df03d"/>
    <m/>
    <x v="0"/>
    <s v="2023-02-12T19:20:37.217000+00:00"/>
    <n v="31"/>
    <n v="22"/>
    <n v="0.70967741935483875"/>
    <x v="372"/>
    <x v="5"/>
    <s v="64"/>
    <m/>
    <x v="1"/>
    <x v="1"/>
    <m/>
    <m/>
    <x v="0"/>
    <m/>
    <m/>
    <x v="127"/>
    <m/>
  </r>
  <r>
    <m/>
    <x v="5"/>
    <s v="40c409f0-c265-4794-9ac6-c2fd0c2df03d"/>
    <m/>
    <x v="3"/>
    <s v="2023-02-12T19:49:27.617000+00:00"/>
    <n v="31"/>
    <n v="30"/>
    <n v="0.967741935483871"/>
    <x v="287"/>
    <x v="5"/>
    <s v="64"/>
    <m/>
    <x v="1"/>
    <x v="1"/>
    <m/>
    <m/>
    <x v="0"/>
    <m/>
    <m/>
    <x v="127"/>
    <m/>
  </r>
  <r>
    <s v="3f8de8c1-13e6-4279-9076-09fad2c153ef"/>
    <x v="0"/>
    <s v="2461f5a6-faf1-4832-a31d-708873484f1f"/>
    <s v="failed"/>
    <x v="0"/>
    <s v="2023-02-12T21:53:27.669000+00:00"/>
    <n v="154"/>
    <n v="72"/>
    <n v="0.46753246753246752"/>
    <x v="373"/>
    <x v="2"/>
    <s v="59"/>
    <s v="URL"/>
    <x v="22"/>
    <x v="22"/>
    <m/>
    <m/>
    <x v="7"/>
    <m/>
    <m/>
    <x v="127"/>
    <m/>
  </r>
  <r>
    <s v="252cbc53-294e-4c6f-835f-8a967b62ed53"/>
    <x v="0"/>
    <s v="2461f5a6-faf1-4832-a31d-708873484f1f"/>
    <s v="failed"/>
    <x v="0"/>
    <s v="2023-02-12T23:35:08.600000+00:00"/>
    <n v="154"/>
    <n v="96"/>
    <n v="0.62337662337662336"/>
    <x v="362"/>
    <x v="2"/>
    <s v="59"/>
    <s v="URL"/>
    <x v="22"/>
    <x v="22"/>
    <m/>
    <m/>
    <x v="4"/>
    <m/>
    <m/>
    <x v="127"/>
    <m/>
  </r>
  <r>
    <s v="ede6422d-e157-44fc-aaf2-ec97bf9f6fee"/>
    <x v="0"/>
    <s v="2461f5a6-faf1-4832-a31d-708873484f1f"/>
    <s v="failed"/>
    <x v="0"/>
    <s v="2023-02-13T03:22:23.053000+00:00"/>
    <n v="154"/>
    <n v="149"/>
    <n v="0.96753246753246758"/>
    <x v="275"/>
    <x v="2"/>
    <s v="59"/>
    <s v="URL"/>
    <x v="22"/>
    <x v="22"/>
    <s v="Voorwiel slip"/>
    <m/>
    <x v="4"/>
    <m/>
    <m/>
    <x v="128"/>
    <m/>
  </r>
  <r>
    <s v="ede6422d-e157-44fc-aaf2-ec97bf9f6fee"/>
    <x v="0"/>
    <s v="2461f5a6-faf1-4832-a31d-708873484f1f"/>
    <s v="failed"/>
    <x v="20"/>
    <s v="2023-02-13T03:22:23.053000+00:00"/>
    <n v="154"/>
    <n v="150"/>
    <n v="0.97402597402597402"/>
    <x v="274"/>
    <x v="2"/>
    <s v="59"/>
    <s v="URL"/>
    <x v="19"/>
    <x v="19"/>
    <s v="verkeerde error code ? verkeerde log ?"/>
    <m/>
    <x v="0"/>
    <m/>
    <m/>
    <x v="128"/>
    <m/>
  </r>
  <r>
    <s v="7be338b4-f46b-4246-ac1a-4c621495101b"/>
    <x v="2"/>
    <s v="87c5b10b-4157-4653-bd89-6fbe0f4d9146"/>
    <s v="failed"/>
    <x v="0"/>
    <s v="2023-02-13T03:35:32.654000+00:00"/>
    <n v="209"/>
    <n v="148"/>
    <n v="0.70813397129186606"/>
    <x v="374"/>
    <x v="2"/>
    <s v="58"/>
    <s v="URL"/>
    <x v="18"/>
    <x v="18"/>
    <m/>
    <m/>
    <x v="0"/>
    <m/>
    <m/>
    <x v="128"/>
    <m/>
  </r>
  <r>
    <m/>
    <x v="0"/>
    <s v="6765edd9-8993-48e9-92d5-dcce54a92160"/>
    <s v="completed"/>
    <x v="0"/>
    <s v="2023-02-13T06:46:16.505000+00:00"/>
    <n v="6"/>
    <n v="0"/>
    <n v="0"/>
    <x v="275"/>
    <x v="2"/>
    <s v="59"/>
    <m/>
    <x v="19"/>
    <x v="19"/>
    <m/>
    <m/>
    <x v="0"/>
    <m/>
    <m/>
    <x v="128"/>
    <m/>
  </r>
  <r>
    <s v="cc250d2e-31a8-480f-acd8-df53b1ee5895"/>
    <x v="2"/>
    <s v="87c5b10b-4157-4653-bd89-6fbe0f4d9146"/>
    <s v="failed"/>
    <x v="28"/>
    <s v="2023-02-13T07:03:01.493000+00:00"/>
    <n v="209"/>
    <n v="196"/>
    <n v="0.93779904306220097"/>
    <x v="375"/>
    <x v="2"/>
    <s v="58"/>
    <s v="URL"/>
    <x v="10"/>
    <x v="10"/>
    <m/>
    <m/>
    <x v="0"/>
    <m/>
    <m/>
    <x v="128"/>
    <m/>
  </r>
  <r>
    <m/>
    <x v="0"/>
    <s v="6765edd9-8993-48e9-92d5-dcce54a92160"/>
    <s v="completed"/>
    <x v="3"/>
    <s v="2023-02-13T07:04:35.461000+00:00"/>
    <n v="6"/>
    <n v="5"/>
    <n v="0.83333333333333337"/>
    <x v="4"/>
    <x v="2"/>
    <s v="59"/>
    <m/>
    <x v="2"/>
    <x v="2"/>
    <m/>
    <m/>
    <x v="0"/>
    <m/>
    <m/>
    <x v="128"/>
    <m/>
  </r>
  <r>
    <m/>
    <x v="5"/>
    <s v="a63d528e-ca42-4bd6-acac-e7c8d4e918bc"/>
    <s v="completed"/>
    <x v="3"/>
    <s v="2023-02-13T18:32:37.760000+00:00"/>
    <n v="37"/>
    <n v="37"/>
    <n v="1"/>
    <x v="4"/>
    <x v="5"/>
    <s v="61"/>
    <m/>
    <x v="2"/>
    <x v="2"/>
    <m/>
    <m/>
    <x v="0"/>
    <m/>
    <m/>
    <x v="128"/>
    <m/>
  </r>
  <r>
    <s v="ce98e237-0fd8-44c7-86be-047da647dcb0"/>
    <x v="6"/>
    <s v="754fa787-c63c-46df-a9ce-64ba16a1fa7a"/>
    <s v="completed"/>
    <x v="0"/>
    <s v="2023-02-13T18:55:01.430000+00:00"/>
    <n v="22"/>
    <n v="18"/>
    <n v="0.81818181818181823"/>
    <x v="274"/>
    <x v="5"/>
    <s v="51"/>
    <s v="URL"/>
    <x v="1"/>
    <x v="1"/>
    <s v="Je ziet dat de robot al op de rails valt na de retry"/>
    <m/>
    <x v="3"/>
    <m/>
    <m/>
    <x v="128"/>
    <m/>
  </r>
  <r>
    <m/>
    <x v="6"/>
    <s v="754fa787-c63c-46df-a9ce-64ba16a1fa7a"/>
    <s v="completed"/>
    <x v="3"/>
    <s v="2023-02-13T19:00:30.096000+00:00"/>
    <n v="22"/>
    <n v="21"/>
    <n v="0.95454545454545459"/>
    <x v="4"/>
    <x v="5"/>
    <s v="51"/>
    <m/>
    <x v="2"/>
    <x v="2"/>
    <m/>
    <m/>
    <x v="0"/>
    <m/>
    <m/>
    <x v="128"/>
    <m/>
  </r>
  <r>
    <s v="3595d80b-bd59-4c13-893c-4aa4493f0e22"/>
    <x v="1"/>
    <s v="ceaa23ce-9cdc-497a-8c8e-e3a5ddbf3a25"/>
    <s v="failed"/>
    <x v="0"/>
    <s v="2023-02-14T00:28:09.853000+00:00"/>
    <n v="104"/>
    <n v="85"/>
    <n v="0.81730769230769229"/>
    <x v="376"/>
    <x v="1"/>
    <s v="47"/>
    <s v="URL"/>
    <x v="18"/>
    <x v="18"/>
    <s v="Niet geupload"/>
    <m/>
    <x v="0"/>
    <m/>
    <m/>
    <x v="129"/>
    <m/>
  </r>
  <r>
    <s v="3cb7db2c-5f98-4e26-88d9-485d3f257f92"/>
    <x v="1"/>
    <s v="ceaa23ce-9cdc-497a-8c8e-e3a5ddbf3a25"/>
    <s v="failed"/>
    <x v="0"/>
    <s v="2023-02-14T01:12:46.455000+00:00"/>
    <n v="104"/>
    <n v="98"/>
    <n v="0.94230769230769229"/>
    <x v="377"/>
    <x v="1"/>
    <s v="47"/>
    <s v="URL"/>
    <x v="18"/>
    <x v="18"/>
    <s v="Niet geupload"/>
    <m/>
    <x v="0"/>
    <m/>
    <m/>
    <x v="129"/>
    <m/>
  </r>
  <r>
    <s v="47e6b71a-6205-4dab-81b9-b2b5a1f76eea"/>
    <x v="1"/>
    <s v="ceaa23ce-9cdc-497a-8c8e-e3a5ddbf3a25"/>
    <s v="failed"/>
    <x v="22"/>
    <s v="2023-02-14T01:19:12.127000+00:00"/>
    <n v="104"/>
    <n v="101"/>
    <n v="0.97115384615384615"/>
    <x v="378"/>
    <x v="1"/>
    <s v="47"/>
    <s v="URL"/>
    <x v="6"/>
    <x v="6"/>
    <s v="Niet geupload"/>
    <m/>
    <x v="0"/>
    <m/>
    <m/>
    <x v="129"/>
    <m/>
  </r>
  <r>
    <s v="d77cbb34-933a-4b23-85aa-afeaa66e3edc"/>
    <x v="9"/>
    <s v="ab0f8784-4330-41eb-87fb-6fc0427a865d"/>
    <s v="failed"/>
    <x v="0"/>
    <s v="2023-02-14T04:58:27.219000+00:00"/>
    <n v="82"/>
    <n v="37"/>
    <n v="0.45121951219512196"/>
    <x v="379"/>
    <x v="13"/>
    <s v="22"/>
    <s v="URL"/>
    <x v="32"/>
    <x v="26"/>
    <m/>
    <m/>
    <x v="8"/>
    <m/>
    <m/>
    <x v="129"/>
    <m/>
  </r>
  <r>
    <s v="19f3221a-1bd2-4096-a812-9434d11dd115"/>
    <x v="9"/>
    <s v="ab0f8784-4330-41eb-87fb-6fc0427a865d"/>
    <s v="failed"/>
    <x v="23"/>
    <s v="2023-02-14T06:32:18.245000+00:00"/>
    <n v="82"/>
    <n v="58"/>
    <n v="0.70731707317073167"/>
    <x v="380"/>
    <x v="13"/>
    <s v="22"/>
    <s v="URL"/>
    <x v="16"/>
    <x v="16"/>
    <s v="Kar in de rij! Obstacle detection case!"/>
    <m/>
    <x v="9"/>
    <m/>
    <m/>
    <x v="129"/>
    <m/>
  </r>
  <r>
    <m/>
    <x v="2"/>
    <s v="9c7a5d36-d13c-4a54-a296-6fb3dcd54f57"/>
    <s v="failed"/>
    <x v="20"/>
    <s v="2023-02-14T16:46:20.263000+00:00"/>
    <n v="72"/>
    <n v="0"/>
    <n v="0"/>
    <x v="322"/>
    <x v="0"/>
    <s v="58"/>
    <m/>
    <x v="19"/>
    <x v="19"/>
    <m/>
    <m/>
    <x v="10"/>
    <m/>
    <m/>
    <x v="129"/>
    <m/>
  </r>
  <r>
    <s v="53cf9a8d-0a7f-4a5d-95eb-c9c97c15c09d"/>
    <x v="0"/>
    <s v="6431fa2e-9441-4979-b615-01dec1de4441"/>
    <s v="failed"/>
    <x v="0"/>
    <s v="2023-02-14T17:22:52.236000+00:00"/>
    <n v="153"/>
    <n v="6"/>
    <n v="3.9215686274509803E-2"/>
    <x v="280"/>
    <x v="0"/>
    <s v="59"/>
    <s v="URL"/>
    <x v="18"/>
    <x v="18"/>
    <s v="Terechte detectie van voorwielslip"/>
    <m/>
    <x v="4"/>
    <m/>
    <m/>
    <x v="129"/>
    <m/>
  </r>
  <r>
    <m/>
    <x v="5"/>
    <s v="798ef997-1a9f-4741-9de8-33cffe6728f9"/>
    <s v="completed"/>
    <x v="3"/>
    <s v="2023-02-14T18:36:26.910000+00:00"/>
    <n v="37"/>
    <n v="37"/>
    <n v="1"/>
    <x v="4"/>
    <x v="5"/>
    <s v="63"/>
    <m/>
    <x v="2"/>
    <x v="2"/>
    <m/>
    <m/>
    <x v="0"/>
    <m/>
    <m/>
    <x v="129"/>
    <m/>
  </r>
  <r>
    <m/>
    <x v="6"/>
    <s v="f98ae99c-8ae2-444a-ac88-e4ca5b5d7a8b"/>
    <s v="completed"/>
    <x v="3"/>
    <s v="2023-02-14T19:44:52.056000+00:00"/>
    <n v="22"/>
    <n v="22"/>
    <n v="1"/>
    <x v="4"/>
    <x v="5"/>
    <s v="51"/>
    <m/>
    <x v="2"/>
    <x v="2"/>
    <m/>
    <m/>
    <x v="0"/>
    <m/>
    <m/>
    <x v="129"/>
    <m/>
  </r>
  <r>
    <s v="51840db5-8518-4db6-a3b5-2bda65c48638"/>
    <x v="0"/>
    <s v="6431fa2e-9441-4979-b615-01dec1de4441"/>
    <s v="failed"/>
    <x v="0"/>
    <s v="2023-02-14T20:04:34.650000+00:00"/>
    <n v="153"/>
    <n v="45"/>
    <n v="0.29411764705882354"/>
    <x v="381"/>
    <x v="0"/>
    <s v="59"/>
    <s v="URL"/>
    <x v="18"/>
    <x v="18"/>
    <s v="Terechte detectie van voorwielslip"/>
    <m/>
    <x v="4"/>
    <m/>
    <m/>
    <x v="129"/>
    <m/>
  </r>
  <r>
    <s v="229143d7-0547-4724-89b5-6aacf1a5d790"/>
    <x v="0"/>
    <s v="6431fa2e-9441-4979-b615-01dec1de4441"/>
    <s v="failed"/>
    <x v="0"/>
    <s v="2023-02-14T21:52:10.298000+00:00"/>
    <n v="153"/>
    <n v="71"/>
    <n v="0.46405228758169936"/>
    <x v="382"/>
    <x v="0"/>
    <s v="59"/>
    <s v="URL"/>
    <x v="3"/>
    <x v="3"/>
    <s v="Komt te kort uit aan EOL wall"/>
    <m/>
    <x v="11"/>
    <m/>
    <m/>
    <x v="129"/>
    <m/>
  </r>
  <r>
    <s v="7c62da9b-051f-4d42-befa-9ce72f8e3495"/>
    <x v="0"/>
    <s v="6431fa2e-9441-4979-b615-01dec1de4441"/>
    <s v="failed"/>
    <x v="0"/>
    <s v="2023-02-15T01:02:13.321000+00:00"/>
    <n v="153"/>
    <n v="116"/>
    <n v="0.75816993464052285"/>
    <x v="383"/>
    <x v="0"/>
    <s v="59"/>
    <s v="URL"/>
    <x v="3"/>
    <x v="3"/>
    <s v="Komt te kort uit aan EOL wall"/>
    <m/>
    <x v="11"/>
    <m/>
    <m/>
    <x v="130"/>
    <m/>
  </r>
  <r>
    <s v="08cf22a0-47c5-4903-866e-c141a42aeac4"/>
    <x v="0"/>
    <s v="6431fa2e-9441-4979-b615-01dec1de4441"/>
    <s v="failed"/>
    <x v="25"/>
    <s v="2023-02-15T03:27:35.325000+00:00"/>
    <n v="153"/>
    <n v="151"/>
    <n v="0.98692810457516345"/>
    <x v="384"/>
    <x v="0"/>
    <s v="59"/>
    <s v="URL"/>
    <x v="5"/>
    <x v="5"/>
    <s v="Tikt vermoedelijk heel zachtjes de poort aan"/>
    <m/>
    <x v="12"/>
    <m/>
    <m/>
    <x v="130"/>
    <m/>
  </r>
  <r>
    <s v="d3bd2739-3846-48ae-8400-4b8b5db7db17"/>
    <x v="2"/>
    <s v="5e78c9ff-1a33-45f1-8b0d-fba77e7c5518"/>
    <s v="failed"/>
    <x v="28"/>
    <s v="2023-02-15T03:42:51.670000+00:00"/>
    <n v="221"/>
    <n v="155"/>
    <n v="0.70135746606334837"/>
    <x v="385"/>
    <x v="0"/>
    <s v="58"/>
    <s v="URL"/>
    <x v="10"/>
    <x v="10"/>
    <s v="Niet geupload"/>
    <m/>
    <x v="0"/>
    <m/>
    <m/>
    <x v="130"/>
    <m/>
  </r>
  <r>
    <m/>
    <x v="2"/>
    <s v="0262764b-2e6e-4e46-aa5b-5ed9053a86d0"/>
    <s v="failed"/>
    <x v="0"/>
    <s v="2023-02-15T16:20:37.953000+00:00"/>
    <n v="69"/>
    <n v="0"/>
    <n v="0"/>
    <x v="385"/>
    <x v="0"/>
    <s v="58"/>
    <m/>
    <x v="19"/>
    <x v="19"/>
    <m/>
    <m/>
    <x v="0"/>
    <m/>
    <m/>
    <x v="130"/>
    <m/>
  </r>
  <r>
    <m/>
    <x v="2"/>
    <s v="0262764b-2e6e-4e46-aa5b-5ed9053a86d0"/>
    <s v="failed"/>
    <x v="0"/>
    <s v="2023-02-15T16:21:25.565000+00:00"/>
    <n v="69"/>
    <n v="1"/>
    <n v="1.4492753623188406E-2"/>
    <x v="385"/>
    <x v="0"/>
    <s v="58"/>
    <m/>
    <x v="19"/>
    <x v="19"/>
    <m/>
    <m/>
    <x v="0"/>
    <m/>
    <m/>
    <x v="130"/>
    <m/>
  </r>
  <r>
    <m/>
    <x v="2"/>
    <s v="0262764b-2e6e-4e46-aa5b-5ed9053a86d0"/>
    <s v="failed"/>
    <x v="20"/>
    <s v="2023-02-15T16:21:49.840000+00:00"/>
    <n v="69"/>
    <n v="2"/>
    <n v="2.8985507246376812E-2"/>
    <x v="385"/>
    <x v="0"/>
    <s v="58"/>
    <m/>
    <x v="19"/>
    <x v="19"/>
    <m/>
    <m/>
    <x v="0"/>
    <m/>
    <m/>
    <x v="130"/>
    <m/>
  </r>
  <r>
    <m/>
    <x v="2"/>
    <s v="7be3260b-2585-4a00-92b6-bb4096cb0458"/>
    <s v="failed"/>
    <x v="20"/>
    <s v="2023-02-15T16:24:44.399000+00:00"/>
    <n v="67"/>
    <n v="0"/>
    <n v="0"/>
    <x v="385"/>
    <x v="0"/>
    <s v="58"/>
    <m/>
    <x v="19"/>
    <x v="19"/>
    <m/>
    <m/>
    <x v="0"/>
    <m/>
    <m/>
    <x v="130"/>
    <m/>
  </r>
  <r>
    <m/>
    <x v="2"/>
    <s v="35a110e9-1e77-4626-bbe3-f46c5094ff11"/>
    <s v="failed"/>
    <x v="0"/>
    <s v="2023-02-15T16:45:06.251000+00:00"/>
    <n v="69"/>
    <n v="0"/>
    <n v="0"/>
    <x v="386"/>
    <x v="0"/>
    <s v="58"/>
    <m/>
    <x v="19"/>
    <x v="19"/>
    <m/>
    <m/>
    <x v="0"/>
    <m/>
    <m/>
    <x v="130"/>
    <m/>
  </r>
  <r>
    <m/>
    <x v="2"/>
    <s v="35a110e9-1e77-4626-bbe3-f46c5094ff11"/>
    <s v="failed"/>
    <x v="0"/>
    <s v="2023-02-15T16:45:51.568000+00:00"/>
    <n v="69"/>
    <n v="1"/>
    <n v="1.4492753623188406E-2"/>
    <x v="386"/>
    <x v="0"/>
    <s v="58"/>
    <m/>
    <x v="19"/>
    <x v="19"/>
    <m/>
    <m/>
    <x v="0"/>
    <m/>
    <m/>
    <x v="130"/>
    <m/>
  </r>
  <r>
    <m/>
    <x v="2"/>
    <s v="35a110e9-1e77-4626-bbe3-f46c5094ff11"/>
    <s v="failed"/>
    <x v="0"/>
    <s v="2023-02-15T16:47:43.821000+00:00"/>
    <n v="69"/>
    <n v="2"/>
    <n v="2.8985507246376812E-2"/>
    <x v="386"/>
    <x v="0"/>
    <s v="58"/>
    <m/>
    <x v="19"/>
    <x v="19"/>
    <m/>
    <m/>
    <x v="0"/>
    <m/>
    <m/>
    <x v="130"/>
    <m/>
  </r>
  <r>
    <m/>
    <x v="2"/>
    <s v="35a110e9-1e77-4626-bbe3-f46c5094ff11"/>
    <s v="failed"/>
    <x v="20"/>
    <s v="2023-02-15T16:48:17.749000+00:00"/>
    <n v="69"/>
    <n v="3"/>
    <n v="4.3478260869565216E-2"/>
    <x v="386"/>
    <x v="0"/>
    <s v="58"/>
    <m/>
    <x v="19"/>
    <x v="19"/>
    <m/>
    <m/>
    <x v="0"/>
    <m/>
    <m/>
    <x v="130"/>
    <m/>
  </r>
  <r>
    <m/>
    <x v="0"/>
    <s v="9f1f7329-a6cb-4d4e-b09d-adf8f4d5e127"/>
    <s v="failed"/>
    <x v="53"/>
    <s v="2023-02-15T18:47:32.236000+00:00"/>
    <n v="154"/>
    <n v="30"/>
    <n v="0.19480519480519481"/>
    <x v="358"/>
    <x v="2"/>
    <s v="59"/>
    <m/>
    <x v="11"/>
    <x v="11"/>
    <m/>
    <m/>
    <x v="0"/>
    <m/>
    <m/>
    <x v="130"/>
    <m/>
  </r>
  <r>
    <m/>
    <x v="1"/>
    <s v="cc43eed0-82bd-486c-98c8-14493c2ef2ce"/>
    <s v="failed"/>
    <x v="0"/>
    <s v="2023-02-15T19:50:36.903000+00:00"/>
    <n v="105"/>
    <n v="2"/>
    <n v="1.9047619047619049E-2"/>
    <x v="387"/>
    <x v="3"/>
    <s v="47"/>
    <m/>
    <x v="1"/>
    <x v="1"/>
    <m/>
    <m/>
    <x v="0"/>
    <m/>
    <m/>
    <x v="130"/>
    <m/>
  </r>
  <r>
    <m/>
    <x v="6"/>
    <s v="18155b54-9822-4443-a469-2e567d5f49f9"/>
    <s v="completed"/>
    <x v="3"/>
    <s v="2023-02-15T19:51:47.118000+00:00"/>
    <n v="23"/>
    <n v="23"/>
    <n v="1"/>
    <x v="4"/>
    <x v="5"/>
    <s v="51"/>
    <m/>
    <x v="2"/>
    <x v="2"/>
    <m/>
    <m/>
    <x v="0"/>
    <m/>
    <m/>
    <x v="130"/>
    <m/>
  </r>
  <r>
    <m/>
    <x v="1"/>
    <s v="cc43eed0-82bd-486c-98c8-14493c2ef2ce"/>
    <s v="failed"/>
    <x v="0"/>
    <s v="2023-02-15T19:54:51.917000+00:00"/>
    <n v="105"/>
    <n v="4"/>
    <n v="3.8095238095238099E-2"/>
    <x v="388"/>
    <x v="3"/>
    <s v="47"/>
    <m/>
    <x v="1"/>
    <x v="1"/>
    <m/>
    <m/>
    <x v="0"/>
    <m/>
    <m/>
    <x v="130"/>
    <m/>
  </r>
  <r>
    <m/>
    <x v="3"/>
    <s v="1553b885-178a-4e3a-b11a-f76c0ed26b52"/>
    <s v="failed"/>
    <x v="35"/>
    <s v="2023-02-15T20:08:47.866000+00:00"/>
    <n v="103"/>
    <n v="9"/>
    <n v="8.7378640776699032E-2"/>
    <x v="185"/>
    <x v="3"/>
    <s v="47"/>
    <m/>
    <x v="1"/>
    <x v="1"/>
    <m/>
    <m/>
    <x v="0"/>
    <m/>
    <m/>
    <x v="130"/>
    <m/>
  </r>
  <r>
    <m/>
    <x v="3"/>
    <s v="1553b885-178a-4e3a-b11a-f76c0ed26b52"/>
    <s v="failed"/>
    <x v="0"/>
    <s v="2023-02-15T20:09:03.072000+00:00"/>
    <n v="103"/>
    <n v="7"/>
    <n v="6.7961165048543687E-2"/>
    <x v="389"/>
    <x v="3"/>
    <s v="47"/>
    <m/>
    <x v="3"/>
    <x v="3"/>
    <m/>
    <m/>
    <x v="0"/>
    <m/>
    <m/>
    <x v="130"/>
    <m/>
  </r>
  <r>
    <m/>
    <x v="1"/>
    <s v="cc43eed0-82bd-486c-98c8-14493c2ef2ce"/>
    <s v="failed"/>
    <x v="0"/>
    <s v="2023-02-15T20:36:08.115000+00:00"/>
    <n v="105"/>
    <n v="16"/>
    <n v="0.15238095238095239"/>
    <x v="390"/>
    <x v="3"/>
    <s v="47"/>
    <m/>
    <x v="1"/>
    <x v="1"/>
    <m/>
    <m/>
    <x v="0"/>
    <m/>
    <m/>
    <x v="130"/>
    <m/>
  </r>
  <r>
    <m/>
    <x v="1"/>
    <s v="cc43eed0-82bd-486c-98c8-14493c2ef2ce"/>
    <s v="failed"/>
    <x v="21"/>
    <s v="2023-02-15T22:26:20.140000+00:00"/>
    <n v="105"/>
    <n v="47"/>
    <n v="0.44761904761904764"/>
    <x v="391"/>
    <x v="3"/>
    <s v="47"/>
    <m/>
    <x v="18"/>
    <x v="18"/>
    <m/>
    <m/>
    <x v="0"/>
    <m/>
    <m/>
    <x v="130"/>
    <m/>
  </r>
  <r>
    <s v="dc5e9a8d-f77e-4766-be8d-8cf3c5c513b5"/>
    <x v="2"/>
    <s v="0e671167-99a1-4973-8002-2e036403c746"/>
    <s v="failed"/>
    <x v="23"/>
    <s v="2023-02-16T08:21:54.925000+00:00"/>
    <n v="66"/>
    <n v="23"/>
    <n v="0.34848484848484851"/>
    <x v="392"/>
    <x v="0"/>
    <s v="58"/>
    <s v="URL"/>
    <x v="16"/>
    <x v="16"/>
    <s v="flexibele buis in de rij"/>
    <m/>
    <x v="9"/>
    <m/>
    <m/>
    <x v="131"/>
    <m/>
  </r>
  <r>
    <m/>
    <x v="2"/>
    <s v="466f3a8a-6122-42fd-bdbe-cf7f0d518e47"/>
    <s v="failed"/>
    <x v="0"/>
    <s v="2023-02-16T15:13:25.294000+00:00"/>
    <n v="44"/>
    <n v="0"/>
    <n v="0"/>
    <x v="392"/>
    <x v="0"/>
    <s v="58"/>
    <m/>
    <x v="19"/>
    <x v="19"/>
    <m/>
    <m/>
    <x v="0"/>
    <m/>
    <m/>
    <x v="131"/>
    <m/>
  </r>
  <r>
    <m/>
    <x v="2"/>
    <s v="466f3a8a-6122-42fd-bdbe-cf7f0d518e47"/>
    <s v="failed"/>
    <x v="20"/>
    <s v="2023-02-16T15:14:16.293000+00:00"/>
    <n v="44"/>
    <n v="1"/>
    <n v="2.2727272727272728E-2"/>
    <x v="392"/>
    <x v="0"/>
    <s v="58"/>
    <m/>
    <x v="19"/>
    <x v="19"/>
    <m/>
    <m/>
    <x v="0"/>
    <m/>
    <m/>
    <x v="131"/>
    <m/>
  </r>
  <r>
    <s v="98b0dfde-6332-468a-a44b-16f53a17b7de"/>
    <x v="5"/>
    <s v="87a4c72f-2ff6-4d83-8a35-a2fb37d478d3"/>
    <s v="failed"/>
    <x v="0"/>
    <s v="2023-02-16T16:33:55.322000+00:00"/>
    <n v="44"/>
    <n v="1"/>
    <n v="2.2727272727272728E-2"/>
    <x v="291"/>
    <x v="5"/>
    <s v="64"/>
    <s v="URL"/>
    <x v="1"/>
    <x v="1"/>
    <m/>
    <m/>
    <x v="1"/>
    <m/>
    <m/>
    <x v="131"/>
    <m/>
  </r>
  <r>
    <s v="2e598b84-2f49-474a-9aeb-7dc7466515fb"/>
    <x v="5"/>
    <s v="87a4c72f-2ff6-4d83-8a35-a2fb37d478d3"/>
    <s v="failed"/>
    <x v="0"/>
    <s v="2023-02-16T16:34:57.611000+00:00"/>
    <n v="44"/>
    <n v="2"/>
    <n v="4.5454545454545456E-2"/>
    <x v="292"/>
    <x v="5"/>
    <s v="64"/>
    <s v="URL"/>
    <x v="7"/>
    <x v="7"/>
    <m/>
    <m/>
    <x v="13"/>
    <m/>
    <m/>
    <x v="131"/>
    <m/>
  </r>
  <r>
    <s v="26b38174-063a-4bb5-a0b1-92916398c18e"/>
    <x v="5"/>
    <s v="87a4c72f-2ff6-4d83-8a35-a2fb37d478d3"/>
    <s v="failed"/>
    <x v="19"/>
    <s v="2023-02-16T16:53:22.730000+00:00"/>
    <n v="44"/>
    <n v="6"/>
    <n v="0.13636363636363635"/>
    <x v="302"/>
    <x v="5"/>
    <s v="64"/>
    <s v="URL"/>
    <x v="16"/>
    <x v="16"/>
    <m/>
    <m/>
    <x v="14"/>
    <m/>
    <m/>
    <x v="131"/>
    <m/>
  </r>
  <r>
    <m/>
    <x v="2"/>
    <s v="35c7c399-df0e-4fb5-8997-f1e0e6d98eb3"/>
    <s v="completed"/>
    <x v="0"/>
    <s v="2023-02-16T17:46:27.066000+00:00"/>
    <n v="43"/>
    <n v="35"/>
    <n v="0.81395348837209303"/>
    <x v="364"/>
    <x v="0"/>
    <s v="58"/>
    <m/>
    <x v="3"/>
    <x v="3"/>
    <m/>
    <m/>
    <x v="0"/>
    <m/>
    <m/>
    <x v="131"/>
    <m/>
  </r>
  <r>
    <m/>
    <x v="2"/>
    <s v="35c7c399-df0e-4fb5-8997-f1e0e6d98eb3"/>
    <s v="completed"/>
    <x v="3"/>
    <s v="2023-02-16T18:13:38.628000+00:00"/>
    <n v="43"/>
    <n v="42"/>
    <n v="0.97674418604651159"/>
    <x v="4"/>
    <x v="0"/>
    <s v="58"/>
    <m/>
    <x v="2"/>
    <x v="2"/>
    <m/>
    <m/>
    <x v="0"/>
    <m/>
    <m/>
    <x v="131"/>
    <m/>
  </r>
  <r>
    <s v="f4efd564-e25c-43fd-96b8-9e85bba06c59"/>
    <x v="6"/>
    <s v="0eece587-19ce-4137-8b5e-003364cd38e3"/>
    <s v="completed"/>
    <x v="0"/>
    <s v="2023-02-16T19:55:25.187000+00:00"/>
    <n v="22"/>
    <n v="18"/>
    <n v="0.81818181818181823"/>
    <x v="274"/>
    <x v="5"/>
    <s v="51"/>
    <s v="URL"/>
    <x v="1"/>
    <x v="1"/>
    <s v="robot al op rail op einde LS"/>
    <m/>
    <x v="3"/>
    <m/>
    <m/>
    <x v="131"/>
    <m/>
  </r>
  <r>
    <m/>
    <x v="6"/>
    <s v="0eece587-19ce-4137-8b5e-003364cd38e3"/>
    <s v="completed"/>
    <x v="3"/>
    <s v="2023-02-16T19:59:42.051000+00:00"/>
    <n v="22"/>
    <n v="21"/>
    <n v="0.95454545454545459"/>
    <x v="4"/>
    <x v="5"/>
    <s v="51"/>
    <m/>
    <x v="2"/>
    <x v="2"/>
    <m/>
    <m/>
    <x v="0"/>
    <m/>
    <m/>
    <x v="131"/>
    <m/>
  </r>
  <r>
    <m/>
    <x v="0"/>
    <s v="59e80eae-2227-4535-995a-e426d976dfc7"/>
    <s v="completed"/>
    <x v="0"/>
    <s v="2023-02-16T20:15:40.672000+00:00"/>
    <n v="78"/>
    <n v="73"/>
    <n v="0.9358974358974359"/>
    <x v="275"/>
    <x v="2"/>
    <s v="59"/>
    <m/>
    <x v="18"/>
    <x v="18"/>
    <m/>
    <m/>
    <x v="0"/>
    <m/>
    <m/>
    <x v="131"/>
    <m/>
  </r>
  <r>
    <m/>
    <x v="0"/>
    <s v="59e80eae-2227-4535-995a-e426d976dfc7"/>
    <s v="completed"/>
    <x v="3"/>
    <s v="2023-02-16T20:29:07.480000+00:00"/>
    <n v="78"/>
    <n v="77"/>
    <n v="0.98717948717948723"/>
    <x v="4"/>
    <x v="2"/>
    <s v="59"/>
    <m/>
    <x v="2"/>
    <x v="2"/>
    <m/>
    <m/>
    <x v="0"/>
    <m/>
    <m/>
    <x v="131"/>
    <m/>
  </r>
  <r>
    <m/>
    <x v="3"/>
    <s v="b5cff825-c545-4871-b09d-1f937a97ea8c"/>
    <s v="stopped"/>
    <x v="3"/>
    <s v="2023-02-16T20:53:40.582000+00:00"/>
    <n v="101"/>
    <n v="1"/>
    <n v="9.9009900990099011E-3"/>
    <x v="4"/>
    <x v="3"/>
    <s v="47"/>
    <m/>
    <x v="2"/>
    <x v="2"/>
    <m/>
    <m/>
    <x v="0"/>
    <m/>
    <m/>
    <x v="131"/>
    <m/>
  </r>
  <r>
    <s v="b8d7a7da-9f50-4295-871f-0f0d3cae55db"/>
    <x v="3"/>
    <s v="f7756bf8-8039-4603-9f7e-d68b589ad2f7"/>
    <s v="failed"/>
    <x v="22"/>
    <s v="2023-02-16T20:55:10.543000+00:00"/>
    <n v="102"/>
    <n v="1"/>
    <n v="9.8039215686274508E-3"/>
    <x v="393"/>
    <x v="3"/>
    <s v="47"/>
    <s v="URL"/>
    <x v="6"/>
    <x v="6"/>
    <m/>
    <m/>
    <x v="0"/>
    <m/>
    <m/>
    <x v="131"/>
    <m/>
  </r>
  <r>
    <m/>
    <x v="3"/>
    <s v="263880b5-216f-4270-950b-d31b9828d6d9"/>
    <s v="failed"/>
    <x v="0"/>
    <s v="2023-02-16T21:05:28.480000+00:00"/>
    <n v="102"/>
    <n v="1"/>
    <n v="9.8039215686274508E-3"/>
    <x v="387"/>
    <x v="3"/>
    <s v="47"/>
    <m/>
    <x v="1"/>
    <x v="1"/>
    <m/>
    <m/>
    <x v="0"/>
    <m/>
    <m/>
    <x v="131"/>
    <m/>
  </r>
  <r>
    <m/>
    <x v="3"/>
    <s v="263880b5-216f-4270-950b-d31b9828d6d9"/>
    <s v="failed"/>
    <x v="35"/>
    <s v="2023-02-16T21:30:49.050000+00:00"/>
    <n v="102"/>
    <n v="8"/>
    <n v="7.8431372549019607E-2"/>
    <x v="394"/>
    <x v="3"/>
    <s v="47"/>
    <m/>
    <x v="1"/>
    <x v="1"/>
    <m/>
    <m/>
    <x v="0"/>
    <m/>
    <m/>
    <x v="131"/>
    <m/>
  </r>
  <r>
    <m/>
    <x v="1"/>
    <s v="25e930c4-81b9-41bd-9dbf-997066165292"/>
    <s v="failed"/>
    <x v="47"/>
    <s v="2023-02-16T21:45:43.085000+00:00"/>
    <n v="102"/>
    <n v="20"/>
    <n v="0.19607843137254902"/>
    <x v="130"/>
    <x v="3"/>
    <s v="47"/>
    <m/>
    <x v="9"/>
    <x v="9"/>
    <m/>
    <m/>
    <x v="0"/>
    <m/>
    <m/>
    <x v="131"/>
    <m/>
  </r>
  <r>
    <m/>
    <x v="9"/>
    <s v="05f3cbd0-f86b-481f-9a4b-7a3fec8e13eb"/>
    <s v="completed"/>
    <x v="3"/>
    <s v="2023-02-17T08:05:16.649000+00:00"/>
    <n v="82"/>
    <n v="82"/>
    <n v="1"/>
    <x v="4"/>
    <x v="14"/>
    <s v="22"/>
    <m/>
    <x v="2"/>
    <x v="2"/>
    <m/>
    <m/>
    <x v="0"/>
    <m/>
    <m/>
    <x v="132"/>
    <m/>
  </r>
  <r>
    <m/>
    <x v="6"/>
    <s v="21aee470-2785-41bd-8af1-1f123be37e09"/>
    <m/>
    <x v="3"/>
    <s v="2023-02-17T13:54:11.821000+00:00"/>
    <n v="19"/>
    <n v="2"/>
    <n v="0.10526315789473684"/>
    <x v="4"/>
    <x v="5"/>
    <s v="52"/>
    <m/>
    <x v="2"/>
    <x v="2"/>
    <m/>
    <m/>
    <x v="0"/>
    <m/>
    <m/>
    <x v="132"/>
    <m/>
  </r>
  <r>
    <m/>
    <x v="0"/>
    <s v="a61b106c-18d9-4182-b126-eac2ddea021f"/>
    <s v="failed"/>
    <x v="0"/>
    <s v="2023-02-17T15:03:15.455000+00:00"/>
    <n v="154"/>
    <n v="0"/>
    <n v="0"/>
    <x v="281"/>
    <x v="0"/>
    <s v="59"/>
    <m/>
    <x v="20"/>
    <x v="20"/>
    <m/>
    <m/>
    <x v="0"/>
    <m/>
    <m/>
    <x v="132"/>
    <m/>
  </r>
  <r>
    <m/>
    <x v="0"/>
    <s v="a61b106c-18d9-4182-b126-eac2ddea021f"/>
    <s v="failed"/>
    <x v="0"/>
    <s v="2023-02-17T15:04:15.281000+00:00"/>
    <n v="154"/>
    <n v="1"/>
    <n v="6.4935064935064939E-3"/>
    <x v="281"/>
    <x v="0"/>
    <s v="59"/>
    <m/>
    <x v="20"/>
    <x v="20"/>
    <m/>
    <m/>
    <x v="0"/>
    <m/>
    <m/>
    <x v="132"/>
    <m/>
  </r>
  <r>
    <m/>
    <x v="0"/>
    <s v="a61b106c-18d9-4182-b126-eac2ddea021f"/>
    <s v="failed"/>
    <x v="20"/>
    <s v="2023-02-17T15:05:46.992000+00:00"/>
    <n v="154"/>
    <n v="2"/>
    <n v="1.2987012987012988E-2"/>
    <x v="395"/>
    <x v="0"/>
    <s v="59"/>
    <m/>
    <x v="20"/>
    <x v="20"/>
    <m/>
    <m/>
    <x v="0"/>
    <m/>
    <m/>
    <x v="132"/>
    <m/>
  </r>
  <r>
    <m/>
    <x v="2"/>
    <s v="730d041b-092c-4743-beb3-275746e2097b"/>
    <s v="failed"/>
    <x v="26"/>
    <s v="2023-02-17T15:16:25.569000+00:00"/>
    <n v="210"/>
    <n v="8"/>
    <n v="3.8095238095238099E-2"/>
    <x v="396"/>
    <x v="2"/>
    <s v="58"/>
    <m/>
    <x v="18"/>
    <x v="18"/>
    <m/>
    <m/>
    <x v="0"/>
    <m/>
    <m/>
    <x v="132"/>
    <m/>
  </r>
  <r>
    <s v="2a0f1b50-104f-422c-a0d2-46d98fddf1e7"/>
    <x v="5"/>
    <s v="e1470d6a-e6bd-41bc-96c0-79eb161a1af9"/>
    <s v="completed"/>
    <x v="0"/>
    <s v="2023-02-17T17:21:18.186000+00:00"/>
    <n v="38"/>
    <n v="15"/>
    <n v="0.39473684210526316"/>
    <x v="307"/>
    <x v="5"/>
    <s v="61"/>
    <s v="URL"/>
    <x v="1"/>
    <x v="1"/>
    <s v="Robot stopt te vroeg"/>
    <m/>
    <x v="1"/>
    <m/>
    <m/>
    <x v="132"/>
    <m/>
  </r>
  <r>
    <s v="74347b74-0720-4192-82a9-bba433e5b95d"/>
    <x v="5"/>
    <s v="e1470d6a-e6bd-41bc-96c0-79eb161a1af9"/>
    <s v="completed"/>
    <x v="0"/>
    <s v="2023-02-17T17:52:28.768000+00:00"/>
    <n v="38"/>
    <n v="24"/>
    <n v="0.63157894736842102"/>
    <x v="397"/>
    <x v="5"/>
    <s v="61"/>
    <s v="URL"/>
    <x v="1"/>
    <x v="1"/>
    <s v="Robot stopt te vroeg"/>
    <m/>
    <x v="1"/>
    <m/>
    <m/>
    <x v="132"/>
    <m/>
  </r>
  <r>
    <s v="68d6be02-6ca5-481e-ae83-f00003fae97a"/>
    <x v="5"/>
    <s v="e1470d6a-e6bd-41bc-96c0-79eb161a1af9"/>
    <s v="completed"/>
    <x v="0"/>
    <s v="2023-02-17T17:53:29.879000+00:00"/>
    <n v="38"/>
    <n v="25"/>
    <n v="0.65789473684210531"/>
    <x v="309"/>
    <x v="5"/>
    <s v="61"/>
    <s v="URL"/>
    <x v="7"/>
    <x v="7"/>
    <s v="Robot wijkt lateraal wat af na LS "/>
    <m/>
    <x v="13"/>
    <m/>
    <m/>
    <x v="132"/>
    <m/>
  </r>
  <r>
    <m/>
    <x v="2"/>
    <s v="062fe394-3df2-4410-af85-7c9fc2c0dbb5"/>
    <s v="failed"/>
    <x v="0"/>
    <s v="2023-02-17T18:41:13.323000+00:00"/>
    <n v="199"/>
    <n v="44"/>
    <n v="0.22110552763819097"/>
    <x v="398"/>
    <x v="2"/>
    <s v="58"/>
    <m/>
    <x v="1"/>
    <x v="1"/>
    <m/>
    <m/>
    <x v="0"/>
    <m/>
    <m/>
    <x v="132"/>
    <m/>
  </r>
  <r>
    <s v="518c9553-a5d0-40fb-aec2-e3222dc4bad7"/>
    <x v="6"/>
    <s v="b77efa17-ad9a-401b-b35b-5787050672b5"/>
    <s v="completed"/>
    <x v="0"/>
    <s v="2023-02-17T19:22:37.691000+00:00"/>
    <n v="20"/>
    <n v="4"/>
    <n v="0.2"/>
    <x v="315"/>
    <x v="5"/>
    <s v="52"/>
    <s v="URL"/>
    <x v="25"/>
    <x v="25"/>
    <m/>
    <m/>
    <x v="4"/>
    <m/>
    <m/>
    <x v="132"/>
    <m/>
  </r>
  <r>
    <s v="dc19f74c-910e-41c1-ab81-64590016b25a"/>
    <x v="6"/>
    <s v="b77efa17-ad9a-401b-b35b-5787050672b5"/>
    <s v="completed"/>
    <x v="0"/>
    <s v="2023-02-17T19:43:56.746000+00:00"/>
    <n v="20"/>
    <n v="14"/>
    <n v="0.7"/>
    <x v="299"/>
    <x v="5"/>
    <s v="52"/>
    <s v="URL"/>
    <x v="22"/>
    <x v="22"/>
    <s v="Voorwielen geraken niet op rail"/>
    <m/>
    <x v="15"/>
    <m/>
    <m/>
    <x v="132"/>
    <m/>
  </r>
  <r>
    <m/>
    <x v="5"/>
    <s v="e1470d6a-e6bd-41bc-96c0-79eb161a1af9"/>
    <s v="completed"/>
    <x v="3"/>
    <s v="2023-02-17T19:47:54.154000+00:00"/>
    <n v="38"/>
    <n v="35"/>
    <n v="0.92105263157894735"/>
    <x v="4"/>
    <x v="5"/>
    <s v="61"/>
    <m/>
    <x v="2"/>
    <x v="2"/>
    <m/>
    <m/>
    <x v="0"/>
    <m/>
    <m/>
    <x v="132"/>
    <m/>
  </r>
  <r>
    <m/>
    <x v="6"/>
    <s v="b77efa17-ad9a-401b-b35b-5787050672b5"/>
    <s v="completed"/>
    <x v="3"/>
    <s v="2023-02-17T19:54:58.278000+00:00"/>
    <n v="20"/>
    <n v="18"/>
    <n v="0.9"/>
    <x v="4"/>
    <x v="5"/>
    <s v="52"/>
    <m/>
    <x v="2"/>
    <x v="2"/>
    <m/>
    <m/>
    <x v="0"/>
    <m/>
    <m/>
    <x v="132"/>
    <m/>
  </r>
  <r>
    <s v="1be98333-9442-41fe-9d4b-9314cb285a80"/>
    <x v="0"/>
    <s v="6dc8d2db-0d07-4d22-b953-212286aa49a3"/>
    <s v="failed"/>
    <x v="0"/>
    <s v="2023-02-17T20:23:02.070000+00:00"/>
    <n v="146"/>
    <n v="73"/>
    <n v="0.5"/>
    <x v="399"/>
    <x v="0"/>
    <s v="59"/>
    <s v="URL"/>
    <x v="18"/>
    <x v="18"/>
    <m/>
    <m/>
    <x v="16"/>
    <m/>
    <m/>
    <x v="132"/>
    <m/>
  </r>
  <r>
    <m/>
    <x v="2"/>
    <s v="062fe394-3df2-4410-af85-7c9fc2c0dbb5"/>
    <s v="failed"/>
    <x v="0"/>
    <s v="2023-02-17T20:31:09.332000+00:00"/>
    <n v="199"/>
    <n v="70"/>
    <n v="0.35175879396984927"/>
    <x v="400"/>
    <x v="2"/>
    <s v="58"/>
    <m/>
    <x v="18"/>
    <x v="18"/>
    <m/>
    <m/>
    <x v="0"/>
    <m/>
    <m/>
    <x v="132"/>
    <m/>
  </r>
  <r>
    <m/>
    <x v="2"/>
    <s v="062fe394-3df2-4410-af85-7c9fc2c0dbb5"/>
    <s v="failed"/>
    <x v="26"/>
    <s v="2023-02-17T20:58:55.640000+00:00"/>
    <n v="199"/>
    <n v="77"/>
    <n v="0.38693467336683418"/>
    <x v="358"/>
    <x v="2"/>
    <s v="58"/>
    <m/>
    <x v="18"/>
    <x v="18"/>
    <m/>
    <m/>
    <x v="0"/>
    <m/>
    <m/>
    <x v="132"/>
    <m/>
  </r>
  <r>
    <s v="e9ddd419-1d89-42f6-86de-200ea911e795"/>
    <x v="0"/>
    <s v="6dc8d2db-0d07-4d22-b953-212286aa49a3"/>
    <s v="failed"/>
    <x v="25"/>
    <s v="2023-02-18T01:18:01.839000+00:00"/>
    <n v="146"/>
    <n v="144"/>
    <n v="0.98630136986301364"/>
    <x v="384"/>
    <x v="0"/>
    <s v="59"/>
    <s v="URL"/>
    <x v="5"/>
    <x v="5"/>
    <m/>
    <m/>
    <x v="12"/>
    <m/>
    <m/>
    <x v="133"/>
    <m/>
  </r>
  <r>
    <m/>
    <x v="0"/>
    <s v="d4ca894b-6c1d-47a6-a0ab-ee984c6c11ac"/>
    <s v="completed"/>
    <x v="3"/>
    <s v="2023-02-18T07:37:15.350000+00:00"/>
    <n v="15"/>
    <n v="15"/>
    <n v="1"/>
    <x v="4"/>
    <x v="2"/>
    <s v="59"/>
    <m/>
    <x v="2"/>
    <x v="2"/>
    <m/>
    <m/>
    <x v="0"/>
    <m/>
    <m/>
    <x v="133"/>
    <m/>
  </r>
  <r>
    <m/>
    <x v="9"/>
    <s v="7eb7240b-1aaf-4c59-bae3-3d20b5afe6d7"/>
    <s v="completed"/>
    <x v="3"/>
    <s v="2023-02-18T08:03:48.527000+00:00"/>
    <n v="81"/>
    <n v="81"/>
    <n v="1"/>
    <x v="4"/>
    <x v="13"/>
    <s v="22"/>
    <m/>
    <x v="2"/>
    <x v="2"/>
    <m/>
    <m/>
    <x v="0"/>
    <m/>
    <m/>
    <x v="133"/>
    <m/>
  </r>
  <r>
    <m/>
    <x v="2"/>
    <s v="d29d3e3d-5d3a-4ce0-8ae4-50abfec9f645"/>
    <s v="failed"/>
    <x v="0"/>
    <s v="2023-02-18T12:58:28.957000+00:00"/>
    <n v="122"/>
    <n v="0"/>
    <n v="0"/>
    <x v="401"/>
    <x v="2"/>
    <s v="58"/>
    <m/>
    <x v="19"/>
    <x v="19"/>
    <m/>
    <m/>
    <x v="0"/>
    <m/>
    <m/>
    <x v="133"/>
    <m/>
  </r>
  <r>
    <m/>
    <x v="2"/>
    <s v="d29d3e3d-5d3a-4ce0-8ae4-50abfec9f645"/>
    <s v="failed"/>
    <x v="20"/>
    <s v="2023-02-18T12:59:11.978000+00:00"/>
    <n v="122"/>
    <n v="1"/>
    <n v="8.1967213114754103E-3"/>
    <x v="401"/>
    <x v="2"/>
    <s v="58"/>
    <m/>
    <x v="19"/>
    <x v="19"/>
    <m/>
    <m/>
    <x v="0"/>
    <m/>
    <m/>
    <x v="133"/>
    <m/>
  </r>
  <r>
    <m/>
    <x v="2"/>
    <s v="32b2b199-950f-44b5-bc05-44d9bb607491"/>
    <s v="failed"/>
    <x v="0"/>
    <s v="2023-02-18T13:14:54.563000+00:00"/>
    <n v="124"/>
    <n v="0"/>
    <n v="0"/>
    <x v="401"/>
    <x v="2"/>
    <s v="58"/>
    <m/>
    <x v="19"/>
    <x v="19"/>
    <m/>
    <m/>
    <x v="0"/>
    <m/>
    <m/>
    <x v="133"/>
    <m/>
  </r>
  <r>
    <m/>
    <x v="2"/>
    <s v="32b2b199-950f-44b5-bc05-44d9bb607491"/>
    <s v="failed"/>
    <x v="0"/>
    <s v="2023-02-18T13:15:44.655000+00:00"/>
    <n v="124"/>
    <n v="1"/>
    <n v="8.0645161290322578E-3"/>
    <x v="401"/>
    <x v="2"/>
    <s v="58"/>
    <m/>
    <x v="19"/>
    <x v="19"/>
    <m/>
    <m/>
    <x v="0"/>
    <m/>
    <m/>
    <x v="133"/>
    <m/>
  </r>
  <r>
    <m/>
    <x v="2"/>
    <s v="32b2b199-950f-44b5-bc05-44d9bb607491"/>
    <s v="failed"/>
    <x v="0"/>
    <s v="2023-02-18T13:17:43.910000+00:00"/>
    <n v="124"/>
    <n v="2"/>
    <n v="1.6129032258064516E-2"/>
    <x v="401"/>
    <x v="2"/>
    <s v="58"/>
    <m/>
    <x v="19"/>
    <x v="19"/>
    <m/>
    <m/>
    <x v="0"/>
    <m/>
    <m/>
    <x v="133"/>
    <m/>
  </r>
  <r>
    <m/>
    <x v="2"/>
    <s v="32b2b199-950f-44b5-bc05-44d9bb607491"/>
    <s v="failed"/>
    <x v="20"/>
    <s v="2023-02-18T13:18:42.261000+00:00"/>
    <n v="124"/>
    <n v="3"/>
    <n v="2.4193548387096774E-2"/>
    <x v="401"/>
    <x v="2"/>
    <s v="58"/>
    <m/>
    <x v="19"/>
    <x v="19"/>
    <m/>
    <m/>
    <x v="0"/>
    <m/>
    <m/>
    <x v="133"/>
    <m/>
  </r>
  <r>
    <s v="5f931528-a66c-45e6-abe5-96f4a377e844"/>
    <x v="2"/>
    <s v="b21a0cd9-3dbd-4574-939c-222eebece738"/>
    <s v="failed"/>
    <x v="55"/>
    <s v="2023-02-18T19:37:25.505000+00:00"/>
    <n v="121"/>
    <n v="85"/>
    <n v="0.7024793388429752"/>
    <x v="363"/>
    <x v="2"/>
    <s v="58"/>
    <s v="URL"/>
    <x v="33"/>
    <x v="28"/>
    <s v="stopt er ineens mee"/>
    <m/>
    <x v="17"/>
    <m/>
    <m/>
    <x v="133"/>
    <m/>
  </r>
  <r>
    <m/>
    <x v="0"/>
    <s v="e0601ede-9a61-4180-a69e-4c0bcf1b30b7"/>
    <s v="completed"/>
    <x v="3"/>
    <s v="2023-02-18T23:10:14.577000+00:00"/>
    <n v="140"/>
    <n v="140"/>
    <n v="1"/>
    <x v="4"/>
    <x v="2"/>
    <s v="59"/>
    <m/>
    <x v="2"/>
    <x v="2"/>
    <m/>
    <m/>
    <x v="0"/>
    <m/>
    <m/>
    <x v="133"/>
    <m/>
  </r>
  <r>
    <s v="0c92223d-7641-4da0-919c-df9dd92ed5aa"/>
    <x v="0"/>
    <s v="fcca2a76-1482-4d04-9306-7cda6d78fc77"/>
    <s v="completed"/>
    <x v="0"/>
    <s v="2023-02-19T08:04:09.995000+00:00"/>
    <n v="11"/>
    <n v="2"/>
    <n v="0.18181818181818182"/>
    <x v="322"/>
    <x v="0"/>
    <s v="59"/>
    <s v="URL"/>
    <x v="22"/>
    <x v="22"/>
    <s v="staat niet goed voor rail"/>
    <m/>
    <x v="13"/>
    <s v="Zou egeinlijk een xtheta error moeten zijn ... Niet duidelijk waarom niet"/>
    <m/>
    <x v="134"/>
    <m/>
  </r>
  <r>
    <m/>
    <x v="0"/>
    <s v="fcca2a76-1482-4d04-9306-7cda6d78fc77"/>
    <s v="completed"/>
    <x v="3"/>
    <s v="2023-02-19T08:44:57.484000+00:00"/>
    <n v="11"/>
    <n v="10"/>
    <n v="0.90909090909090906"/>
    <x v="4"/>
    <x v="0"/>
    <s v="59"/>
    <m/>
    <x v="2"/>
    <x v="2"/>
    <m/>
    <m/>
    <x v="0"/>
    <m/>
    <m/>
    <x v="134"/>
    <m/>
  </r>
  <r>
    <m/>
    <x v="5"/>
    <s v="23f334ee-0994-4d31-b75f-982988f59fd1"/>
    <s v="failed"/>
    <x v="0"/>
    <s v="2023-02-19T16:31:21.212000+00:00"/>
    <n v="39"/>
    <n v="1"/>
    <n v="2.564102564102564E-2"/>
    <x v="291"/>
    <x v="5"/>
    <s v="63"/>
    <m/>
    <x v="0"/>
    <x v="0"/>
    <m/>
    <m/>
    <x v="0"/>
    <m/>
    <m/>
    <x v="134"/>
    <m/>
  </r>
  <r>
    <m/>
    <x v="5"/>
    <s v="23f334ee-0994-4d31-b75f-982988f59fd1"/>
    <s v="failed"/>
    <x v="0"/>
    <s v="2023-02-19T16:35:34.713000+00:00"/>
    <n v="39"/>
    <n v="2"/>
    <n v="5.128205128205128E-2"/>
    <x v="292"/>
    <x v="5"/>
    <s v="63"/>
    <m/>
    <x v="0"/>
    <x v="0"/>
    <m/>
    <m/>
    <x v="0"/>
    <m/>
    <m/>
    <x v="134"/>
    <m/>
  </r>
  <r>
    <m/>
    <x v="5"/>
    <s v="23f334ee-0994-4d31-b75f-982988f59fd1"/>
    <s v="failed"/>
    <x v="0"/>
    <s v="2023-02-19T17:24:22.913000+00:00"/>
    <n v="39"/>
    <n v="3"/>
    <n v="7.6923076923076927E-2"/>
    <x v="292"/>
    <x v="5"/>
    <s v="63"/>
    <m/>
    <x v="0"/>
    <x v="0"/>
    <m/>
    <m/>
    <x v="0"/>
    <m/>
    <m/>
    <x v="134"/>
    <m/>
  </r>
  <r>
    <m/>
    <x v="5"/>
    <s v="23f334ee-0994-4d31-b75f-982988f59fd1"/>
    <s v="failed"/>
    <x v="0"/>
    <s v="2023-02-19T17:28:34.222000+00:00"/>
    <n v="39"/>
    <n v="4"/>
    <n v="0.10256410256410256"/>
    <x v="303"/>
    <x v="5"/>
    <s v="63"/>
    <m/>
    <x v="0"/>
    <x v="0"/>
    <m/>
    <m/>
    <x v="0"/>
    <m/>
    <m/>
    <x v="134"/>
    <m/>
  </r>
  <r>
    <m/>
    <x v="5"/>
    <s v="23f334ee-0994-4d31-b75f-982988f59fd1"/>
    <s v="failed"/>
    <x v="0"/>
    <s v="2023-02-19T17:35:24.650000+00:00"/>
    <n v="39"/>
    <n v="5"/>
    <n v="0.12820512820512819"/>
    <x v="303"/>
    <x v="5"/>
    <s v="63"/>
    <m/>
    <x v="0"/>
    <x v="0"/>
    <m/>
    <m/>
    <x v="0"/>
    <m/>
    <m/>
    <x v="134"/>
    <m/>
  </r>
  <r>
    <m/>
    <x v="5"/>
    <s v="23f334ee-0994-4d31-b75f-982988f59fd1"/>
    <s v="failed"/>
    <x v="20"/>
    <s v="2023-02-19T17:39:34.036000+00:00"/>
    <n v="39"/>
    <n v="6"/>
    <n v="0.15384615384615385"/>
    <x v="295"/>
    <x v="5"/>
    <s v="63"/>
    <m/>
    <x v="0"/>
    <x v="0"/>
    <m/>
    <m/>
    <x v="0"/>
    <m/>
    <m/>
    <x v="134"/>
    <m/>
  </r>
  <r>
    <m/>
    <x v="5"/>
    <s v="30a2f0cc-75df-418f-ad2d-e40491964bf2"/>
    <s v="completed"/>
    <x v="0"/>
    <s v="2023-02-19T18:22:38.960000+00:00"/>
    <n v="33"/>
    <n v="11"/>
    <n v="0.33333333333333331"/>
    <x v="307"/>
    <x v="5"/>
    <s v="63"/>
    <m/>
    <x v="3"/>
    <x v="3"/>
    <m/>
    <m/>
    <x v="0"/>
    <m/>
    <m/>
    <x v="134"/>
    <m/>
  </r>
  <r>
    <m/>
    <x v="5"/>
    <s v="30a2f0cc-75df-418f-ad2d-e40491964bf2"/>
    <s v="completed"/>
    <x v="0"/>
    <s v="2023-02-19T18:36:39.804000+00:00"/>
    <n v="33"/>
    <n v="14"/>
    <n v="0.42424242424242425"/>
    <x v="402"/>
    <x v="5"/>
    <s v="63"/>
    <m/>
    <x v="1"/>
    <x v="1"/>
    <m/>
    <m/>
    <x v="0"/>
    <m/>
    <m/>
    <x v="134"/>
    <m/>
  </r>
  <r>
    <s v="9c6a55d7-c184-4a15-af62-b9e16bea9d19"/>
    <x v="6"/>
    <s v="9102272c-af6c-4df9-923f-b1279a60a5c5"/>
    <s v="completed"/>
    <x v="0"/>
    <s v="2023-02-19T19:01:14.252000+00:00"/>
    <n v="20"/>
    <n v="1"/>
    <n v="0.05"/>
    <x v="294"/>
    <x v="5"/>
    <s v="52"/>
    <s v="URL"/>
    <x v="3"/>
    <x v="3"/>
    <s v="Voorwielen geraken niet op rail"/>
    <m/>
    <x v="4"/>
    <m/>
    <m/>
    <x v="134"/>
    <m/>
  </r>
  <r>
    <m/>
    <x v="5"/>
    <s v="30a2f0cc-75df-418f-ad2d-e40491964bf2"/>
    <s v="completed"/>
    <x v="0"/>
    <s v="2023-02-19T19:19:18.229000+00:00"/>
    <n v="33"/>
    <n v="26"/>
    <n v="0.78787878787878785"/>
    <x v="290"/>
    <x v="5"/>
    <s v="63"/>
    <m/>
    <x v="1"/>
    <x v="1"/>
    <m/>
    <m/>
    <x v="0"/>
    <m/>
    <m/>
    <x v="134"/>
    <m/>
  </r>
  <r>
    <m/>
    <x v="5"/>
    <s v="30a2f0cc-75df-418f-ad2d-e40491964bf2"/>
    <s v="completed"/>
    <x v="0"/>
    <s v="2023-02-19T19:23:14.119000+00:00"/>
    <n v="33"/>
    <n v="27"/>
    <n v="0.81818181818181823"/>
    <x v="320"/>
    <x v="5"/>
    <s v="63"/>
    <m/>
    <x v="1"/>
    <x v="1"/>
    <m/>
    <m/>
    <x v="0"/>
    <m/>
    <m/>
    <x v="134"/>
    <m/>
  </r>
  <r>
    <m/>
    <x v="5"/>
    <s v="30a2f0cc-75df-418f-ad2d-e40491964bf2"/>
    <s v="completed"/>
    <x v="0"/>
    <s v="2023-02-19T19:28:14.499000+00:00"/>
    <n v="33"/>
    <n v="29"/>
    <n v="0.87878787878787878"/>
    <x v="331"/>
    <x v="5"/>
    <s v="63"/>
    <m/>
    <x v="18"/>
    <x v="18"/>
    <m/>
    <m/>
    <x v="0"/>
    <m/>
    <m/>
    <x v="134"/>
    <m/>
  </r>
  <r>
    <m/>
    <x v="5"/>
    <s v="30a2f0cc-75df-418f-ad2d-e40491964bf2"/>
    <s v="completed"/>
    <x v="3"/>
    <s v="2023-02-19T19:39:27.482000+00:00"/>
    <n v="33"/>
    <n v="28"/>
    <n v="0.84848484848484851"/>
    <x v="4"/>
    <x v="5"/>
    <s v="63"/>
    <m/>
    <x v="2"/>
    <x v="2"/>
    <m/>
    <m/>
    <x v="0"/>
    <m/>
    <m/>
    <x v="134"/>
    <m/>
  </r>
  <r>
    <m/>
    <x v="6"/>
    <s v="9102272c-af6c-4df9-923f-b1279a60a5c5"/>
    <s v="completed"/>
    <x v="3"/>
    <s v="2023-02-19T19:41:06.135000+00:00"/>
    <n v="20"/>
    <n v="19"/>
    <n v="0.95"/>
    <x v="4"/>
    <x v="5"/>
    <s v="52"/>
    <m/>
    <x v="2"/>
    <x v="2"/>
    <m/>
    <m/>
    <x v="0"/>
    <m/>
    <m/>
    <x v="134"/>
    <m/>
  </r>
  <r>
    <m/>
    <x v="0"/>
    <s v="c4ef0013-e2c9-47ce-abfc-e91da0c3087e"/>
    <s v="failed"/>
    <x v="20"/>
    <s v="2023-02-21T16:34:55.910000+00:00"/>
    <n v="223"/>
    <n v="0"/>
    <n v="0"/>
    <x v="395"/>
    <x v="0"/>
    <s v="58"/>
    <m/>
    <x v="19"/>
    <x v="19"/>
    <m/>
    <m/>
    <x v="0"/>
    <m/>
    <m/>
    <x v="135"/>
    <m/>
  </r>
  <r>
    <m/>
    <x v="7"/>
    <s v="42ed55bd-75e4-4c16-bbe5-7b3c43c6c8e8"/>
    <s v="completed"/>
    <x v="3"/>
    <s v="2023-02-22T02:13:00.187000+00:00"/>
    <n v="120"/>
    <n v="120"/>
    <n v="1"/>
    <x v="4"/>
    <x v="0"/>
    <s v="10"/>
    <m/>
    <x v="2"/>
    <x v="2"/>
    <m/>
    <m/>
    <x v="0"/>
    <m/>
    <m/>
    <x v="136"/>
    <m/>
  </r>
  <r>
    <s v="c020cb6c-582f-4946-be6c-349dfb393e29"/>
    <x v="0"/>
    <s v="bfa7d544-bc8c-427c-999a-d6484f955544"/>
    <s v="failed"/>
    <x v="42"/>
    <s v="2023-02-22T05:09:05.309000+00:00"/>
    <n v="223"/>
    <n v="180"/>
    <n v="0.80717488789237668"/>
    <x v="392"/>
    <x v="0"/>
    <s v="58"/>
    <s v="URL"/>
    <x v="7"/>
    <x v="7"/>
    <s v="Nog niet geupload"/>
    <m/>
    <x v="0"/>
    <m/>
    <m/>
    <x v="136"/>
    <m/>
  </r>
  <r>
    <m/>
    <x v="6"/>
    <s v="fdf6d353-153e-4cac-8846-3b99c1189fce"/>
    <s v="stopped"/>
    <x v="3"/>
    <s v="2023-02-22T15:37:04.926000+00:00"/>
    <n v="21"/>
    <n v="0"/>
    <n v="0"/>
    <x v="4"/>
    <x v="5"/>
    <s v="51"/>
    <m/>
    <x v="2"/>
    <x v="2"/>
    <m/>
    <m/>
    <x v="0"/>
    <m/>
    <m/>
    <x v="136"/>
    <m/>
  </r>
  <r>
    <m/>
    <x v="2"/>
    <s v="2ed9c69f-1475-46f8-b8e0-1c262f94d83d"/>
    <s v="stopped"/>
    <x v="3"/>
    <s v="2023-02-22T16:57:22.539000+00:00"/>
    <n v="31"/>
    <n v="2"/>
    <n v="6.4516129032258063E-2"/>
    <x v="4"/>
    <x v="0"/>
    <s v="58"/>
    <m/>
    <x v="2"/>
    <x v="2"/>
    <m/>
    <m/>
    <x v="0"/>
    <m/>
    <m/>
    <x v="136"/>
    <m/>
  </r>
  <r>
    <s v="aad1aede-7b14-4bb8-9c45-a0e88d0efd50"/>
    <x v="0"/>
    <s v="42cccb1f-995d-4b76-8e2b-54a3df2802ed"/>
    <s v="completed"/>
    <x v="0"/>
    <s v="2023-02-22T18:30:57.461000+00:00"/>
    <n v="43"/>
    <n v="35"/>
    <n v="0.81395348837209303"/>
    <x v="364"/>
    <x v="0"/>
    <s v="58"/>
    <s v="URL"/>
    <x v="3"/>
    <x v="3"/>
    <m/>
    <m/>
    <x v="0"/>
    <m/>
    <m/>
    <x v="136"/>
    <m/>
  </r>
  <r>
    <m/>
    <x v="0"/>
    <s v="42cccb1f-995d-4b76-8e2b-54a3df2802ed"/>
    <s v="completed"/>
    <x v="3"/>
    <s v="2023-02-22T18:56:40.237000+00:00"/>
    <n v="43"/>
    <n v="42"/>
    <n v="0.97674418604651159"/>
    <x v="4"/>
    <x v="0"/>
    <s v="58"/>
    <m/>
    <x v="2"/>
    <x v="2"/>
    <m/>
    <m/>
    <x v="0"/>
    <m/>
    <m/>
    <x v="136"/>
    <m/>
  </r>
  <r>
    <m/>
    <x v="2"/>
    <s v="6f6e676f-77c1-4dd5-92b5-f29530da812b"/>
    <s v="failed"/>
    <x v="0"/>
    <s v="2023-02-22T19:04:34.998000+00:00"/>
    <n v="155"/>
    <n v="0"/>
    <n v="0"/>
    <x v="403"/>
    <x v="2"/>
    <s v="59"/>
    <m/>
    <x v="19"/>
    <x v="19"/>
    <m/>
    <m/>
    <x v="0"/>
    <m/>
    <m/>
    <x v="136"/>
    <m/>
  </r>
  <r>
    <m/>
    <x v="2"/>
    <s v="6f6e676f-77c1-4dd5-92b5-f29530da812b"/>
    <s v="failed"/>
    <x v="20"/>
    <s v="2023-02-22T19:05:23.294000+00:00"/>
    <n v="155"/>
    <n v="1"/>
    <n v="6.4516129032258064E-3"/>
    <x v="403"/>
    <x v="2"/>
    <s v="59"/>
    <m/>
    <x v="19"/>
    <x v="19"/>
    <m/>
    <m/>
    <x v="0"/>
    <m/>
    <m/>
    <x v="136"/>
    <m/>
  </r>
  <r>
    <s v="3bc73a43-dc17-4b27-a904-3c434ccc712f"/>
    <x v="6"/>
    <s v="d99588ab-c02d-4865-8616-e71642fd4dd5"/>
    <s v="failed"/>
    <x v="26"/>
    <s v="2023-02-22T19:17:49.773000+00:00"/>
    <n v="22"/>
    <n v="8"/>
    <n v="0.36363636363636365"/>
    <x v="298"/>
    <x v="5"/>
    <s v="51"/>
    <s v="URL"/>
    <x v="18"/>
    <x v="18"/>
    <m/>
    <m/>
    <x v="7"/>
    <m/>
    <m/>
    <x v="136"/>
    <m/>
  </r>
  <r>
    <m/>
    <x v="9"/>
    <s v="b6806957-4a14-414a-9928-b558289ad5d8"/>
    <s v="stopped"/>
    <x v="3"/>
    <s v="2023-02-22T19:21:29.090000+00:00"/>
    <n v="81"/>
    <n v="1"/>
    <n v="1.2345679012345678E-2"/>
    <x v="4"/>
    <x v="13"/>
    <s v="22"/>
    <m/>
    <x v="2"/>
    <x v="2"/>
    <m/>
    <m/>
    <x v="0"/>
    <m/>
    <m/>
    <x v="136"/>
    <m/>
  </r>
  <r>
    <m/>
    <x v="0"/>
    <s v="98ccf6b0-792b-4200-9e73-942544daebaf"/>
    <s v="failed"/>
    <x v="0"/>
    <s v="2023-02-22T20:07:37.990000+00:00"/>
    <n v="209"/>
    <n v="10"/>
    <n v="4.784688995215311E-2"/>
    <x v="404"/>
    <x v="2"/>
    <s v="58"/>
    <m/>
    <x v="22"/>
    <x v="22"/>
    <m/>
    <m/>
    <x v="0"/>
    <m/>
    <m/>
    <x v="136"/>
    <m/>
  </r>
  <r>
    <m/>
    <x v="0"/>
    <s v="98ccf6b0-792b-4200-9e73-942544daebaf"/>
    <s v="failed"/>
    <x v="0"/>
    <s v="2023-02-23T01:08:36.926000+00:00"/>
    <n v="209"/>
    <n v="80"/>
    <n v="0.38277511961722488"/>
    <x v="400"/>
    <x v="2"/>
    <s v="58"/>
    <m/>
    <x v="18"/>
    <x v="18"/>
    <m/>
    <m/>
    <x v="0"/>
    <m/>
    <m/>
    <x v="137"/>
    <m/>
  </r>
  <r>
    <m/>
    <x v="0"/>
    <s v="98ccf6b0-792b-4200-9e73-942544daebaf"/>
    <s v="failed"/>
    <x v="0"/>
    <s v="2023-02-23T01:36:35.927000+00:00"/>
    <n v="209"/>
    <n v="87"/>
    <n v="0.41626794258373206"/>
    <x v="358"/>
    <x v="2"/>
    <s v="58"/>
    <m/>
    <x v="22"/>
    <x v="22"/>
    <m/>
    <m/>
    <x v="0"/>
    <m/>
    <m/>
    <x v="137"/>
    <m/>
  </r>
  <r>
    <m/>
    <x v="7"/>
    <s v="40310c45-215b-4349-8983-ac544fe237be"/>
    <s v="completed"/>
    <x v="3"/>
    <s v="2023-02-23T02:01:38.805000+00:00"/>
    <n v="120"/>
    <n v="120"/>
    <n v="1"/>
    <x v="4"/>
    <x v="2"/>
    <s v="10"/>
    <m/>
    <x v="2"/>
    <x v="2"/>
    <m/>
    <m/>
    <x v="0"/>
    <m/>
    <m/>
    <x v="137"/>
    <m/>
  </r>
  <r>
    <s v="31304feb-f4cf-4527-8bb3-c5a9dac25dbf"/>
    <x v="2"/>
    <s v="b97d7c51-7663-432d-a9fe-df70b09219fe"/>
    <s v="failed"/>
    <x v="28"/>
    <s v="2023-02-23T03:55:21.257000+00:00"/>
    <n v="154"/>
    <n v="120"/>
    <n v="0.77922077922077926"/>
    <x v="405"/>
    <x v="2"/>
    <s v="59"/>
    <s v="URL"/>
    <x v="10"/>
    <x v="10"/>
    <m/>
    <m/>
    <x v="0"/>
    <m/>
    <m/>
    <x v="137"/>
    <m/>
  </r>
  <r>
    <m/>
    <x v="0"/>
    <s v="98ccf6b0-792b-4200-9e73-942544daebaf"/>
    <s v="failed"/>
    <x v="28"/>
    <s v="2023-02-23T05:26:51.583000+00:00"/>
    <n v="209"/>
    <n v="141"/>
    <n v="0.67464114832535882"/>
    <x v="406"/>
    <x v="2"/>
    <s v="58"/>
    <m/>
    <x v="10"/>
    <x v="10"/>
    <m/>
    <m/>
    <x v="0"/>
    <m/>
    <m/>
    <x v="137"/>
    <m/>
  </r>
  <r>
    <m/>
    <x v="6"/>
    <s v="0c1c8012-2119-4f03-bc43-25a272fd8a93"/>
    <s v="completed"/>
    <x v="3"/>
    <s v="2023-02-23T07:05:44.272000+00:00"/>
    <n v="14"/>
    <n v="14"/>
    <n v="1"/>
    <x v="4"/>
    <x v="5"/>
    <s v="51"/>
    <m/>
    <x v="2"/>
    <x v="2"/>
    <m/>
    <m/>
    <x v="0"/>
    <m/>
    <m/>
    <x v="137"/>
    <m/>
  </r>
  <r>
    <s v="22455bd0-d7b3-402e-8cdc-34e3c23f58bc"/>
    <x v="6"/>
    <s v="7fb68de2-43a2-4904-8ed3-15de2a631ba5"/>
    <s v="failed"/>
    <x v="0"/>
    <s v="2023-02-23T07:51:20.284000+00:00"/>
    <n v="12"/>
    <n v="1"/>
    <n v="8.3333333333333329E-2"/>
    <x v="124"/>
    <x v="5"/>
    <s v="53"/>
    <s v="URL"/>
    <x v="22"/>
    <x v="22"/>
    <m/>
    <m/>
    <x v="0"/>
    <m/>
    <m/>
    <x v="137"/>
    <m/>
  </r>
  <r>
    <s v="b82424d8-d42d-4362-a4db-e4dd29b07b0c"/>
    <x v="6"/>
    <s v="7fb68de2-43a2-4904-8ed3-15de2a631ba5"/>
    <s v="failed"/>
    <x v="25"/>
    <s v="2023-02-23T07:54:38.285000+00:00"/>
    <n v="12"/>
    <n v="3"/>
    <n v="0.25"/>
    <x v="407"/>
    <x v="5"/>
    <s v="53"/>
    <s v="URL"/>
    <x v="5"/>
    <x v="5"/>
    <m/>
    <m/>
    <x v="0"/>
    <m/>
    <m/>
    <x v="137"/>
    <m/>
  </r>
  <r>
    <s v="56d08952-6157-4499-b0a6-1f6aa96cff22"/>
    <x v="6"/>
    <s v="5743389b-a9f4-4a5b-a42b-3636f18d3529"/>
    <s v="failed"/>
    <x v="22"/>
    <s v="2023-02-23T08:03:03.508000+00:00"/>
    <n v="9"/>
    <n v="1"/>
    <n v="0.1111111111111111"/>
    <x v="124"/>
    <x v="5"/>
    <s v="53"/>
    <s v="URL"/>
    <x v="22"/>
    <x v="22"/>
    <m/>
    <m/>
    <x v="0"/>
    <m/>
    <m/>
    <x v="137"/>
    <m/>
  </r>
  <r>
    <m/>
    <x v="9"/>
    <s v="d7c56960-fef7-4cea-b1fa-3ddffbf61546"/>
    <s v="completed"/>
    <x v="3"/>
    <s v="2023-02-23T08:32:29.478000+00:00"/>
    <n v="81"/>
    <n v="81"/>
    <n v="1"/>
    <x v="4"/>
    <x v="13"/>
    <s v="22"/>
    <m/>
    <x v="2"/>
    <x v="2"/>
    <m/>
    <m/>
    <x v="0"/>
    <m/>
    <m/>
    <x v="137"/>
    <m/>
  </r>
  <r>
    <m/>
    <x v="6"/>
    <s v="b531b787-4c29-44c1-9ffd-928795b62197"/>
    <s v="completed"/>
    <x v="3"/>
    <s v="2023-02-23T08:32:58.633000+00:00"/>
    <n v="10"/>
    <n v="10"/>
    <n v="1"/>
    <x v="4"/>
    <x v="5"/>
    <s v="54"/>
    <m/>
    <x v="2"/>
    <x v="2"/>
    <m/>
    <m/>
    <x v="0"/>
    <m/>
    <m/>
    <x v="137"/>
    <m/>
  </r>
  <r>
    <m/>
    <x v="0"/>
    <s v="77f82008-c8fb-4eb4-87c7-eb1505bc6e78"/>
    <s v="stopped"/>
    <x v="3"/>
    <s v="2023-02-23T10:11:23.214000+00:00"/>
    <n v="7"/>
    <n v="0"/>
    <n v="0"/>
    <x v="4"/>
    <x v="0"/>
    <n v="59"/>
    <m/>
    <x v="2"/>
    <x v="2"/>
    <m/>
    <m/>
    <x v="0"/>
    <m/>
    <m/>
    <x v="137"/>
    <m/>
  </r>
  <r>
    <m/>
    <x v="0"/>
    <s v="14f7ada6-a3f9-41cd-9e0d-e21e91dd27aa"/>
    <s v="completed"/>
    <x v="3"/>
    <s v="2023-02-23T10:24:23.533000+00:00"/>
    <n v="4"/>
    <n v="4"/>
    <n v="1"/>
    <x v="4"/>
    <x v="0"/>
    <n v="59"/>
    <m/>
    <x v="2"/>
    <x v="2"/>
    <m/>
    <m/>
    <x v="0"/>
    <m/>
    <m/>
    <x v="137"/>
    <m/>
  </r>
  <r>
    <m/>
    <x v="0"/>
    <s v="d3fcf45f-3305-4dc9-be79-00394ffdfb50"/>
    <s v="completed"/>
    <x v="3"/>
    <s v="2023-02-23T11:45:16.177000+00:00"/>
    <n v="7"/>
    <n v="7"/>
    <n v="1"/>
    <x v="4"/>
    <x v="0"/>
    <n v="58"/>
    <m/>
    <x v="2"/>
    <x v="2"/>
    <m/>
    <m/>
    <x v="0"/>
    <m/>
    <m/>
    <x v="137"/>
    <m/>
  </r>
  <r>
    <m/>
    <x v="2"/>
    <s v="8df87736-506e-462a-97f5-cba7d99e07ed"/>
    <s v="failed"/>
    <x v="20"/>
    <s v="2023-02-23T15:32:50.137000+00:00"/>
    <n v="36"/>
    <n v="0"/>
    <n v="0"/>
    <x v="408"/>
    <x v="2"/>
    <n v="59"/>
    <m/>
    <x v="19"/>
    <x v="19"/>
    <m/>
    <m/>
    <x v="10"/>
    <m/>
    <m/>
    <x v="137"/>
    <m/>
  </r>
  <r>
    <m/>
    <x v="5"/>
    <s v="993a4aef-eba9-47a0-8cab-f040a17037d5"/>
    <s v="completed"/>
    <x v="0"/>
    <s v="2023-02-23T18:24:29.673000+00:00"/>
    <n v="37"/>
    <n v="24"/>
    <n v="0.64864864864864868"/>
    <x v="397"/>
    <x v="5"/>
    <n v="63"/>
    <m/>
    <x v="1"/>
    <x v="1"/>
    <m/>
    <m/>
    <x v="0"/>
    <m/>
    <m/>
    <x v="137"/>
    <m/>
  </r>
  <r>
    <m/>
    <x v="5"/>
    <s v="993a4aef-eba9-47a0-8cab-f040a17037d5"/>
    <s v="completed"/>
    <x v="0"/>
    <s v="2023-02-23T18:48:01.899000+00:00"/>
    <n v="37"/>
    <n v="31"/>
    <n v="0.83783783783783783"/>
    <x v="320"/>
    <x v="5"/>
    <n v="63"/>
    <m/>
    <x v="3"/>
    <x v="3"/>
    <m/>
    <m/>
    <x v="0"/>
    <m/>
    <m/>
    <x v="137"/>
    <m/>
  </r>
  <r>
    <m/>
    <x v="2"/>
    <s v="0a320ed0-e574-4014-8982-e94825311166"/>
    <s v="completed"/>
    <x v="3"/>
    <s v="2023-02-23T18:53:57.250000+00:00"/>
    <n v="36"/>
    <n v="36"/>
    <n v="1"/>
    <x v="4"/>
    <x v="2"/>
    <n v="59"/>
    <m/>
    <x v="2"/>
    <x v="2"/>
    <m/>
    <m/>
    <x v="0"/>
    <m/>
    <m/>
    <x v="137"/>
    <m/>
  </r>
  <r>
    <m/>
    <x v="5"/>
    <s v="993a4aef-eba9-47a0-8cab-f040a17037d5"/>
    <s v="completed"/>
    <x v="0"/>
    <s v="2023-02-23T18:56:07.293000+00:00"/>
    <n v="37"/>
    <n v="33"/>
    <n v="0.89189189189189189"/>
    <x v="331"/>
    <x v="5"/>
    <n v="63"/>
    <m/>
    <x v="18"/>
    <x v="18"/>
    <m/>
    <m/>
    <x v="0"/>
    <m/>
    <m/>
    <x v="137"/>
    <m/>
  </r>
  <r>
    <m/>
    <x v="5"/>
    <s v="993a4aef-eba9-47a0-8cab-f040a17037d5"/>
    <s v="completed"/>
    <x v="3"/>
    <s v="2023-02-23T19:07:26.245000+00:00"/>
    <n v="37"/>
    <n v="34"/>
    <n v="0.91891891891891897"/>
    <x v="4"/>
    <x v="5"/>
    <n v="63"/>
    <m/>
    <x v="2"/>
    <x v="2"/>
    <m/>
    <m/>
    <x v="0"/>
    <m/>
    <m/>
    <x v="137"/>
    <m/>
  </r>
  <r>
    <s v="af9a0145-3e15-4c2a-863d-53f867e48509"/>
    <x v="0"/>
    <s v="bdcaed9d-088d-44ae-b907-a9afb132dac5"/>
    <s v="completed"/>
    <x v="0"/>
    <s v="2023-02-23T19:28:49.630000+00:00"/>
    <n v="71"/>
    <n v="40"/>
    <n v="0.56338028169014087"/>
    <x v="409"/>
    <x v="2"/>
    <n v="58"/>
    <s v="URL"/>
    <x v="11"/>
    <x v="11"/>
    <m/>
    <m/>
    <x v="18"/>
    <m/>
    <m/>
    <x v="137"/>
    <m/>
  </r>
  <r>
    <s v="024e8507-e1f0-4f16-b690-436cf3b1cac7"/>
    <x v="6"/>
    <s v="4223a83e-1f53-4ef1-87c0-19af456a3db9"/>
    <s v="completed"/>
    <x v="0"/>
    <s v="2023-02-23T19:39:51.999000+00:00"/>
    <n v="22"/>
    <n v="18"/>
    <n v="0.81818181818181823"/>
    <x v="274"/>
    <x v="5"/>
    <n v="51"/>
    <s v="URL"/>
    <x v="3"/>
    <x v="3"/>
    <m/>
    <m/>
    <x v="4"/>
    <m/>
    <m/>
    <x v="137"/>
    <m/>
  </r>
  <r>
    <m/>
    <x v="6"/>
    <s v="4223a83e-1f53-4ef1-87c0-19af456a3db9"/>
    <s v="completed"/>
    <x v="3"/>
    <s v="2023-02-23T19:44:27.905000+00:00"/>
    <n v="22"/>
    <n v="21"/>
    <n v="0.95454545454545459"/>
    <x v="4"/>
    <x v="5"/>
    <n v="51"/>
    <m/>
    <x v="2"/>
    <x v="2"/>
    <m/>
    <m/>
    <x v="0"/>
    <m/>
    <m/>
    <x v="137"/>
    <m/>
  </r>
  <r>
    <s v="6d2c8535-34ac-4b56-9f9a-75a85fe88ba4"/>
    <x v="2"/>
    <s v="93a2b264-f73b-4219-b107-a42359bb12fe"/>
    <s v="completed"/>
    <x v="0"/>
    <s v="2023-02-23T21:54:54.869000+00:00"/>
    <n v="153"/>
    <n v="41"/>
    <n v="0.26797385620915032"/>
    <x v="410"/>
    <x v="0"/>
    <n v="59"/>
    <s v="URL"/>
    <x v="1"/>
    <x v="1"/>
    <m/>
    <m/>
    <x v="1"/>
    <m/>
    <m/>
    <x v="137"/>
    <m/>
  </r>
  <r>
    <m/>
    <x v="0"/>
    <s v="bdcaed9d-088d-44ae-b907-a9afb132dac5"/>
    <s v="completed"/>
    <x v="3"/>
    <s v="2023-02-23T22:50:25.984000+00:00"/>
    <n v="71"/>
    <n v="70"/>
    <n v="0.9859154929577465"/>
    <x v="4"/>
    <x v="2"/>
    <n v="58"/>
    <m/>
    <x v="2"/>
    <x v="2"/>
    <m/>
    <m/>
    <x v="0"/>
    <m/>
    <m/>
    <x v="137"/>
    <m/>
  </r>
  <r>
    <m/>
    <x v="7"/>
    <s v="0b976405-ac8a-4258-a2b4-be51dbb59682"/>
    <s v="completed"/>
    <x v="3"/>
    <s v="2023-02-24T02:01:19.671000+00:00"/>
    <n v="120"/>
    <n v="120"/>
    <n v="1"/>
    <x v="4"/>
    <x v="0"/>
    <n v="10"/>
    <m/>
    <x v="2"/>
    <x v="2"/>
    <m/>
    <m/>
    <x v="0"/>
    <m/>
    <m/>
    <x v="138"/>
    <m/>
  </r>
  <r>
    <m/>
    <x v="2"/>
    <s v="93a2b264-f73b-4219-b107-a42359bb12fe"/>
    <s v="completed"/>
    <x v="3"/>
    <s v="2023-02-24T05:34:27.679000+00:00"/>
    <n v="153"/>
    <n v="152"/>
    <n v="0.99346405228758172"/>
    <x v="4"/>
    <x v="0"/>
    <n v="59"/>
    <m/>
    <x v="2"/>
    <x v="2"/>
    <m/>
    <m/>
    <x v="0"/>
    <m/>
    <m/>
    <x v="138"/>
    <m/>
  </r>
  <r>
    <m/>
    <x v="9"/>
    <s v="53cc7505-0f4e-4ef3-a90f-69c5b3045308"/>
    <s v="completed"/>
    <x v="3"/>
    <s v="2023-02-24T08:49:02.160000+00:00"/>
    <n v="82"/>
    <n v="82"/>
    <n v="1"/>
    <x v="4"/>
    <x v="14"/>
    <n v="22"/>
    <m/>
    <x v="2"/>
    <x v="2"/>
    <m/>
    <m/>
    <x v="0"/>
    <m/>
    <m/>
    <x v="138"/>
    <m/>
  </r>
  <r>
    <m/>
    <x v="5"/>
    <s v="d076d331-5adf-482a-ba3a-893ba1e75dff"/>
    <s v="stopped"/>
    <x v="3"/>
    <s v="2023-02-24T16:22:07.219000+00:00"/>
    <n v="43"/>
    <n v="0"/>
    <n v="0"/>
    <x v="4"/>
    <x v="5"/>
    <n v="64"/>
    <m/>
    <x v="2"/>
    <x v="2"/>
    <m/>
    <m/>
    <x v="0"/>
    <m/>
    <m/>
    <x v="138"/>
    <m/>
  </r>
  <r>
    <m/>
    <x v="5"/>
    <s v="546ebacf-bb49-4b0c-9870-5d2b06fc1434"/>
    <s v="failed"/>
    <x v="0"/>
    <s v="2023-02-24T16:25:11.737000+00:00"/>
    <n v="42"/>
    <n v="0"/>
    <n v="0"/>
    <x v="291"/>
    <x v="5"/>
    <n v="64"/>
    <m/>
    <x v="1"/>
    <x v="1"/>
    <m/>
    <m/>
    <x v="0"/>
    <m/>
    <m/>
    <x v="138"/>
    <m/>
  </r>
  <r>
    <m/>
    <x v="5"/>
    <s v="546ebacf-bb49-4b0c-9870-5d2b06fc1434"/>
    <s v="failed"/>
    <x v="19"/>
    <s v="2023-02-24T16:37:06.375000+00:00"/>
    <n v="42"/>
    <n v="4"/>
    <n v="9.5238095238095233E-2"/>
    <x v="302"/>
    <x v="5"/>
    <n v="64"/>
    <m/>
    <x v="16"/>
    <x v="16"/>
    <m/>
    <m/>
    <x v="0"/>
    <m/>
    <m/>
    <x v="138"/>
    <m/>
  </r>
  <r>
    <s v="505062a7-15a1-4a2e-b802-2418a5c52083"/>
    <x v="5"/>
    <s v="d83562f4-7b4a-4337-9226-e148b336a6a1"/>
    <s v="failed"/>
    <x v="0"/>
    <s v="2023-02-24T18:06:56.997000+00:00"/>
    <n v="39"/>
    <n v="18"/>
    <n v="0.46153846153846162"/>
    <x v="319"/>
    <x v="5"/>
    <n v="64"/>
    <s v="URL"/>
    <x v="16"/>
    <x v="16"/>
    <s v="Nog niet geupload"/>
    <m/>
    <x v="0"/>
    <m/>
    <m/>
    <x v="138"/>
    <m/>
  </r>
  <r>
    <s v="a99aa739-adf9-4d0a-a985-bbb320bf1512"/>
    <x v="5"/>
    <s v="d83562f4-7b4a-4337-9226-e148b336a6a1"/>
    <s v="failed"/>
    <x v="0"/>
    <s v="2023-02-24T19:14:29.296000+00:00"/>
    <n v="39"/>
    <n v="37"/>
    <n v="0.94871794871794868"/>
    <x v="411"/>
    <x v="5"/>
    <n v="64"/>
    <s v="URL"/>
    <x v="18"/>
    <x v="18"/>
    <s v="Nog niet geupload"/>
    <m/>
    <x v="0"/>
    <m/>
    <m/>
    <x v="138"/>
    <m/>
  </r>
  <r>
    <s v="cc2d4757-3ef8-43d6-aa0e-cb14dc6e6e46"/>
    <x v="5"/>
    <s v="d83562f4-7b4a-4337-9226-e148b336a6a1"/>
    <s v="failed"/>
    <x v="20"/>
    <s v="2023-02-24T19:15:34.173000+00:00"/>
    <n v="39"/>
    <n v="38"/>
    <n v="0.97435897435897434"/>
    <x v="287"/>
    <x v="5"/>
    <n v="64"/>
    <s v="URL"/>
    <x v="6"/>
    <x v="6"/>
    <s v="Nog niet geupload"/>
    <m/>
    <x v="0"/>
    <m/>
    <m/>
    <x v="138"/>
    <m/>
  </r>
  <r>
    <s v="eb7193a3-7824-40ee-97c6-e130765b78fe"/>
    <x v="6"/>
    <s v="2421b6a6-adf8-4944-86d2-c52bb0ffc607"/>
    <s v="failed"/>
    <x v="41"/>
    <s v="2023-02-24T20:19:24.003000+00:00"/>
    <n v="22"/>
    <n v="7"/>
    <n v="0.31818181818181818"/>
    <x v="375"/>
    <x v="5"/>
    <n v="51"/>
    <s v="URL"/>
    <x v="5"/>
    <x v="5"/>
    <s v="Het zou kunnen dat het implement ergens tegen komt"/>
    <m/>
    <x v="12"/>
    <m/>
    <m/>
    <x v="138"/>
    <m/>
  </r>
  <r>
    <m/>
    <x v="7"/>
    <s v="07c3a6c6-2eac-4b32-b57e-18acd877fc3c"/>
    <s v="completed"/>
    <x v="3"/>
    <s v="2023-02-25T02:08:57.540000+00:00"/>
    <n v="120"/>
    <n v="120"/>
    <n v="1"/>
    <x v="4"/>
    <x v="2"/>
    <n v="10"/>
    <m/>
    <x v="2"/>
    <x v="2"/>
    <m/>
    <m/>
    <x v="0"/>
    <m/>
    <m/>
    <x v="139"/>
    <m/>
  </r>
  <r>
    <m/>
    <x v="9"/>
    <s v="a7238165-30ff-4fea-a502-9bd874ef84cf"/>
    <s v="completed"/>
    <x v="3"/>
    <s v="2023-02-25T09:04:25.739000+00:00"/>
    <n v="81"/>
    <n v="81"/>
    <n v="1"/>
    <x v="4"/>
    <x v="13"/>
    <n v="22"/>
    <m/>
    <x v="2"/>
    <x v="2"/>
    <m/>
    <m/>
    <x v="0"/>
    <m/>
    <m/>
    <x v="139"/>
    <m/>
  </r>
  <r>
    <m/>
    <x v="7"/>
    <s v="195a2768-8896-462a-96c3-560ed252f27e"/>
    <s v="completed"/>
    <x v="3"/>
    <s v="2023-02-26T02:11:22.387000+00:00"/>
    <n v="120"/>
    <n v="120"/>
    <n v="1"/>
    <x v="4"/>
    <x v="0"/>
    <n v="10"/>
    <m/>
    <x v="2"/>
    <x v="2"/>
    <m/>
    <m/>
    <x v="0"/>
    <m/>
    <m/>
    <x v="140"/>
    <m/>
  </r>
  <r>
    <s v="736ba98e-301e-4693-a27c-9a3398dca639"/>
    <x v="6"/>
    <s v="31333b9b-b98a-4496-99ae-8baa41d8811c"/>
    <s v="completed"/>
    <x v="0"/>
    <s v="2023-02-26T13:54:13.888000+00:00"/>
    <n v="21"/>
    <n v="4"/>
    <n v="0.19047619047619049"/>
    <x v="368"/>
    <x v="5"/>
    <n v="51"/>
    <s v="URL"/>
    <x v="3"/>
    <x v="3"/>
    <m/>
    <m/>
    <x v="4"/>
    <m/>
    <m/>
    <x v="140"/>
    <m/>
  </r>
  <r>
    <m/>
    <x v="6"/>
    <s v="31333b9b-b98a-4496-99ae-8baa41d8811c"/>
    <s v="completed"/>
    <x v="3"/>
    <s v="2023-02-26T14:29:32.160000+00:00"/>
    <n v="21"/>
    <n v="20"/>
    <n v="0.95238095238095233"/>
    <x v="4"/>
    <x v="5"/>
    <n v="51"/>
    <m/>
    <x v="2"/>
    <x v="2"/>
    <m/>
    <m/>
    <x v="0"/>
    <m/>
    <m/>
    <x v="140"/>
    <m/>
  </r>
  <r>
    <s v="05499f08-273d-43fe-b672-6abc25d96e7a"/>
    <x v="6"/>
    <s v="da8cde44-6e00-4ecf-93cf-175484256622"/>
    <s v="failed"/>
    <x v="25"/>
    <s v="2023-02-26T19:42:28.349000+00:00"/>
    <n v="23"/>
    <n v="2"/>
    <n v="8.6956521739130432E-2"/>
    <x v="412"/>
    <x v="5"/>
    <n v="51"/>
    <s v="URL"/>
    <x v="5"/>
    <x v="5"/>
    <m/>
    <m/>
    <x v="12"/>
    <m/>
    <m/>
    <x v="140"/>
    <m/>
  </r>
  <r>
    <m/>
    <x v="7"/>
    <s v="14a5f2a8-b8d7-4174-92d0-a32ed3d6307a"/>
    <s v="completed"/>
    <x v="3"/>
    <s v="2023-02-27T02:35:42.597000+00:00"/>
    <n v="120"/>
    <n v="120"/>
    <n v="1"/>
    <x v="4"/>
    <x v="2"/>
    <n v="10"/>
    <m/>
    <x v="2"/>
    <x v="2"/>
    <m/>
    <m/>
    <x v="0"/>
    <m/>
    <m/>
    <x v="141"/>
    <m/>
  </r>
  <r>
    <s v="dab45ece-6230-4774-a75e-49cd2f4157b1"/>
    <x v="0"/>
    <s v="ce26a5e6-b213-4985-980a-7d508a2fe2c8"/>
    <s v="completed"/>
    <x v="0"/>
    <s v="2023-02-27T16:11:16.574000+00:00"/>
    <n v="223"/>
    <n v="6"/>
    <n v="2.6905829596412557E-2"/>
    <x v="364"/>
    <x v="0"/>
    <s v="58"/>
    <s v="URL"/>
    <x v="3"/>
    <x v="3"/>
    <s v="Nog niet geupload"/>
    <m/>
    <x v="0"/>
    <m/>
    <m/>
    <x v="141"/>
    <m/>
  </r>
  <r>
    <s v="3403e9e6-fa6e-4bf0-997b-2c5677eaeb11"/>
    <x v="6"/>
    <s v="7b85a015-a0b8-4721-b699-4743266c03b2"/>
    <s v="completed"/>
    <x v="0"/>
    <s v="2023-02-27T20:15:53.696000+00:00"/>
    <n v="22"/>
    <n v="19"/>
    <n v="0.86363636363636365"/>
    <x v="412"/>
    <x v="5"/>
    <s v="51"/>
    <s v="URL"/>
    <x v="1"/>
    <x v="1"/>
    <m/>
    <m/>
    <x v="3"/>
    <m/>
    <m/>
    <x v="141"/>
    <m/>
  </r>
  <r>
    <m/>
    <x v="6"/>
    <s v="7b85a015-a0b8-4721-b699-4743266c03b2"/>
    <s v="completed"/>
    <x v="3"/>
    <s v="2023-02-27T20:19:27.477000+00:00"/>
    <n v="22"/>
    <n v="21"/>
    <n v="0.95454545454545459"/>
    <x v="4"/>
    <x v="5"/>
    <s v="51"/>
    <m/>
    <x v="2"/>
    <x v="2"/>
    <m/>
    <m/>
    <x v="0"/>
    <m/>
    <m/>
    <x v="141"/>
    <m/>
  </r>
  <r>
    <s v="cf47a949-1f71-4e92-a4f2-27355a7b9935"/>
    <x v="7"/>
    <s v="1727376f-3d25-4eb4-8714-9dddacebd2de"/>
    <s v="failed"/>
    <x v="31"/>
    <s v="2023-02-27T20:35:02.351000+00:00"/>
    <n v="120"/>
    <n v="39"/>
    <n v="0.32500000000000001"/>
    <x v="413"/>
    <x v="0"/>
    <s v="10"/>
    <s v="URL"/>
    <x v="19"/>
    <x v="19"/>
    <m/>
    <m/>
    <x v="10"/>
    <m/>
    <m/>
    <x v="141"/>
    <m/>
  </r>
  <r>
    <s v="7bc0d8de-30b1-4450-a454-75d5426552a8"/>
    <x v="0"/>
    <s v="ce26a5e6-b213-4985-980a-7d508a2fe2c8"/>
    <s v="completed"/>
    <x v="0"/>
    <s v="2023-02-27T21:57:40.399000+00:00"/>
    <n v="223"/>
    <n v="89"/>
    <n v="0.3991031390134529"/>
    <x v="414"/>
    <x v="0"/>
    <s v="58"/>
    <s v="URL"/>
    <x v="18"/>
    <x v="18"/>
    <s v="Nog niet geupload"/>
    <m/>
    <x v="0"/>
    <m/>
    <m/>
    <x v="141"/>
    <m/>
  </r>
  <r>
    <s v="f57ae01b-e692-43df-b585-10e2bcec5c74"/>
    <x v="2"/>
    <s v="2986af2a-1ec9-4266-bd22-6bdd01a467aa"/>
    <s v="completed"/>
    <x v="0"/>
    <s v="2023-02-27T23:08:39.760000+00:00"/>
    <n v="154"/>
    <n v="110"/>
    <n v="0.7142857142857143"/>
    <x v="410"/>
    <x v="0"/>
    <s v="59"/>
    <s v="URL"/>
    <x v="1"/>
    <x v="1"/>
    <m/>
    <m/>
    <x v="1"/>
    <m/>
    <m/>
    <x v="141"/>
    <m/>
  </r>
  <r>
    <m/>
    <x v="2"/>
    <s v="2986af2a-1ec9-4266-bd22-6bdd01a467aa"/>
    <s v="completed"/>
    <x v="3"/>
    <s v="2023-02-28T02:02:47.942000+00:00"/>
    <n v="154"/>
    <n v="153"/>
    <n v="0.99350649350649356"/>
    <x v="4"/>
    <x v="0"/>
    <s v="59"/>
    <m/>
    <x v="2"/>
    <x v="2"/>
    <m/>
    <m/>
    <x v="0"/>
    <m/>
    <m/>
    <x v="142"/>
    <m/>
  </r>
  <r>
    <m/>
    <x v="0"/>
    <s v="ce26a5e6-b213-4985-980a-7d508a2fe2c8"/>
    <s v="completed"/>
    <x v="3"/>
    <s v="2023-02-28T07:09:00.846000+00:00"/>
    <n v="223"/>
    <n v="221"/>
    <n v="0.99103139013452912"/>
    <x v="4"/>
    <x v="0"/>
    <s v="58"/>
    <m/>
    <x v="2"/>
    <x v="2"/>
    <m/>
    <m/>
    <x v="0"/>
    <m/>
    <m/>
    <x v="142"/>
    <m/>
  </r>
  <r>
    <m/>
    <x v="9"/>
    <s v="87b6d319-5c7f-4db0-b86a-cbdd2f73c0ce"/>
    <s v="completed"/>
    <x v="3"/>
    <s v="2023-02-28T08:36:20.977000+00:00"/>
    <n v="82"/>
    <n v="82"/>
    <n v="1"/>
    <x v="4"/>
    <x v="14"/>
    <s v="22"/>
    <m/>
    <x v="2"/>
    <x v="2"/>
    <m/>
    <m/>
    <x v="0"/>
    <m/>
    <m/>
    <x v="142"/>
    <m/>
  </r>
  <r>
    <s v="eb3be592-31c6-4224-92d1-6d1afc315a84"/>
    <x v="5"/>
    <s v="b957f452-b373-47ef-88ef-02094217ba2d"/>
    <s v="completed"/>
    <x v="0"/>
    <s v="2023-02-28T16:33:10.232000+00:00"/>
    <n v="37"/>
    <n v="1"/>
    <n v="2.7027027027027029E-2"/>
    <x v="291"/>
    <x v="5"/>
    <s v="63"/>
    <s v="URL"/>
    <x v="1"/>
    <x v="1"/>
    <m/>
    <m/>
    <x v="0"/>
    <m/>
    <m/>
    <x v="142"/>
    <m/>
  </r>
  <r>
    <s v="935fd093-a12f-4a37-b6b1-4ca3942b565c"/>
    <x v="5"/>
    <s v="b957f452-b373-47ef-88ef-02094217ba2d"/>
    <s v="completed"/>
    <x v="0"/>
    <s v="2023-02-28T17:51:17.153000+00:00"/>
    <n v="37"/>
    <n v="23"/>
    <n v="0.6216216216216216"/>
    <x v="319"/>
    <x v="5"/>
    <s v="63"/>
    <s v="URL"/>
    <x v="1"/>
    <x v="1"/>
    <m/>
    <m/>
    <x v="0"/>
    <m/>
    <m/>
    <x v="142"/>
    <m/>
  </r>
  <r>
    <s v="a62bc814-cc52-4f58-8109-82c2bf5a7b6b"/>
    <x v="5"/>
    <s v="b957f452-b373-47ef-88ef-02094217ba2d"/>
    <s v="completed"/>
    <x v="0"/>
    <s v="2023-02-28T18:24:49.369000+00:00"/>
    <n v="37"/>
    <n v="33"/>
    <n v="0.89189189189189189"/>
    <x v="331"/>
    <x v="5"/>
    <s v="63"/>
    <s v="URL"/>
    <x v="18"/>
    <x v="18"/>
    <m/>
    <m/>
    <x v="0"/>
    <m/>
    <m/>
    <x v="142"/>
    <m/>
  </r>
  <r>
    <m/>
    <x v="5"/>
    <s v="b957f452-b373-47ef-88ef-02094217ba2d"/>
    <s v="completed"/>
    <x v="3"/>
    <s v="2023-02-28T18:35:30.097000+00:00"/>
    <n v="37"/>
    <n v="34"/>
    <n v="0.91891891891891897"/>
    <x v="4"/>
    <x v="5"/>
    <s v="63"/>
    <m/>
    <x v="2"/>
    <x v="2"/>
    <m/>
    <m/>
    <x v="0"/>
    <m/>
    <m/>
    <x v="142"/>
    <m/>
  </r>
  <r>
    <m/>
    <x v="6"/>
    <s v="45506cff-780f-46d5-8846-0d82fcc08d37"/>
    <s v="completed"/>
    <x v="3"/>
    <s v="2023-02-28T19:49:58.897000+00:00"/>
    <n v="11"/>
    <n v="11"/>
    <n v="1"/>
    <x v="4"/>
    <x v="5"/>
    <s v="54"/>
    <m/>
    <x v="2"/>
    <x v="2"/>
    <m/>
    <m/>
    <x v="0"/>
    <m/>
    <m/>
    <x v="142"/>
    <m/>
  </r>
  <r>
    <m/>
    <x v="2"/>
    <s v="c0d3f22f-67e8-4617-854d-9f9ae3cbb385"/>
    <s v="completed"/>
    <x v="0"/>
    <s v="2023-03-01T00:52:24.201000+00:00"/>
    <n v="154"/>
    <n v="122"/>
    <n v="0.79220779220779225"/>
    <x v="358"/>
    <x v="2"/>
    <s v="59"/>
    <m/>
    <x v="22"/>
    <x v="22"/>
    <m/>
    <m/>
    <x v="0"/>
    <m/>
    <m/>
    <x v="143"/>
    <m/>
  </r>
  <r>
    <m/>
    <x v="7"/>
    <s v="c28cdadb-c388-43fa-a18d-7bec052e940f"/>
    <s v="completed"/>
    <x v="3"/>
    <s v="2023-03-01T01:58:27.345000+00:00"/>
    <n v="120"/>
    <n v="120"/>
    <n v="1"/>
    <x v="4"/>
    <x v="0"/>
    <s v="10"/>
    <m/>
    <x v="2"/>
    <x v="2"/>
    <m/>
    <m/>
    <x v="0"/>
    <m/>
    <m/>
    <x v="143"/>
    <m/>
  </r>
  <r>
    <m/>
    <x v="2"/>
    <s v="c0d3f22f-67e8-4617-854d-9f9ae3cbb385"/>
    <s v="completed"/>
    <x v="3"/>
    <s v="2023-03-01T03:01:38.956000+00:00"/>
    <n v="154"/>
    <n v="153"/>
    <n v="0.99350649350649356"/>
    <x v="4"/>
    <x v="2"/>
    <s v="59"/>
    <m/>
    <x v="2"/>
    <x v="2"/>
    <m/>
    <m/>
    <x v="0"/>
    <m/>
    <m/>
    <x v="143"/>
    <m/>
  </r>
  <r>
    <s v="be9e1e36-5f87-49f4-bd08-cc095c0c47b1"/>
    <x v="6"/>
    <s v="ce3d6c5d-08f7-4d4e-a0bf-391060458454"/>
    <s v="completed"/>
    <x v="0"/>
    <s v="2023-03-01T06:32:00.888000+00:00"/>
    <n v="9"/>
    <n v="6"/>
    <n v="0.66666666666666663"/>
    <x v="415"/>
    <x v="5"/>
    <s v="54"/>
    <s v="URL"/>
    <x v="1"/>
    <x v="1"/>
    <m/>
    <m/>
    <x v="0"/>
    <m/>
    <m/>
    <x v="143"/>
    <m/>
  </r>
  <r>
    <m/>
    <x v="6"/>
    <s v="ce3d6c5d-08f7-4d4e-a0bf-391060458454"/>
    <s v="completed"/>
    <x v="3"/>
    <s v="2023-03-01T06:36:29.900000+00:00"/>
    <n v="9"/>
    <n v="8"/>
    <n v="0.88888888888888884"/>
    <x v="4"/>
    <x v="5"/>
    <s v="54"/>
    <m/>
    <x v="2"/>
    <x v="2"/>
    <m/>
    <m/>
    <x v="0"/>
    <m/>
    <m/>
    <x v="143"/>
    <m/>
  </r>
  <r>
    <m/>
    <x v="0"/>
    <s v="c38c8bd0-15da-4a3d-93fd-8508843babf7"/>
    <s v="completed"/>
    <x v="0"/>
    <s v="2023-03-01T07:17:29.642000+00:00"/>
    <n v="209"/>
    <n v="120"/>
    <n v="0.57416267942583732"/>
    <x v="358"/>
    <x v="2"/>
    <s v="58"/>
    <m/>
    <x v="22"/>
    <x v="22"/>
    <m/>
    <m/>
    <x v="0"/>
    <m/>
    <m/>
    <x v="143"/>
    <m/>
  </r>
  <r>
    <m/>
    <x v="0"/>
    <s v="c38c8bd0-15da-4a3d-93fd-8508843babf7"/>
    <s v="completed"/>
    <x v="3"/>
    <s v="2023-03-01T07:17:29.642000+00:00"/>
    <n v="209"/>
    <n v="208"/>
    <n v="0.99521531100478466"/>
    <x v="4"/>
    <x v="2"/>
    <s v="58"/>
    <m/>
    <x v="2"/>
    <x v="2"/>
    <m/>
    <m/>
    <x v="0"/>
    <m/>
    <m/>
    <x v="143"/>
    <m/>
  </r>
  <r>
    <m/>
    <x v="9"/>
    <s v="31d54c4f-dc8e-4ba0-8acb-a600588d9df8"/>
    <s v="completed"/>
    <x v="3"/>
    <s v="2023-03-01T09:03:21.811000+00:00"/>
    <n v="81"/>
    <n v="81"/>
    <n v="1"/>
    <x v="4"/>
    <x v="13"/>
    <s v="22"/>
    <m/>
    <x v="2"/>
    <x v="2"/>
    <m/>
    <m/>
    <x v="0"/>
    <m/>
    <m/>
    <x v="143"/>
    <m/>
  </r>
  <r>
    <m/>
    <x v="1"/>
    <s v="5ed8a555-fcbf-4d2f-ad64-ecfa715f44cb"/>
    <s v="stopped"/>
    <x v="3"/>
    <s v="2023-03-01T14:55:16.181000+00:00"/>
    <n v="103"/>
    <n v="1"/>
    <n v="9.7087378640776691E-3"/>
    <x v="4"/>
    <x v="3"/>
    <s v="47"/>
    <m/>
    <x v="2"/>
    <x v="2"/>
    <m/>
    <m/>
    <x v="0"/>
    <m/>
    <m/>
    <x v="143"/>
    <m/>
  </r>
  <r>
    <m/>
    <x v="1"/>
    <s v="459bca5e-0f85-48af-9f24-d3ac13de8602"/>
    <s v="stopped"/>
    <x v="3"/>
    <s v="2023-03-01T14:58:09.016000+00:00"/>
    <n v="103"/>
    <n v="1"/>
    <n v="9.7087378640776691E-3"/>
    <x v="4"/>
    <x v="3"/>
    <s v="47"/>
    <m/>
    <x v="2"/>
    <x v="2"/>
    <m/>
    <m/>
    <x v="0"/>
    <m/>
    <m/>
    <x v="143"/>
    <m/>
  </r>
  <r>
    <m/>
    <x v="1"/>
    <s v="a18327fb-8c08-43be-b913-dcf731e82b73"/>
    <s v="stopped"/>
    <x v="3"/>
    <s v="2023-03-01T15:53:54.186000+00:00"/>
    <n v="103"/>
    <n v="1"/>
    <n v="9.7087378640776691E-3"/>
    <x v="4"/>
    <x v="3"/>
    <s v="47"/>
    <m/>
    <x v="2"/>
    <x v="2"/>
    <m/>
    <m/>
    <x v="0"/>
    <m/>
    <m/>
    <x v="143"/>
    <m/>
  </r>
  <r>
    <s v="5c87d2b6-6f21-43e2-84e1-30946431151d"/>
    <x v="0"/>
    <s v="a388defe-7c5c-4e92-883f-324e055684bd"/>
    <s v="completed"/>
    <x v="0"/>
    <s v="2023-03-01T16:48:43.222000+00:00"/>
    <n v="223"/>
    <n v="6"/>
    <n v="2.6905829596412557E-2"/>
    <x v="364"/>
    <x v="0"/>
    <s v="58"/>
    <s v="URL"/>
    <x v="3"/>
    <x v="3"/>
    <m/>
    <m/>
    <x v="0"/>
    <m/>
    <m/>
    <x v="143"/>
    <m/>
  </r>
  <r>
    <m/>
    <x v="7"/>
    <s v="075e4ceb-7cc4-44aa-a1c0-91430c2de203"/>
    <s v="failed"/>
    <x v="0"/>
    <s v="2023-03-01T18:01:12.533000+00:00"/>
    <n v="121"/>
    <n v="2"/>
    <n v="1.6528925619834999E-2"/>
    <x v="416"/>
    <x v="2"/>
    <n v="10"/>
    <m/>
    <x v="0"/>
    <x v="0"/>
    <m/>
    <m/>
    <x v="0"/>
    <m/>
    <m/>
    <x v="143"/>
    <m/>
  </r>
  <r>
    <m/>
    <x v="7"/>
    <s v="075e4ceb-7cc4-44aa-a1c0-91430c2de203"/>
    <s v="failed"/>
    <x v="29"/>
    <s v="2023-03-01T18:06:11.288000+00:00"/>
    <n v="121"/>
    <n v="4"/>
    <n v="3.3057851239669998E-2"/>
    <x v="417"/>
    <x v="2"/>
    <n v="10"/>
    <m/>
    <x v="0"/>
    <x v="0"/>
    <m/>
    <m/>
    <x v="0"/>
    <m/>
    <m/>
    <x v="143"/>
    <m/>
  </r>
  <r>
    <s v="571abe56-7ff3-46ec-a22d-34b16590ea02"/>
    <x v="0"/>
    <s v="a388defe-7c5c-4e92-883f-324e055684bd"/>
    <s v="completed"/>
    <x v="0"/>
    <s v="2023-03-01T18:48:30.101000+00:00"/>
    <n v="223"/>
    <n v="34"/>
    <n v="0.15246636771300448"/>
    <x v="418"/>
    <x v="0"/>
    <s v="58"/>
    <s v="URL"/>
    <x v="1"/>
    <x v="1"/>
    <m/>
    <m/>
    <x v="0"/>
    <m/>
    <m/>
    <x v="143"/>
    <m/>
  </r>
  <r>
    <s v="df27f2c4-5520-44bc-80d1-7393867c0fa6"/>
    <x v="3"/>
    <s v="ddb9a7ad-8896-4c0e-81f8-e3051e1b816e"/>
    <s v="failed"/>
    <x v="22"/>
    <s v="2023-03-01T19:30:31.599000+00:00"/>
    <n v="103"/>
    <n v="2"/>
    <n v="1.9417475728155338E-2"/>
    <x v="393"/>
    <x v="3"/>
    <s v="47"/>
    <s v="URL"/>
    <x v="6"/>
    <x v="6"/>
    <m/>
    <m/>
    <x v="0"/>
    <m/>
    <m/>
    <x v="143"/>
    <m/>
  </r>
  <r>
    <m/>
    <x v="6"/>
    <s v="62ecb88e-11eb-4994-a3ab-331daa591588"/>
    <s v="completed"/>
    <x v="3"/>
    <s v="2023-03-01T20:01:32.601000+00:00"/>
    <n v="11"/>
    <n v="11"/>
    <n v="1"/>
    <x v="4"/>
    <x v="5"/>
    <s v="54"/>
    <m/>
    <x v="2"/>
    <x v="2"/>
    <m/>
    <m/>
    <x v="0"/>
    <m/>
    <m/>
    <x v="143"/>
    <m/>
  </r>
  <r>
    <s v="d1583102-6aaa-4b72-9b9d-5b15cc7cba9f"/>
    <x v="0"/>
    <s v="a388defe-7c5c-4e92-883f-324e055684bd"/>
    <s v="completed"/>
    <x v="0"/>
    <s v="2023-03-01T23:39:45.382000+00:00"/>
    <n v="223"/>
    <n v="104"/>
    <n v="0.46636771300448432"/>
    <x v="419"/>
    <x v="0"/>
    <s v="58"/>
    <s v="URL"/>
    <x v="1"/>
    <x v="1"/>
    <m/>
    <m/>
    <x v="0"/>
    <m/>
    <m/>
    <x v="143"/>
    <m/>
  </r>
  <r>
    <s v="eeb15cca-f9d7-4d89-a6f5-ad938a41c5be"/>
    <x v="2"/>
    <s v="6a8d0de2-c0dc-4207-a673-e4f93503a82f"/>
    <s v="completed"/>
    <x v="0"/>
    <s v="2023-03-02T00:10:54.331000+00:00"/>
    <n v="154"/>
    <n v="110"/>
    <n v="0.7142857142857143"/>
    <x v="410"/>
    <x v="0"/>
    <s v="59"/>
    <s v="URL"/>
    <x v="1"/>
    <x v="1"/>
    <m/>
    <m/>
    <x v="0"/>
    <m/>
    <m/>
    <x v="144"/>
    <m/>
  </r>
  <r>
    <m/>
    <x v="2"/>
    <s v="6a8d0de2-c0dc-4207-a673-e4f93503a82f"/>
    <s v="completed"/>
    <x v="3"/>
    <s v="2023-03-02T03:05:52.137000+00:00"/>
    <n v="154"/>
    <n v="153"/>
    <n v="0.99350649350649356"/>
    <x v="4"/>
    <x v="0"/>
    <s v="59"/>
    <m/>
    <x v="2"/>
    <x v="2"/>
    <m/>
    <m/>
    <x v="0"/>
    <m/>
    <m/>
    <x v="144"/>
    <m/>
  </r>
  <r>
    <m/>
    <x v="0"/>
    <s v="a388defe-7c5c-4e92-883f-324e055684bd"/>
    <s v="completed"/>
    <x v="3"/>
    <s v="2023-03-02T07:47:33.174000+00:00"/>
    <n v="223"/>
    <n v="220"/>
    <n v="0.98654708520179368"/>
    <x v="4"/>
    <x v="0"/>
    <s v="58"/>
    <m/>
    <x v="2"/>
    <x v="2"/>
    <m/>
    <m/>
    <x v="0"/>
    <m/>
    <m/>
    <x v="144"/>
    <m/>
  </r>
  <r>
    <m/>
    <x v="9"/>
    <s v="ba282c5d-b504-4da6-9896-e7b182f05b65"/>
    <s v="completed"/>
    <x v="3"/>
    <s v="2023-03-02T09:02:17.772000+00:00"/>
    <n v="82"/>
    <n v="82"/>
    <n v="1"/>
    <x v="4"/>
    <x v="14"/>
    <s v="22"/>
    <m/>
    <x v="2"/>
    <x v="2"/>
    <m/>
    <m/>
    <x v="0"/>
    <m/>
    <m/>
    <x v="144"/>
    <m/>
  </r>
  <r>
    <m/>
    <x v="7"/>
    <s v="fdfcb029-a430-4556-b13b-d7a02333ed3d"/>
    <s v="paused"/>
    <x v="3"/>
    <s v="2023-03-02T12:10:29.023000+00:00"/>
    <n v="11"/>
    <n v="11"/>
    <n v="1"/>
    <x v="4"/>
    <x v="2"/>
    <s v="10"/>
    <m/>
    <x v="2"/>
    <x v="2"/>
    <m/>
    <m/>
    <x v="0"/>
    <m/>
    <m/>
    <x v="144"/>
    <m/>
  </r>
  <r>
    <s v="d364a5f1-f086-4cdf-8efe-9f34afac627e"/>
    <x v="7"/>
    <s v="d9c5291f-fdb3-4d3e-88fe-0317e11a8231"/>
    <m/>
    <x v="0"/>
    <s v="2023-03-02T14:16:15.381000+00:00"/>
    <n v="8"/>
    <n v="1"/>
    <n v="0.125"/>
    <x v="420"/>
    <x v="2"/>
    <s v="10"/>
    <s v="URL"/>
    <x v="28"/>
    <x v="26"/>
    <m/>
    <m/>
    <x v="0"/>
    <m/>
    <m/>
    <x v="144"/>
    <m/>
  </r>
  <r>
    <m/>
    <x v="7"/>
    <s v="11f4204b-24bd-48d8-bd86-727090595635"/>
    <m/>
    <x v="3"/>
    <s v="2023-03-02T14:29:15.258000+00:00"/>
    <n v="2"/>
    <n v="1"/>
    <n v="0.5"/>
    <x v="4"/>
    <x v="2"/>
    <s v="10"/>
    <m/>
    <x v="2"/>
    <x v="2"/>
    <m/>
    <m/>
    <x v="0"/>
    <m/>
    <m/>
    <x v="144"/>
    <m/>
  </r>
  <r>
    <s v="846ab9a2-e787-4e90-8f70-13350afbb664"/>
    <x v="2"/>
    <s v="6d0d4267-835e-481a-9382-7e7bff2b6ef1"/>
    <s v="completed"/>
    <x v="0"/>
    <s v="2023-03-02T17:17:30.673000+00:00"/>
    <n v="100"/>
    <n v="10"/>
    <n v="0.1"/>
    <x v="358"/>
    <x v="2"/>
    <s v="58"/>
    <s v="URL"/>
    <x v="22"/>
    <x v="22"/>
    <m/>
    <m/>
    <x v="0"/>
    <m/>
    <m/>
    <x v="144"/>
    <m/>
  </r>
  <r>
    <m/>
    <x v="7"/>
    <s v="38ae4c6d-891e-4730-9466-debc8337d68e"/>
    <s v="failed"/>
    <x v="56"/>
    <s v="2023-03-02T17:59:15.039000+00:00"/>
    <n v="120"/>
    <n v="2"/>
    <n v="1.6666666666666666E-2"/>
    <x v="416"/>
    <x v="2"/>
    <s v="10"/>
    <m/>
    <x v="28"/>
    <x v="26"/>
    <m/>
    <m/>
    <x v="0"/>
    <m/>
    <m/>
    <x v="144"/>
    <m/>
  </r>
  <r>
    <s v="10a16a3e-fd02-43a4-af82-acdb8876ae95"/>
    <x v="6"/>
    <s v="98a53235-6d7b-486f-b1d1-74369a9d6e39"/>
    <s v="completed"/>
    <x v="0"/>
    <s v="2023-03-02T19:33:45.343000+00:00"/>
    <n v="11"/>
    <n v="2"/>
    <n v="0.18181818181818182"/>
    <x v="281"/>
    <x v="5"/>
    <s v="54"/>
    <s v="URL"/>
    <x v="3"/>
    <x v="3"/>
    <m/>
    <m/>
    <x v="0"/>
    <m/>
    <m/>
    <x v="144"/>
    <m/>
  </r>
  <r>
    <s v="c513387f-19f7-4a53-a540-a1ce5a6bab2c"/>
    <x v="6"/>
    <s v="98a53235-6d7b-486f-b1d1-74369a9d6e39"/>
    <s v="completed"/>
    <x v="0"/>
    <s v="2023-03-02T19:49:34.060000+00:00"/>
    <n v="11"/>
    <n v="8"/>
    <n v="0.72727272727272729"/>
    <x v="415"/>
    <x v="5"/>
    <s v="54"/>
    <s v="URL"/>
    <x v="1"/>
    <x v="1"/>
    <m/>
    <m/>
    <x v="0"/>
    <m/>
    <m/>
    <x v="144"/>
    <m/>
  </r>
  <r>
    <m/>
    <x v="6"/>
    <s v="98a53235-6d7b-486f-b1d1-74369a9d6e39"/>
    <s v="completed"/>
    <x v="3"/>
    <s v="2023-03-02T19:53:36.833000+00:00"/>
    <n v="11"/>
    <n v="9"/>
    <n v="0.81818181818181823"/>
    <x v="4"/>
    <x v="5"/>
    <s v="54"/>
    <m/>
    <x v="2"/>
    <x v="2"/>
    <m/>
    <m/>
    <x v="0"/>
    <m/>
    <m/>
    <x v="144"/>
    <m/>
  </r>
  <r>
    <m/>
    <x v="3"/>
    <s v="9f43663b-a1d5-4ffe-9eb8-ae9766cbc8f1"/>
    <s v="stopped"/>
    <x v="3"/>
    <s v="2023-03-02T21:21:03.534000+00:00"/>
    <n v="199"/>
    <n v="1"/>
    <n v="5.0251256281407036E-3"/>
    <x v="4"/>
    <x v="1"/>
    <s v="47"/>
    <m/>
    <x v="2"/>
    <x v="2"/>
    <m/>
    <m/>
    <x v="0"/>
    <m/>
    <m/>
    <x v="144"/>
    <m/>
  </r>
  <r>
    <s v="8989757b-e989-4dcc-921f-2bfc64b6c999"/>
    <x v="3"/>
    <s v="9ba55224-f411-4e43-a570-cba9d43c0723"/>
    <s v="failed"/>
    <x v="35"/>
    <s v="2023-03-02T21:54:34.527000+00:00"/>
    <n v="201"/>
    <n v="7"/>
    <n v="3.482587064676617E-2"/>
    <x v="394"/>
    <x v="3"/>
    <s v="47"/>
    <s v="URL"/>
    <x v="1"/>
    <x v="1"/>
    <m/>
    <s v="Onduidelijk waarom recovery faalt. Net niet of net wel af de rail gereden ?"/>
    <x v="0"/>
    <m/>
    <m/>
    <x v="144"/>
    <m/>
  </r>
  <r>
    <m/>
    <x v="2"/>
    <s v="6d0d4267-835e-481a-9382-7e7bff2b6ef1"/>
    <s v="completed"/>
    <x v="3"/>
    <s v="2023-03-02T23:44:31.957000+00:00"/>
    <n v="100"/>
    <n v="99"/>
    <n v="0.99"/>
    <x v="4"/>
    <x v="2"/>
    <s v="58"/>
    <m/>
    <x v="2"/>
    <x v="2"/>
    <m/>
    <m/>
    <x v="0"/>
    <m/>
    <m/>
    <x v="144"/>
    <m/>
  </r>
  <r>
    <m/>
    <x v="0"/>
    <s v="13afcf80-b9c0-47e8-8690-b30115a51ab0"/>
    <s v="completed"/>
    <x v="3"/>
    <s v="2023-03-03T00:33:32.490000+00:00"/>
    <n v="111"/>
    <n v="111"/>
    <n v="1"/>
    <x v="4"/>
    <x v="2"/>
    <s v="58"/>
    <m/>
    <x v="2"/>
    <x v="2"/>
    <m/>
    <m/>
    <x v="0"/>
    <m/>
    <m/>
    <x v="145"/>
    <m/>
  </r>
  <r>
    <m/>
    <x v="9"/>
    <s v="0e67eb99-9c94-4e8d-bdee-927f9b2232de"/>
    <s v="completed"/>
    <x v="3"/>
    <s v="2023-03-03T08:34:20.493000+00:00"/>
    <n v="81"/>
    <n v="81"/>
    <n v="1"/>
    <x v="4"/>
    <x v="13"/>
    <s v="22"/>
    <m/>
    <x v="2"/>
    <x v="2"/>
    <m/>
    <m/>
    <x v="0"/>
    <m/>
    <m/>
    <x v="145"/>
    <m/>
  </r>
  <r>
    <m/>
    <x v="0"/>
    <s v="b997a9e1-ea88-4aa9-85a6-292ccff0a1f8"/>
    <s v="stopped"/>
    <x v="3"/>
    <s v="2023-03-03T10:16:28.988000+00:00"/>
    <n v="90"/>
    <n v="0"/>
    <n v="0"/>
    <x v="4"/>
    <x v="2"/>
    <s v="59"/>
    <m/>
    <x v="2"/>
    <x v="2"/>
    <m/>
    <m/>
    <x v="0"/>
    <m/>
    <m/>
    <x v="145"/>
    <m/>
  </r>
  <r>
    <m/>
    <x v="7"/>
    <s v="6689aaea-782e-4104-beb0-a2f110a2a489"/>
    <m/>
    <x v="3"/>
    <s v="2023-03-03T10:58:19.731000+00:00"/>
    <n v="2"/>
    <n v="1"/>
    <n v="0.5"/>
    <x v="4"/>
    <x v="2"/>
    <s v="10"/>
    <m/>
    <x v="2"/>
    <x v="2"/>
    <m/>
    <m/>
    <x v="0"/>
    <m/>
    <m/>
    <x v="145"/>
    <m/>
  </r>
  <r>
    <m/>
    <x v="7"/>
    <s v="dff6ee95-f7c2-4ed3-a318-52dfa82b8738"/>
    <s v="completed"/>
    <x v="3"/>
    <s v="2023-03-03T11:07:53.843000+00:00"/>
    <n v="2"/>
    <n v="2"/>
    <n v="1"/>
    <x v="4"/>
    <x v="2"/>
    <s v="10"/>
    <m/>
    <x v="2"/>
    <x v="2"/>
    <m/>
    <m/>
    <x v="0"/>
    <m/>
    <m/>
    <x v="145"/>
    <m/>
  </r>
  <r>
    <s v="be1befc0-9237-4f1a-9976-f9c2650ff04d"/>
    <x v="7"/>
    <s v="c6c6b69d-0a49-45e6-8ae7-49a9eccb4a80"/>
    <s v="failed"/>
    <x v="19"/>
    <s v="2023-03-03T11:23:51.942000+00:00"/>
    <n v="119"/>
    <n v="5"/>
    <n v="4.2016806722689079E-2"/>
    <x v="421"/>
    <x v="2"/>
    <s v="10"/>
    <s v="URL"/>
    <x v="16"/>
    <x v="16"/>
    <m/>
    <m/>
    <x v="0"/>
    <m/>
    <m/>
    <x v="145"/>
    <m/>
  </r>
  <r>
    <m/>
    <x v="7"/>
    <s v="b88eded8-39e4-449b-9017-21e214607c34"/>
    <s v="failed"/>
    <x v="0"/>
    <s v="2023-03-03T11:35:57.721000+00:00"/>
    <n v="7"/>
    <n v="1"/>
    <n v="0.14285714285714285"/>
    <x v="422"/>
    <x v="2"/>
    <s v="10"/>
    <m/>
    <x v="16"/>
    <x v="16"/>
    <m/>
    <m/>
    <x v="0"/>
    <m/>
    <m/>
    <x v="145"/>
    <m/>
  </r>
  <r>
    <m/>
    <x v="7"/>
    <s v="b88eded8-39e4-449b-9017-21e214607c34"/>
    <s v="failed"/>
    <x v="56"/>
    <s v="2023-03-03T11:38:20.899000+00:00"/>
    <n v="7"/>
    <n v="3"/>
    <n v="0.42857142857142855"/>
    <x v="422"/>
    <x v="2"/>
    <s v="10"/>
    <m/>
    <x v="28"/>
    <x v="26"/>
    <m/>
    <m/>
    <x v="0"/>
    <m/>
    <m/>
    <x v="145"/>
    <m/>
  </r>
  <r>
    <m/>
    <x v="7"/>
    <s v="e721d6cd-85f0-46cd-9505-b55c9e7f5357"/>
    <m/>
    <x v="3"/>
    <s v="2023-03-03T11:46:28.543000+00:00"/>
    <n v="5"/>
    <n v="2"/>
    <n v="0.4"/>
    <x v="4"/>
    <x v="2"/>
    <s v="10"/>
    <m/>
    <x v="2"/>
    <x v="2"/>
    <m/>
    <m/>
    <x v="0"/>
    <m/>
    <m/>
    <x v="145"/>
    <m/>
  </r>
  <r>
    <m/>
    <x v="7"/>
    <s v="dc6a75d2-46c4-47f4-8fcc-e2788e2c8c2f"/>
    <m/>
    <x v="3"/>
    <s v="2023-03-03T11:57:09.695000+00:00"/>
    <n v="3"/>
    <n v="1"/>
    <n v="0.33333333333333331"/>
    <x v="4"/>
    <x v="2"/>
    <s v="10"/>
    <m/>
    <x v="2"/>
    <x v="2"/>
    <m/>
    <m/>
    <x v="0"/>
    <m/>
    <m/>
    <x v="145"/>
    <m/>
  </r>
  <r>
    <m/>
    <x v="7"/>
    <s v="3595b57a-8fd7-43b7-81e3-9a7e08a63311"/>
    <s v="stopped"/>
    <x v="3"/>
    <s v="2023-03-03T12:04:26.134000+00:00"/>
    <n v="2"/>
    <n v="1"/>
    <n v="0.5"/>
    <x v="4"/>
    <x v="2"/>
    <s v="10"/>
    <m/>
    <x v="2"/>
    <x v="2"/>
    <m/>
    <m/>
    <x v="0"/>
    <m/>
    <m/>
    <x v="145"/>
    <m/>
  </r>
  <r>
    <m/>
    <x v="7"/>
    <s v="83a4b360-e4d0-4e53-a9aa-6ea47bdaa66d"/>
    <s v="stopped"/>
    <x v="3"/>
    <s v="2023-03-03T12:07:55.550000+00:00"/>
    <n v="2"/>
    <n v="1"/>
    <n v="0.5"/>
    <x v="4"/>
    <x v="2"/>
    <s v="10"/>
    <m/>
    <x v="2"/>
    <x v="2"/>
    <m/>
    <m/>
    <x v="0"/>
    <m/>
    <m/>
    <x v="145"/>
    <m/>
  </r>
  <r>
    <m/>
    <x v="7"/>
    <s v="c1ad98c9-8541-459a-841e-f735d5574ba8"/>
    <s v="stopped"/>
    <x v="3"/>
    <s v="2023-03-03T12:16:13.230000+00:00"/>
    <n v="2"/>
    <n v="1"/>
    <n v="0.5"/>
    <x v="4"/>
    <x v="0"/>
    <s v="10"/>
    <m/>
    <x v="2"/>
    <x v="2"/>
    <m/>
    <m/>
    <x v="0"/>
    <m/>
    <m/>
    <x v="145"/>
    <m/>
  </r>
  <r>
    <m/>
    <x v="7"/>
    <s v="c3c289b6-9067-421f-9cd2-4327ebed1b2c"/>
    <s v="stopped"/>
    <x v="3"/>
    <s v="2023-03-03T12:17:59.300000+00:00"/>
    <n v="3"/>
    <n v="1"/>
    <n v="0.33333333333333331"/>
    <x v="4"/>
    <x v="0"/>
    <s v="10"/>
    <m/>
    <x v="2"/>
    <x v="2"/>
    <m/>
    <m/>
    <x v="0"/>
    <m/>
    <m/>
    <x v="145"/>
    <m/>
  </r>
  <r>
    <m/>
    <x v="7"/>
    <s v="121a5735-277e-4d15-9141-75ae728acd56"/>
    <s v="stopped"/>
    <x v="3"/>
    <s v="2023-03-03T12:56:56.405000+00:00"/>
    <n v="15"/>
    <n v="9"/>
    <n v="0.6"/>
    <x v="4"/>
    <x v="2"/>
    <s v="10"/>
    <m/>
    <x v="2"/>
    <x v="2"/>
    <m/>
    <m/>
    <x v="0"/>
    <m/>
    <m/>
    <x v="145"/>
    <m/>
  </r>
  <r>
    <m/>
    <x v="7"/>
    <s v="a3d19a6d-90d7-4f2f-9941-721b6a7be4d8"/>
    <s v="completed"/>
    <x v="3"/>
    <s v="2023-03-03T13:35:13.206000+00:00"/>
    <n v="7"/>
    <n v="7"/>
    <n v="1"/>
    <x v="4"/>
    <x v="2"/>
    <s v="10"/>
    <m/>
    <x v="2"/>
    <x v="2"/>
    <m/>
    <m/>
    <x v="0"/>
    <m/>
    <m/>
    <x v="145"/>
    <m/>
  </r>
  <r>
    <m/>
    <x v="7"/>
    <s v="ac858e4d-46bf-4ee9-9fd8-b732eb3781cd"/>
    <s v="stopped"/>
    <x v="3"/>
    <s v="2023-03-03T13:41:23.914000+00:00"/>
    <n v="3"/>
    <n v="2"/>
    <n v="0.66666666666666663"/>
    <x v="4"/>
    <x v="2"/>
    <s v="10"/>
    <m/>
    <x v="2"/>
    <x v="2"/>
    <m/>
    <m/>
    <x v="0"/>
    <m/>
    <m/>
    <x v="145"/>
    <m/>
  </r>
  <r>
    <m/>
    <x v="7"/>
    <s v="f24a4076-aabd-44e2-aa3c-574975ded906"/>
    <m/>
    <x v="3"/>
    <s v="2023-03-03T13:43:21.767000+00:00"/>
    <n v="3"/>
    <n v="1"/>
    <n v="0.33333333333333331"/>
    <x v="4"/>
    <x v="2"/>
    <s v="10"/>
    <m/>
    <x v="2"/>
    <x v="2"/>
    <m/>
    <m/>
    <x v="0"/>
    <m/>
    <m/>
    <x v="145"/>
    <m/>
  </r>
  <r>
    <m/>
    <x v="7"/>
    <s v="89528a8c-cca9-40c6-bf03-50f4013b1aa8"/>
    <s v="stopped"/>
    <x v="3"/>
    <s v="2023-03-03T13:55:38.894000+00:00"/>
    <n v="3"/>
    <n v="2"/>
    <n v="0.66666666666666663"/>
    <x v="4"/>
    <x v="2"/>
    <s v="10"/>
    <m/>
    <x v="2"/>
    <x v="2"/>
    <m/>
    <m/>
    <x v="0"/>
    <m/>
    <m/>
    <x v="145"/>
    <m/>
  </r>
  <r>
    <m/>
    <x v="7"/>
    <s v="4dfe9bae-4ca6-4f75-a917-72080957895e"/>
    <s v="stopped"/>
    <x v="3"/>
    <s v="2023-03-03T14:01:18.755000+00:00"/>
    <n v="3"/>
    <n v="2"/>
    <n v="0.66666666666666663"/>
    <x v="4"/>
    <x v="2"/>
    <s v="10"/>
    <m/>
    <x v="2"/>
    <x v="2"/>
    <m/>
    <m/>
    <x v="0"/>
    <m/>
    <m/>
    <x v="145"/>
    <m/>
  </r>
  <r>
    <m/>
    <x v="7"/>
    <s v="b72af21c-9ab2-4651-83ab-e8eb764a30e2"/>
    <s v="stopped"/>
    <x v="3"/>
    <s v="2023-03-03T14:06:58.579000+00:00"/>
    <n v="3"/>
    <n v="2"/>
    <n v="0.66666666666666663"/>
    <x v="4"/>
    <x v="2"/>
    <s v="10"/>
    <m/>
    <x v="2"/>
    <x v="2"/>
    <m/>
    <m/>
    <x v="0"/>
    <m/>
    <m/>
    <x v="145"/>
    <m/>
  </r>
  <r>
    <m/>
    <x v="7"/>
    <s v="6924b7fe-7a72-447e-a82d-3d01eca172a5"/>
    <s v="completed"/>
    <x v="3"/>
    <s v="2023-03-03T14:15:20.943000+00:00"/>
    <n v="3"/>
    <n v="3"/>
    <n v="1"/>
    <x v="4"/>
    <x v="2"/>
    <s v="10"/>
    <m/>
    <x v="2"/>
    <x v="2"/>
    <m/>
    <m/>
    <x v="0"/>
    <m/>
    <m/>
    <x v="145"/>
    <m/>
  </r>
  <r>
    <m/>
    <x v="3"/>
    <s v="e9e63c62-9b30-4260-97a1-40b4931553c5"/>
    <s v="stopped"/>
    <x v="3"/>
    <s v="2023-03-03T14:36:41.136000+00:00"/>
    <n v="102"/>
    <n v="1"/>
    <n v="9.8039215686274508E-3"/>
    <x v="4"/>
    <x v="3"/>
    <s v="48"/>
    <m/>
    <x v="2"/>
    <x v="2"/>
    <m/>
    <m/>
    <x v="0"/>
    <m/>
    <m/>
    <x v="145"/>
    <m/>
  </r>
  <r>
    <s v="bf37d5b5-6f4c-4c09-a77a-e7a36788894a"/>
    <x v="2"/>
    <s v="a2061be6-297b-4d79-891f-ca9de4ffdcec"/>
    <s v="completed"/>
    <x v="0"/>
    <s v="2023-03-03T16:03:07.959000+00:00"/>
    <n v="223"/>
    <n v="6"/>
    <n v="2.6905829596412557E-2"/>
    <x v="364"/>
    <x v="0"/>
    <s v="58"/>
    <s v="URL"/>
    <x v="3"/>
    <x v="3"/>
    <m/>
    <m/>
    <x v="0"/>
    <m/>
    <m/>
    <x v="145"/>
    <m/>
  </r>
  <r>
    <m/>
    <x v="5"/>
    <s v="58dc001a-6f9c-4ff0-8844-da3130309898"/>
    <s v="completed"/>
    <x v="3"/>
    <s v="2023-03-03T19:08:57.140000+00:00"/>
    <n v="37"/>
    <n v="37"/>
    <n v="1"/>
    <x v="4"/>
    <x v="5"/>
    <s v="63"/>
    <m/>
    <x v="2"/>
    <x v="2"/>
    <m/>
    <m/>
    <x v="0"/>
    <m/>
    <m/>
    <x v="145"/>
    <m/>
  </r>
  <r>
    <s v="05ad5b43-9026-4c38-9ffa-aa2298f38cea"/>
    <x v="1"/>
    <s v="15de2bbd-2121-485c-98f0-a74e9462c2a4"/>
    <s v="failed"/>
    <x v="29"/>
    <s v="2023-03-03T19:30:37.238000+00:00"/>
    <n v="95"/>
    <n v="2"/>
    <n v="2.1052631578947368E-2"/>
    <x v="394"/>
    <x v="3"/>
    <s v="47"/>
    <s v="URL"/>
    <x v="0"/>
    <x v="0"/>
    <m/>
    <m/>
    <x v="0"/>
    <m/>
    <m/>
    <x v="145"/>
    <m/>
  </r>
  <r>
    <s v="6662346b-8876-408e-8fc8-15e8926944b9"/>
    <x v="3"/>
    <s v="17a2470f-b791-4395-8c1b-140e4f84204b"/>
    <s v="failed"/>
    <x v="0"/>
    <s v="2023-03-03T19:32:59.210000+00:00"/>
    <n v="103"/>
    <n v="2"/>
    <n v="1.9417475728155338E-2"/>
    <x v="99"/>
    <x v="3"/>
    <s v="48"/>
    <s v="URL"/>
    <x v="1"/>
    <x v="1"/>
    <m/>
    <m/>
    <x v="0"/>
    <m/>
    <m/>
    <x v="145"/>
    <m/>
  </r>
  <r>
    <s v="5e1c5a5e-e771-4810-87fe-4dfe28de41a2"/>
    <x v="6"/>
    <s v="d9a54f36-6781-477b-a52a-e12d132f89ee"/>
    <s v="failed"/>
    <x v="27"/>
    <s v="2023-03-03T19:44:24.294000+00:00"/>
    <n v="22"/>
    <n v="7"/>
    <n v="0.31818181818181818"/>
    <x v="375"/>
    <x v="5"/>
    <s v="51"/>
    <s v="URL"/>
    <x v="6"/>
    <x v="6"/>
    <m/>
    <m/>
    <x v="0"/>
    <m/>
    <m/>
    <x v="145"/>
    <m/>
  </r>
  <r>
    <s v="0bd14215-d9d8-447c-9e4b-9a96cf801c57"/>
    <x v="3"/>
    <s v="17a2470f-b791-4395-8c1b-140e4f84204b"/>
    <s v="failed"/>
    <x v="35"/>
    <s v="2023-03-03T19:53:59.979000+00:00"/>
    <n v="103"/>
    <n v="9"/>
    <n v="8.7378640776699032E-2"/>
    <x v="423"/>
    <x v="3"/>
    <s v="48"/>
    <s v="URL"/>
    <x v="1"/>
    <x v="1"/>
    <m/>
    <s v="Onduidelijk waarom recovery faalt. Net niet of net wel af de rail gereden ?"/>
    <x v="0"/>
    <m/>
    <m/>
    <x v="145"/>
    <m/>
  </r>
  <r>
    <m/>
    <x v="7"/>
    <s v="eca01fc8-8f44-4b85-906c-19f2a28d25f8"/>
    <s v="completed"/>
    <x v="3"/>
    <s v="2023-03-04T01:58:19.458000+00:00"/>
    <n v="120"/>
    <n v="120"/>
    <n v="1"/>
    <x v="4"/>
    <x v="2"/>
    <s v="10"/>
    <m/>
    <x v="2"/>
    <x v="2"/>
    <m/>
    <m/>
    <x v="0"/>
    <m/>
    <m/>
    <x v="146"/>
    <m/>
  </r>
  <r>
    <m/>
    <x v="0"/>
    <s v="6871b5bc-dc3a-4dc8-baf5-6ea455682fae"/>
    <s v="completed"/>
    <x v="3"/>
    <s v="2023-03-04T03:04:45.324000+00:00"/>
    <n v="153"/>
    <n v="153"/>
    <n v="1"/>
    <x v="4"/>
    <x v="2"/>
    <s v="59"/>
    <m/>
    <x v="2"/>
    <x v="2"/>
    <m/>
    <m/>
    <x v="0"/>
    <m/>
    <m/>
    <x v="146"/>
    <m/>
  </r>
  <r>
    <m/>
    <x v="2"/>
    <s v="a2061be6-297b-4d79-891f-ca9de4ffdcec"/>
    <s v="completed"/>
    <x v="3"/>
    <s v="2023-03-04T06:53:41.791000+00:00"/>
    <n v="223"/>
    <n v="222"/>
    <n v="0.99551569506726456"/>
    <x v="4"/>
    <x v="0"/>
    <s v="58"/>
    <m/>
    <x v="2"/>
    <x v="2"/>
    <m/>
    <m/>
    <x v="0"/>
    <m/>
    <m/>
    <x v="146"/>
    <m/>
  </r>
  <r>
    <s v="8acac596-7468-4f45-b39f-50470d3ea566"/>
    <x v="9"/>
    <s v="506f4344-053b-4138-ac75-fa48d575a8ad"/>
    <s v="completed"/>
    <x v="0"/>
    <s v="2023-03-04T08:20:48.879000+00:00"/>
    <n v="83"/>
    <n v="77"/>
    <n v="0.92771084337349397"/>
    <x v="424"/>
    <x v="14"/>
    <s v="22"/>
    <s v="URL"/>
    <x v="34"/>
    <x v="26"/>
    <m/>
    <m/>
    <x v="0"/>
    <m/>
    <m/>
    <x v="146"/>
    <m/>
  </r>
  <r>
    <m/>
    <x v="9"/>
    <s v="506f4344-053b-4138-ac75-fa48d575a8ad"/>
    <s v="completed"/>
    <x v="3"/>
    <s v="2023-03-04T08:35:04.946000+00:00"/>
    <n v="83"/>
    <n v="82"/>
    <n v="0.98795180722891562"/>
    <x v="4"/>
    <x v="14"/>
    <s v="22"/>
    <m/>
    <x v="2"/>
    <x v="2"/>
    <m/>
    <m/>
    <x v="0"/>
    <m/>
    <m/>
    <x v="146"/>
    <m/>
  </r>
  <r>
    <m/>
    <x v="6"/>
    <s v="10061be5-54de-4298-8c30-8531e3d0f174"/>
    <s v="stopped"/>
    <x v="3"/>
    <s v="2023-03-04T11:53:43.167000+00:00"/>
    <n v="16"/>
    <n v="0"/>
    <n v="0"/>
    <x v="4"/>
    <x v="5"/>
    <s v="51"/>
    <m/>
    <x v="2"/>
    <x v="2"/>
    <m/>
    <m/>
    <x v="0"/>
    <m/>
    <m/>
    <x v="146"/>
    <m/>
  </r>
  <r>
    <s v="df9b25b6-6523-4d70-be9f-cce4f6a3504b"/>
    <x v="0"/>
    <s v="c2cd2f3e-1888-4d42-9618-5a6076c43f59"/>
    <s v="completed"/>
    <x v="0"/>
    <s v="2023-03-04T19:09:00.041000+00:00"/>
    <n v="210"/>
    <n v="19"/>
    <n v="9.0476190476190474E-2"/>
    <x v="277"/>
    <x v="2"/>
    <s v="58"/>
    <s v="URL"/>
    <x v="3"/>
    <x v="3"/>
    <m/>
    <m/>
    <x v="0"/>
    <m/>
    <m/>
    <x v="146"/>
    <m/>
  </r>
  <r>
    <s v="ebb08586-aa93-4f71-936a-9104ed50b872"/>
    <x v="2"/>
    <s v="5b0ff440-c2d7-43e8-880c-5935eeb14f56"/>
    <s v="completed"/>
    <x v="0"/>
    <s v="2023-03-04T19:53:16.320000+00:00"/>
    <n v="154"/>
    <n v="32"/>
    <n v="0.20779220779220781"/>
    <x v="425"/>
    <x v="0"/>
    <s v="59"/>
    <s v="URL"/>
    <x v="1"/>
    <x v="1"/>
    <m/>
    <m/>
    <x v="1"/>
    <m/>
    <m/>
    <x v="146"/>
    <m/>
  </r>
  <r>
    <s v="79bf0367-66b2-4342-b5ce-c0bdac11785a"/>
    <x v="6"/>
    <s v="fa6baeff-8b24-41d4-b0c1-bddce0bf8fcc"/>
    <s v="completed"/>
    <x v="0"/>
    <s v="2023-03-04T20:23:23.539000+00:00"/>
    <n v="22"/>
    <n v="17"/>
    <n v="0.77272727272727271"/>
    <x v="275"/>
    <x v="5"/>
    <s v="51"/>
    <s v="URL"/>
    <x v="3"/>
    <x v="3"/>
    <m/>
    <m/>
    <x v="0"/>
    <m/>
    <m/>
    <x v="146"/>
    <m/>
  </r>
  <r>
    <m/>
    <x v="6"/>
    <s v="fa6baeff-8b24-41d4-b0c1-bddce0bf8fcc"/>
    <s v="completed"/>
    <x v="3"/>
    <s v="2023-03-04T20:30:05.066000+00:00"/>
    <n v="22"/>
    <n v="21"/>
    <n v="0.95454545454545459"/>
    <x v="4"/>
    <x v="5"/>
    <s v="51"/>
    <m/>
    <x v="2"/>
    <x v="2"/>
    <m/>
    <m/>
    <x v="0"/>
    <m/>
    <m/>
    <x v="146"/>
    <m/>
  </r>
  <r>
    <s v="5d9acdd8-c1c2-4121-9d3c-ea948f656f9a"/>
    <x v="2"/>
    <s v="5b0ff440-c2d7-43e8-880c-5935eeb14f56"/>
    <s v="completed"/>
    <x v="0"/>
    <s v="2023-03-05T01:15:35.714000+00:00"/>
    <n v="154"/>
    <n v="110"/>
    <n v="0.7142857142857143"/>
    <x v="410"/>
    <x v="0"/>
    <s v="59"/>
    <s v="URL"/>
    <x v="1"/>
    <x v="1"/>
    <m/>
    <m/>
    <x v="1"/>
    <m/>
    <m/>
    <x v="147"/>
    <m/>
  </r>
  <r>
    <m/>
    <x v="7"/>
    <s v="3d112f68-fc08-4c4c-870f-6a11ad912652"/>
    <s v="completed"/>
    <x v="3"/>
    <s v="2023-03-05T02:54:48.140000+00:00"/>
    <n v="120"/>
    <n v="120"/>
    <n v="1"/>
    <x v="4"/>
    <x v="0"/>
    <s v="10"/>
    <m/>
    <x v="2"/>
    <x v="2"/>
    <m/>
    <m/>
    <x v="0"/>
    <m/>
    <m/>
    <x v="147"/>
    <m/>
  </r>
  <r>
    <m/>
    <x v="2"/>
    <s v="5b0ff440-c2d7-43e8-880c-5935eeb14f56"/>
    <s v="completed"/>
    <x v="3"/>
    <s v="2023-03-05T04:11:06.643000+00:00"/>
    <n v="154"/>
    <n v="152"/>
    <n v="0.98701298701298701"/>
    <x v="4"/>
    <x v="0"/>
    <s v="59"/>
    <m/>
    <x v="2"/>
    <x v="2"/>
    <m/>
    <m/>
    <x v="0"/>
    <m/>
    <m/>
    <x v="147"/>
    <m/>
  </r>
  <r>
    <m/>
    <x v="0"/>
    <s v="c2cd2f3e-1888-4d42-9618-5a6076c43f59"/>
    <s v="completed"/>
    <x v="3"/>
    <s v="2023-03-05T08:50:47.991000+00:00"/>
    <n v="210"/>
    <n v="209"/>
    <n v="0.99523809523809526"/>
    <x v="4"/>
    <x v="2"/>
    <s v="58"/>
    <m/>
    <x v="2"/>
    <x v="2"/>
    <m/>
    <m/>
    <x v="0"/>
    <m/>
    <m/>
    <x v="147"/>
    <m/>
  </r>
  <r>
    <m/>
    <x v="7"/>
    <s v="455b0d93-a88e-49c8-af02-e352cc80ed4d"/>
    <s v="completed"/>
    <x v="3"/>
    <s v="2023-03-06T02:56:48.015000+00:00"/>
    <n v="120"/>
    <n v="120"/>
    <n v="1"/>
    <x v="4"/>
    <x v="2"/>
    <s v="10"/>
    <m/>
    <x v="2"/>
    <x v="2"/>
    <m/>
    <m/>
    <x v="0"/>
    <m/>
    <m/>
    <x v="148"/>
    <m/>
  </r>
  <r>
    <m/>
    <x v="2"/>
    <s v="d19e43fb-4d6f-43d4-bcd1-00238f500aad"/>
    <s v="completed"/>
    <x v="3"/>
    <s v="2023-03-06T04:05:50.082000+00:00"/>
    <n v="154"/>
    <n v="154"/>
    <n v="1"/>
    <x v="4"/>
    <x v="2"/>
    <s v="59"/>
    <m/>
    <x v="2"/>
    <x v="2"/>
    <m/>
    <m/>
    <x v="0"/>
    <m/>
    <m/>
    <x v="148"/>
    <m/>
  </r>
  <r>
    <s v="1a41843d-c4f0-4daa-8b78-ea391984f52a"/>
    <x v="4"/>
    <s v="328f9a7c-13d1-4e3d-9e03-309457286017"/>
    <s v="completed"/>
    <x v="0"/>
    <s v="2023-03-06T09:33:06.254000+00:00"/>
    <n v="10"/>
    <n v="1"/>
    <n v="0.1"/>
    <x v="74"/>
    <x v="11"/>
    <s v="14"/>
    <s v="URL"/>
    <x v="17"/>
    <x v="17"/>
    <m/>
    <m/>
    <x v="0"/>
    <m/>
    <m/>
    <x v="148"/>
    <m/>
  </r>
  <r>
    <m/>
    <x v="4"/>
    <s v="328f9a7c-13d1-4e3d-9e03-309457286017"/>
    <s v="completed"/>
    <x v="3"/>
    <s v="2023-03-06T09:57:44.253000+00:00"/>
    <n v="10"/>
    <n v="9"/>
    <n v="0.9"/>
    <x v="4"/>
    <x v="11"/>
    <s v="14"/>
    <m/>
    <x v="2"/>
    <x v="2"/>
    <m/>
    <m/>
    <x v="0"/>
    <m/>
    <m/>
    <x v="148"/>
    <m/>
  </r>
  <r>
    <s v="13bd72f7-85f0-4028-bcc3-e4734285bc43"/>
    <x v="4"/>
    <s v="b82d0884-b634-4951-9151-de0bf0661874"/>
    <s v="completed"/>
    <x v="0"/>
    <s v="2023-03-06T10:21:40.230000+00:00"/>
    <n v="6"/>
    <n v="1"/>
    <n v="0.16666666666666666"/>
    <x v="106"/>
    <x v="11"/>
    <s v="14"/>
    <s v="URL"/>
    <x v="17"/>
    <x v="17"/>
    <m/>
    <m/>
    <x v="0"/>
    <m/>
    <m/>
    <x v="148"/>
    <m/>
  </r>
  <r>
    <m/>
    <x v="4"/>
    <s v="b82d0884-b634-4951-9151-de0bf0661874"/>
    <s v="completed"/>
    <x v="3"/>
    <s v="2023-03-06T10:33:28.212000+00:00"/>
    <n v="6"/>
    <n v="5"/>
    <n v="0.83333333333333337"/>
    <x v="4"/>
    <x v="11"/>
    <s v="14"/>
    <m/>
    <x v="2"/>
    <x v="2"/>
    <m/>
    <m/>
    <x v="0"/>
    <m/>
    <m/>
    <x v="148"/>
    <m/>
  </r>
  <r>
    <s v="4ec0ade4-0091-406b-8f42-59036f906bc2"/>
    <x v="4"/>
    <s v="b9a743c6-5634-42c5-b60b-b6af2d5dce18"/>
    <s v="failed"/>
    <x v="0"/>
    <s v="2023-03-06T11:06:56.267000+00:00"/>
    <n v="13"/>
    <n v="2"/>
    <n v="0.15384615384615385"/>
    <x v="426"/>
    <x v="17"/>
    <s v="13"/>
    <s v="URL"/>
    <x v="25"/>
    <x v="25"/>
    <m/>
    <m/>
    <x v="0"/>
    <m/>
    <m/>
    <x v="148"/>
    <m/>
  </r>
  <r>
    <s v="5fbc086b-3c74-4dc1-95e0-7062bf9340db"/>
    <x v="4"/>
    <s v="b9a743c6-5634-42c5-b60b-b6af2d5dce18"/>
    <s v="failed"/>
    <x v="33"/>
    <s v="2023-03-06T11:11:57.162000+00:00"/>
    <n v="13"/>
    <n v="5"/>
    <n v="0.38461538461538464"/>
    <x v="427"/>
    <x v="17"/>
    <s v="13"/>
    <s v="URL"/>
    <x v="25"/>
    <x v="25"/>
    <m/>
    <m/>
    <x v="0"/>
    <m/>
    <m/>
    <x v="148"/>
    <m/>
  </r>
  <r>
    <s v="fad802c1-ff12-4d82-8b0e-0a0fde160511"/>
    <x v="4"/>
    <s v="f19ba1b6-e902-4cb1-83e0-b9a1d39b6c62"/>
    <s v="failed"/>
    <x v="33"/>
    <s v="2023-03-06T11:34:23.543000+00:00"/>
    <n v="8"/>
    <n v="2"/>
    <n v="0.25"/>
    <x v="428"/>
    <x v="17"/>
    <s v="13"/>
    <s v="URL"/>
    <x v="25"/>
    <x v="25"/>
    <m/>
    <m/>
    <x v="0"/>
    <m/>
    <m/>
    <x v="148"/>
    <m/>
  </r>
  <r>
    <m/>
    <x v="4"/>
    <s v="782da926-c74b-4d4d-97e3-7ef3e5cb5e1d"/>
    <s v="completed"/>
    <x v="3"/>
    <s v="2023-03-06T11:56:42.783000+00:00"/>
    <n v="6"/>
    <n v="6"/>
    <n v="1"/>
    <x v="4"/>
    <x v="17"/>
    <s v="13"/>
    <m/>
    <x v="2"/>
    <x v="2"/>
    <m/>
    <m/>
    <x v="0"/>
    <m/>
    <m/>
    <x v="148"/>
    <m/>
  </r>
  <r>
    <s v="aae08a2f-55e9-4936-80b2-634bab62b9a9"/>
    <x v="4"/>
    <s v="3ae45e06-bbe4-42d6-aa4c-9c1f6eb7a0ed"/>
    <s v="completed"/>
    <x v="0"/>
    <s v="2023-03-06T12:52:23.618000+00:00"/>
    <n v="13"/>
    <n v="6"/>
    <n v="0.46153846153846156"/>
    <x v="429"/>
    <x v="17"/>
    <s v="13"/>
    <s v="URL"/>
    <x v="17"/>
    <x v="17"/>
    <m/>
    <m/>
    <x v="0"/>
    <m/>
    <m/>
    <x v="148"/>
    <m/>
  </r>
  <r>
    <m/>
    <x v="4"/>
    <s v="3ae45e06-bbe4-42d6-aa4c-9c1f6eb7a0ed"/>
    <s v="completed"/>
    <x v="3"/>
    <s v="2023-03-06T13:11:38.689000+00:00"/>
    <n v="13"/>
    <n v="12"/>
    <n v="0.92307692307692313"/>
    <x v="4"/>
    <x v="17"/>
    <s v="13"/>
    <m/>
    <x v="2"/>
    <x v="2"/>
    <m/>
    <m/>
    <x v="0"/>
    <m/>
    <m/>
    <x v="148"/>
    <m/>
  </r>
  <r>
    <m/>
    <x v="4"/>
    <s v="32fb7440-f6d7-4681-9378-f2a0bb464cf9"/>
    <s v="completed"/>
    <x v="3"/>
    <s v="2023-03-06T13:41:22.594000+00:00"/>
    <n v="10"/>
    <n v="10"/>
    <n v="1"/>
    <x v="4"/>
    <x v="17"/>
    <s v="13"/>
    <m/>
    <x v="2"/>
    <x v="2"/>
    <m/>
    <m/>
    <x v="0"/>
    <m/>
    <m/>
    <x v="148"/>
    <m/>
  </r>
  <r>
    <m/>
    <x v="9"/>
    <s v="9d28cac4-5404-43a4-a26f-09ff56bddb39"/>
    <s v="completed"/>
    <x v="3"/>
    <s v="2023-03-06T17:19:09.878000+00:00"/>
    <n v="4"/>
    <n v="4"/>
    <n v="1"/>
    <x v="4"/>
    <x v="14"/>
    <s v="22"/>
    <m/>
    <x v="2"/>
    <x v="2"/>
    <m/>
    <m/>
    <x v="0"/>
    <m/>
    <m/>
    <x v="148"/>
    <m/>
  </r>
  <r>
    <s v="4e09b000-7087-470c-b0c3-e66928894be1"/>
    <x v="0"/>
    <s v="4a06ba8c-97e3-41fb-9c49-1b8bad6c274e"/>
    <s v="failed"/>
    <x v="0"/>
    <s v="2023-03-06T19:41:57.087000+00:00"/>
    <n v="154"/>
    <n v="46"/>
    <n v="0.29870129870129869"/>
    <x v="430"/>
    <x v="0"/>
    <s v="59"/>
    <s v="URL"/>
    <x v="3"/>
    <x v="3"/>
    <m/>
    <m/>
    <x v="0"/>
    <m/>
    <m/>
    <x v="148"/>
    <m/>
  </r>
  <r>
    <s v="09b85727-2127-49c9-9951-74f1cfb12d42"/>
    <x v="0"/>
    <s v="4a06ba8c-97e3-41fb-9c49-1b8bad6c274e"/>
    <s v="failed"/>
    <x v="0"/>
    <s v="2023-03-06T19:47:18.859000+00:00"/>
    <n v="154"/>
    <n v="47"/>
    <n v="0.30519480519480519"/>
    <x v="431"/>
    <x v="0"/>
    <s v="59"/>
    <s v="URL"/>
    <x v="3"/>
    <x v="3"/>
    <m/>
    <m/>
    <x v="0"/>
    <m/>
    <m/>
    <x v="148"/>
    <m/>
  </r>
  <r>
    <m/>
    <x v="6"/>
    <s v="4760e4aa-31a5-405a-802e-d917b11f4988"/>
    <s v="completed"/>
    <x v="3"/>
    <s v="2023-03-06T19:51:41.100000+00:00"/>
    <n v="11"/>
    <n v="11"/>
    <n v="1"/>
    <x v="4"/>
    <x v="5"/>
    <s v="54"/>
    <m/>
    <x v="2"/>
    <x v="2"/>
    <m/>
    <m/>
    <x v="0"/>
    <m/>
    <m/>
    <x v="148"/>
    <m/>
  </r>
  <r>
    <s v="1271593e-f4d9-400b-a4c4-b585971bbd82"/>
    <x v="0"/>
    <s v="4a06ba8c-97e3-41fb-9c49-1b8bad6c274e"/>
    <s v="failed"/>
    <x v="0"/>
    <s v="2023-03-06T20:39:23.020000+00:00"/>
    <n v="154"/>
    <n v="59"/>
    <n v="0.38311688311688313"/>
    <x v="432"/>
    <x v="0"/>
    <s v="59"/>
    <s v="URL"/>
    <x v="3"/>
    <x v="3"/>
    <m/>
    <m/>
    <x v="0"/>
    <m/>
    <m/>
    <x v="148"/>
    <m/>
  </r>
  <r>
    <s v="50c4e9d4-1d7d-49f4-8d59-5e49164a4a25"/>
    <x v="2"/>
    <s v="e6b08868-112b-44cd-9d17-49b8809f4989"/>
    <s v="failed"/>
    <x v="57"/>
    <s v="2023-03-06T21:48:26.351000+00:00"/>
    <n v="210"/>
    <n v="74"/>
    <n v="0.35238095238095241"/>
    <x v="433"/>
    <x v="2"/>
    <s v="58"/>
    <s v="URL"/>
    <x v="22"/>
    <x v="22"/>
    <m/>
    <m/>
    <x v="0"/>
    <m/>
    <m/>
    <x v="148"/>
    <m/>
  </r>
  <r>
    <s v="959701fc-ac17-417a-ae19-f909c555a78f"/>
    <x v="0"/>
    <s v="4a06ba8c-97e3-41fb-9c49-1b8bad6c274e"/>
    <s v="failed"/>
    <x v="0"/>
    <s v="2023-03-06T23:46:20.349000+00:00"/>
    <n v="154"/>
    <n v="103"/>
    <n v="0.66883116883116878"/>
    <x v="434"/>
    <x v="0"/>
    <s v="59"/>
    <s v="URL"/>
    <x v="3"/>
    <x v="3"/>
    <m/>
    <m/>
    <x v="0"/>
    <m/>
    <m/>
    <x v="148"/>
    <m/>
  </r>
  <r>
    <s v="f10d7cdb-9309-4722-ae1d-4399373317fb"/>
    <x v="0"/>
    <s v="4a06ba8c-97e3-41fb-9c49-1b8bad6c274e"/>
    <s v="failed"/>
    <x v="0"/>
    <s v="2023-03-07T00:18:26.132000+00:00"/>
    <n v="154"/>
    <n v="110"/>
    <n v="0.7142857142857143"/>
    <x v="410"/>
    <x v="0"/>
    <s v="59"/>
    <s v="URL"/>
    <x v="1"/>
    <x v="1"/>
    <m/>
    <m/>
    <x v="1"/>
    <m/>
    <m/>
    <x v="149"/>
    <m/>
  </r>
  <r>
    <m/>
    <x v="7"/>
    <s v="ca694ca8-a9f9-4325-977e-e02cde92e121"/>
    <s v="completed"/>
    <x v="3"/>
    <s v="2023-03-07T02:31:32.387000+00:00"/>
    <n v="120"/>
    <n v="120"/>
    <n v="1"/>
    <x v="4"/>
    <x v="0"/>
    <s v="10"/>
    <m/>
    <x v="2"/>
    <x v="2"/>
    <m/>
    <m/>
    <x v="0"/>
    <m/>
    <m/>
    <x v="149"/>
    <m/>
  </r>
  <r>
    <s v="e4ce2404-ffaa-4e2c-8ae1-5d67b6da0582"/>
    <x v="0"/>
    <s v="4a06ba8c-97e3-41fb-9c49-1b8bad6c274e"/>
    <s v="failed"/>
    <x v="42"/>
    <s v="2023-03-07T03:04:17+00:00"/>
    <n v="154"/>
    <n v="150"/>
    <n v="0.97402597402597402"/>
    <x v="395"/>
    <x v="0"/>
    <s v="59"/>
    <s v="URL"/>
    <x v="7"/>
    <x v="7"/>
    <m/>
    <m/>
    <x v="0"/>
    <m/>
    <m/>
    <x v="149"/>
    <m/>
  </r>
  <r>
    <s v="98767586-26d1-4479-a909-1feace0ebaf5"/>
    <x v="9"/>
    <s v="ffa14edc-8c53-45e4-8b5a-d1caffcb03a3"/>
    <s v="completed"/>
    <x v="0"/>
    <s v="2023-03-07T05:53:00.416000+00:00"/>
    <n v="82"/>
    <n v="48"/>
    <n v="0.58536585365853655"/>
    <x v="435"/>
    <x v="13"/>
    <s v="22"/>
    <s v="URL"/>
    <x v="35"/>
    <x v="26"/>
    <m/>
    <m/>
    <x v="0"/>
    <m/>
    <m/>
    <x v="149"/>
    <m/>
  </r>
  <r>
    <m/>
    <x v="9"/>
    <s v="ffa14edc-8c53-45e4-8b5a-d1caffcb03a3"/>
    <s v="completed"/>
    <x v="3"/>
    <s v="2023-03-07T08:21:29.073000+00:00"/>
    <n v="82"/>
    <n v="81"/>
    <n v="0.98780487804878048"/>
    <x v="4"/>
    <x v="13"/>
    <s v="22"/>
    <m/>
    <x v="2"/>
    <x v="2"/>
    <m/>
    <m/>
    <x v="0"/>
    <m/>
    <m/>
    <x v="149"/>
    <m/>
  </r>
  <r>
    <s v="e783194b-1173-48b9-8eb5-e8a9906dbfa5"/>
    <x v="4"/>
    <s v="be8e6e60-10d8-4432-a00c-1f2f43307448"/>
    <s v="paused"/>
    <x v="0"/>
    <s v="2023-03-07T09:59:15.538000+00:00"/>
    <n v="30"/>
    <n v="26"/>
    <n v="0.8666666666666667"/>
    <x v="436"/>
    <x v="11"/>
    <s v="14"/>
    <s v="URL"/>
    <x v="29"/>
    <x v="26"/>
    <m/>
    <m/>
    <x v="0"/>
    <m/>
    <m/>
    <x v="149"/>
    <m/>
  </r>
  <r>
    <m/>
    <x v="4"/>
    <s v="44afbc68-3138-402a-a9b8-a7e896966c4d"/>
    <s v="completed"/>
    <x v="3"/>
    <s v="2023-03-07T11:04:17.006000+00:00"/>
    <n v="8"/>
    <n v="8"/>
    <n v="1"/>
    <x v="4"/>
    <x v="11"/>
    <s v="14"/>
    <m/>
    <x v="2"/>
    <x v="2"/>
    <m/>
    <m/>
    <x v="0"/>
    <m/>
    <m/>
    <x v="149"/>
    <m/>
  </r>
  <r>
    <s v="d511572c-0476-457a-83f0-fa46596bba4c"/>
    <x v="4"/>
    <s v="b2080639-e0d3-4726-8541-c048b995163a"/>
    <s v="failed"/>
    <x v="0"/>
    <s v="2023-03-07T11:18:28.853000+00:00"/>
    <n v="52"/>
    <n v="2"/>
    <n v="3.8461538461538464E-2"/>
    <x v="437"/>
    <x v="5"/>
    <s v="13"/>
    <s v="URL"/>
    <x v="12"/>
    <x v="12"/>
    <m/>
    <m/>
    <x v="0"/>
    <m/>
    <m/>
    <x v="149"/>
    <m/>
  </r>
  <r>
    <s v="7344fc3b-5007-4644-a3a9-d380db84f737"/>
    <x v="4"/>
    <s v="b2080639-e0d3-4726-8541-c048b995163a"/>
    <s v="failed"/>
    <x v="0"/>
    <s v="2023-03-07T12:04:33.632000+00:00"/>
    <n v="52"/>
    <n v="8"/>
    <n v="0.15384615384615385"/>
    <x v="438"/>
    <x v="5"/>
    <s v="13"/>
    <s v="URL"/>
    <x v="24"/>
    <x v="24"/>
    <m/>
    <m/>
    <x v="0"/>
    <m/>
    <m/>
    <x v="149"/>
    <m/>
  </r>
  <r>
    <s v="7c1063f6-ad95-4870-8adc-bbfb982e3612"/>
    <x v="4"/>
    <s v="b2080639-e0d3-4726-8541-c048b995163a"/>
    <s v="failed"/>
    <x v="33"/>
    <s v="2023-03-07T12:31:45.044000+00:00"/>
    <n v="52"/>
    <n v="15"/>
    <n v="0.28846153846153844"/>
    <x v="439"/>
    <x v="5"/>
    <s v="13"/>
    <s v="URL"/>
    <x v="17"/>
    <x v="17"/>
    <m/>
    <m/>
    <x v="0"/>
    <m/>
    <m/>
    <x v="149"/>
    <m/>
  </r>
  <r>
    <m/>
    <x v="4"/>
    <s v="fca6aded-c9ca-43ff-a0e3-032c2ded6cac"/>
    <s v="paused"/>
    <x v="3"/>
    <s v="2023-03-07T13:20:48.214000+00:00"/>
    <n v="4"/>
    <n v="4"/>
    <n v="1"/>
    <x v="4"/>
    <x v="5"/>
    <s v="13"/>
    <m/>
    <x v="2"/>
    <x v="2"/>
    <m/>
    <m/>
    <x v="0"/>
    <m/>
    <m/>
    <x v="149"/>
    <m/>
  </r>
  <r>
    <s v="07a8479f-bc6d-42c4-b89e-479898310f21"/>
    <x v="1"/>
    <s v="192aade2-40e0-4cd0-af2f-8e1106b90bd4"/>
    <s v="failed"/>
    <x v="3"/>
    <s v="2023-03-07T13:39:02.715000+00:00"/>
    <n v="96"/>
    <n v="2"/>
    <n v="2.0833333333333332E-2"/>
    <x v="440"/>
    <x v="1"/>
    <s v="48"/>
    <s v="URL"/>
    <x v="1"/>
    <x v="1"/>
    <m/>
    <s v="recovery gaat gewoon oké denk ik"/>
    <x v="0"/>
    <m/>
    <m/>
    <x v="149"/>
    <m/>
  </r>
  <r>
    <m/>
    <x v="4"/>
    <s v="a835e628-fb71-48ae-b7e4-d9ffd25576f2"/>
    <s v="completed"/>
    <x v="3"/>
    <s v="2023-03-07T13:42:40.873000+00:00"/>
    <n v="4"/>
    <n v="4"/>
    <n v="1"/>
    <x v="4"/>
    <x v="17"/>
    <s v="13"/>
    <m/>
    <x v="2"/>
    <x v="2"/>
    <m/>
    <m/>
    <x v="0"/>
    <m/>
    <m/>
    <x v="149"/>
    <m/>
  </r>
  <r>
    <m/>
    <x v="1"/>
    <s v="91af5556-8fae-4631-921c-873ad2ce32c7"/>
    <s v="stopped"/>
    <x v="3"/>
    <s v="2023-03-07T14:28:08.267000+00:00"/>
    <n v="88"/>
    <n v="5"/>
    <n v="5.6818181818181816E-2"/>
    <x v="4"/>
    <x v="1"/>
    <s v="48"/>
    <m/>
    <x v="2"/>
    <x v="2"/>
    <m/>
    <m/>
    <x v="0"/>
    <m/>
    <m/>
    <x v="149"/>
    <m/>
  </r>
  <r>
    <s v="4955747b-97fe-4b11-b30a-27da8918abe5"/>
    <x v="0"/>
    <s v="aacef5d3-0618-466a-8b6f-a6325b2cd652"/>
    <s v="failed"/>
    <x v="0"/>
    <s v="2023-03-07T16:47:39.033000+00:00"/>
    <n v="153"/>
    <n v="0"/>
    <n v="0"/>
    <x v="412"/>
    <x v="2"/>
    <s v="59"/>
    <s v="URL"/>
    <x v="0"/>
    <x v="0"/>
    <m/>
    <m/>
    <x v="0"/>
    <m/>
    <m/>
    <x v="149"/>
    <m/>
  </r>
  <r>
    <s v="198c702c-0d30-4a68-8a35-3aaee0a3a7cc"/>
    <x v="0"/>
    <s v="aacef5d3-0618-466a-8b6f-a6325b2cd652"/>
    <s v="failed"/>
    <x v="20"/>
    <s v="2023-03-07T16:51:15.869000+00:00"/>
    <n v="153"/>
    <n v="1"/>
    <n v="6.5359477124183009E-3"/>
    <x v="274"/>
    <x v="2"/>
    <s v="59"/>
    <s v="URL"/>
    <x v="0"/>
    <x v="0"/>
    <m/>
    <m/>
    <x v="0"/>
    <m/>
    <m/>
    <x v="149"/>
    <m/>
  </r>
  <r>
    <m/>
    <x v="1"/>
    <s v="c3204b65-ddf7-43c0-898e-3b147a3d288d"/>
    <s v="stopped"/>
    <x v="3"/>
    <s v="2023-03-07T16:54:55.763000+00:00"/>
    <n v="94"/>
    <n v="11"/>
    <n v="0.11702127659574468"/>
    <x v="4"/>
    <x v="1"/>
    <s v="47"/>
    <m/>
    <x v="2"/>
    <x v="2"/>
    <m/>
    <m/>
    <x v="0"/>
    <m/>
    <m/>
    <x v="149"/>
    <m/>
  </r>
  <r>
    <m/>
    <x v="1"/>
    <s v="c81dfe73-eb02-4aef-9d3b-b0f61cdfe0f1"/>
    <s v="stopped"/>
    <x v="3"/>
    <s v="2023-03-07T17:16:16.472000+00:00"/>
    <n v="73"/>
    <n v="6"/>
    <n v="8.2191780821917804E-2"/>
    <x v="4"/>
    <x v="1"/>
    <s v="47"/>
    <m/>
    <x v="2"/>
    <x v="2"/>
    <m/>
    <m/>
    <x v="0"/>
    <m/>
    <m/>
    <x v="149"/>
    <m/>
  </r>
  <r>
    <s v="4ebee076-ecd6-4859-b787-906dc2ec715b"/>
    <x v="0"/>
    <s v="511df396-ed63-46d5-b872-940ab195c193"/>
    <s v="completed"/>
    <x v="0"/>
    <s v="2023-03-07T18:30:29.494000+00:00"/>
    <n v="152"/>
    <n v="19"/>
    <n v="0.125"/>
    <x v="277"/>
    <x v="2"/>
    <s v="59"/>
    <s v="URL"/>
    <x v="3"/>
    <x v="3"/>
    <m/>
    <m/>
    <x v="0"/>
    <m/>
    <m/>
    <x v="149"/>
    <m/>
  </r>
  <r>
    <s v="8f6d8027-5baf-41b0-ad32-f6a03e343b20"/>
    <x v="7"/>
    <s v="2b09c679-1999-44a4-83ad-d76cae5425bf"/>
    <s v="failed"/>
    <x v="0"/>
    <s v="2023-03-07T18:31:21.837000+00:00"/>
    <n v="121"/>
    <n v="2"/>
    <n v="1.6528925619834711E-2"/>
    <x v="416"/>
    <x v="2"/>
    <s v="10"/>
    <s v="URL"/>
    <x v="0"/>
    <x v="0"/>
    <m/>
    <m/>
    <x v="0"/>
    <m/>
    <m/>
    <x v="149"/>
    <m/>
  </r>
  <r>
    <s v="c9cadc6e-50e5-4195-a1eb-d71b2137b10d"/>
    <x v="7"/>
    <s v="2b09c679-1999-44a4-83ad-d76cae5425bf"/>
    <s v="failed"/>
    <x v="29"/>
    <s v="2023-03-07T18:36:16.955000+00:00"/>
    <n v="121"/>
    <n v="4"/>
    <n v="3.3057851239669422E-2"/>
    <x v="417"/>
    <x v="2"/>
    <s v="10"/>
    <s v="URL"/>
    <x v="0"/>
    <x v="0"/>
    <m/>
    <m/>
    <x v="0"/>
    <m/>
    <m/>
    <x v="149"/>
    <m/>
  </r>
  <r>
    <s v="0f9e45d4-83f0-435f-9bc8-2a9fa70221b0"/>
    <x v="0"/>
    <s v="511df396-ed63-46d5-b872-940ab195c193"/>
    <s v="completed"/>
    <x v="0"/>
    <s v="2023-03-07T19:16:29.788000+00:00"/>
    <n v="152"/>
    <n v="29"/>
    <n v="0.19078947368421054"/>
    <x v="409"/>
    <x v="2"/>
    <s v="59"/>
    <s v="URL"/>
    <x v="1"/>
    <x v="1"/>
    <m/>
    <m/>
    <x v="1"/>
    <m/>
    <m/>
    <x v="149"/>
    <m/>
  </r>
  <r>
    <s v="65e547c1-6840-4981-bfe9-c66e5299aba0"/>
    <x v="0"/>
    <s v="511df396-ed63-46d5-b872-940ab195c193"/>
    <s v="completed"/>
    <x v="0"/>
    <s v="2023-03-07T19:58:32.318000+00:00"/>
    <n v="152"/>
    <n v="39"/>
    <n v="0.25657894736842107"/>
    <x v="441"/>
    <x v="2"/>
    <s v="59"/>
    <s v="URL"/>
    <x v="3"/>
    <x v="3"/>
    <m/>
    <m/>
    <x v="0"/>
    <m/>
    <m/>
    <x v="149"/>
    <m/>
  </r>
  <r>
    <s v="9f974a8b-75fa-4f6f-84eb-8714c467ef4f"/>
    <x v="0"/>
    <s v="511df396-ed63-46d5-b872-940ab195c193"/>
    <s v="completed"/>
    <x v="0"/>
    <s v="2023-03-07T20:25:53.301000+00:00"/>
    <n v="152"/>
    <n v="45"/>
    <n v="0.29605263157894735"/>
    <x v="442"/>
    <x v="2"/>
    <s v="59"/>
    <s v="URL"/>
    <x v="3"/>
    <x v="3"/>
    <m/>
    <m/>
    <x v="0"/>
    <m/>
    <m/>
    <x v="149"/>
    <m/>
  </r>
  <r>
    <s v="62b293a1-e6ce-40cc-873f-52b3073e86cf"/>
    <x v="0"/>
    <s v="511df396-ed63-46d5-b872-940ab195c193"/>
    <s v="completed"/>
    <x v="0"/>
    <s v="2023-03-07T20:40:25.552000+00:00"/>
    <n v="152"/>
    <n v="48"/>
    <n v="0.31578947368421051"/>
    <x v="443"/>
    <x v="2"/>
    <s v="59"/>
    <s v="URL"/>
    <x v="3"/>
    <x v="3"/>
    <m/>
    <m/>
    <x v="0"/>
    <m/>
    <m/>
    <x v="149"/>
    <m/>
  </r>
  <r>
    <s v="a2b0210b-b4e3-4e78-a0ce-6155156c5732"/>
    <x v="0"/>
    <s v="511df396-ed63-46d5-b872-940ab195c193"/>
    <s v="completed"/>
    <x v="0"/>
    <s v="2023-03-07T21:03:16.988000+00:00"/>
    <n v="152"/>
    <n v="53"/>
    <n v="0.34868421052631576"/>
    <x v="444"/>
    <x v="2"/>
    <s v="59"/>
    <s v="URL"/>
    <x v="3"/>
    <x v="3"/>
    <m/>
    <m/>
    <x v="0"/>
    <m/>
    <m/>
    <x v="149"/>
    <m/>
  </r>
  <r>
    <s v="29d4a07c-d9e6-480f-81dd-b8867839104d"/>
    <x v="0"/>
    <s v="511df396-ed63-46d5-b872-940ab195c193"/>
    <s v="completed"/>
    <x v="0"/>
    <s v="2023-03-07T21:12:59.904000+00:00"/>
    <n v="152"/>
    <n v="55"/>
    <n v="0.36184210526315791"/>
    <x v="445"/>
    <x v="2"/>
    <s v="59"/>
    <s v="URL"/>
    <x v="3"/>
    <x v="3"/>
    <m/>
    <m/>
    <x v="0"/>
    <m/>
    <m/>
    <x v="149"/>
    <m/>
  </r>
  <r>
    <s v="dc8ecf3e-7473-4a89-a8aa-a7e34bec8fbe"/>
    <x v="1"/>
    <s v="f1c4201f-0d29-4724-888d-729ca7532fa8"/>
    <s v="completed"/>
    <x v="0"/>
    <s v="2023-03-07T21:27:34.415000+00:00"/>
    <n v="96"/>
    <n v="72"/>
    <n v="0.75"/>
    <x v="446"/>
    <x v="1"/>
    <s v="47"/>
    <s v="URL"/>
    <x v="18"/>
    <x v="18"/>
    <m/>
    <m/>
    <x v="0"/>
    <m/>
    <m/>
    <x v="149"/>
    <m/>
  </r>
  <r>
    <s v="cfe971ca-5384-4ef9-b27f-efaac9acdd4b"/>
    <x v="0"/>
    <s v="511df396-ed63-46d5-b872-940ab195c193"/>
    <s v="completed"/>
    <x v="0"/>
    <s v="2023-03-07T21:31:36.737000+00:00"/>
    <n v="152"/>
    <n v="59"/>
    <n v="0.38815789473684209"/>
    <x v="374"/>
    <x v="2"/>
    <s v="59"/>
    <s v="URL"/>
    <x v="3"/>
    <x v="3"/>
    <m/>
    <m/>
    <x v="0"/>
    <m/>
    <m/>
    <x v="149"/>
    <m/>
  </r>
  <r>
    <s v="d371b9d7-2690-4b4f-948a-c01efcb1d49a"/>
    <x v="0"/>
    <s v="511df396-ed63-46d5-b872-940ab195c193"/>
    <s v="completed"/>
    <x v="0"/>
    <s v="2023-03-07T21:41:44.639000+00:00"/>
    <n v="152"/>
    <n v="61"/>
    <n v="0.40131578947368424"/>
    <x v="447"/>
    <x v="2"/>
    <s v="59"/>
    <s v="URL"/>
    <x v="3"/>
    <x v="3"/>
    <m/>
    <m/>
    <x v="0"/>
    <m/>
    <m/>
    <x v="149"/>
    <m/>
  </r>
  <r>
    <s v="d47c3b63-bd2e-4197-89d4-1181094c1a49"/>
    <x v="0"/>
    <s v="511df396-ed63-46d5-b872-940ab195c193"/>
    <s v="completed"/>
    <x v="0"/>
    <s v="2023-03-07T22:04:27.314000+00:00"/>
    <n v="152"/>
    <n v="66"/>
    <n v="0.43421052631578949"/>
    <x v="406"/>
    <x v="2"/>
    <s v="59"/>
    <s v="URL"/>
    <x v="3"/>
    <x v="3"/>
    <m/>
    <m/>
    <x v="0"/>
    <m/>
    <m/>
    <x v="149"/>
    <m/>
  </r>
  <r>
    <s v="9bfb9b6f-2821-46e5-9e54-8ab830e69480"/>
    <x v="1"/>
    <s v="f1c4201f-0d29-4724-888d-729ca7532fa8"/>
    <s v="completed"/>
    <x v="0"/>
    <s v="2023-03-07T22:14:11.643000+00:00"/>
    <n v="96"/>
    <n v="86"/>
    <n v="0.89583333333333337"/>
    <x v="376"/>
    <x v="1"/>
    <s v="47"/>
    <s v="URL"/>
    <x v="18"/>
    <x v="18"/>
    <m/>
    <m/>
    <x v="0"/>
    <m/>
    <m/>
    <x v="149"/>
    <m/>
  </r>
  <r>
    <s v="c84a9deb-15aa-480b-a13a-86827ac0cd89"/>
    <x v="0"/>
    <s v="511df396-ed63-46d5-b872-940ab195c193"/>
    <s v="completed"/>
    <x v="0"/>
    <s v="2023-03-07T22:14:36.973000+00:00"/>
    <n v="152"/>
    <n v="68"/>
    <n v="0.44736842105263158"/>
    <x v="448"/>
    <x v="2"/>
    <s v="59"/>
    <s v="URL"/>
    <x v="3"/>
    <x v="3"/>
    <m/>
    <m/>
    <x v="0"/>
    <m/>
    <m/>
    <x v="149"/>
    <m/>
  </r>
  <r>
    <s v="be5e474b-3d37-4d1b-8682-d9671b26dc7e"/>
    <x v="0"/>
    <s v="511df396-ed63-46d5-b872-940ab195c193"/>
    <s v="completed"/>
    <x v="0"/>
    <s v="2023-03-07T22:20:11.722000+00:00"/>
    <n v="152"/>
    <n v="69"/>
    <n v="0.45394736842105265"/>
    <x v="449"/>
    <x v="2"/>
    <s v="59"/>
    <s v="URL"/>
    <x v="3"/>
    <x v="3"/>
    <m/>
    <m/>
    <x v="0"/>
    <m/>
    <m/>
    <x v="149"/>
    <m/>
  </r>
  <r>
    <m/>
    <x v="1"/>
    <s v="f1c4201f-0d29-4724-888d-729ca7532fa8"/>
    <s v="completed"/>
    <x v="0"/>
    <s v="2023-03-07T22:42:33+00:00"/>
    <n v="96"/>
    <n v="36"/>
    <n v="0.375"/>
    <x v="207"/>
    <x v="1"/>
    <s v="47"/>
    <m/>
    <x v="18"/>
    <x v="18"/>
    <m/>
    <m/>
    <x v="0"/>
    <m/>
    <m/>
    <x v="149"/>
    <m/>
  </r>
  <r>
    <m/>
    <x v="1"/>
    <s v="f1c4201f-0d29-4724-888d-729ca7532fa8"/>
    <s v="completed"/>
    <x v="3"/>
    <s v="2023-03-07T22:42:33+00:00"/>
    <n v="96"/>
    <n v="93"/>
    <n v="0.96875"/>
    <x v="4"/>
    <x v="1"/>
    <s v="47"/>
    <m/>
    <x v="2"/>
    <x v="2"/>
    <m/>
    <m/>
    <x v="0"/>
    <m/>
    <m/>
    <x v="149"/>
    <m/>
  </r>
  <r>
    <m/>
    <x v="0"/>
    <s v="511df396-ed63-46d5-b872-940ab195c193"/>
    <s v="completed"/>
    <x v="3"/>
    <s v="2023-03-08T04:13:07.126000+00:00"/>
    <n v="152"/>
    <n v="140"/>
    <n v="0.92105263157894735"/>
    <x v="4"/>
    <x v="2"/>
    <s v="59"/>
    <m/>
    <x v="2"/>
    <x v="2"/>
    <m/>
    <m/>
    <x v="0"/>
    <m/>
    <m/>
    <x v="150"/>
    <m/>
  </r>
  <r>
    <s v="2c8feb13-0306-449d-aa57-b36b625e5749"/>
    <x v="4"/>
    <s v="de8b04a4-873e-4dca-a5cf-c9d0158265db"/>
    <s v="failed"/>
    <x v="0"/>
    <s v="2023-03-08T07:08:45.907000+00:00"/>
    <n v="73"/>
    <n v="3"/>
    <n v="4.1095890410958902E-2"/>
    <x v="450"/>
    <x v="11"/>
    <s v="14"/>
    <s v="URL"/>
    <x v="6"/>
    <x v="6"/>
    <m/>
    <m/>
    <x v="0"/>
    <m/>
    <m/>
    <x v="150"/>
    <m/>
  </r>
  <r>
    <s v="296ae966-4a96-4980-9a0b-4958406ef78f"/>
    <x v="4"/>
    <s v="de8b04a4-873e-4dca-a5cf-c9d0158265db"/>
    <s v="failed"/>
    <x v="33"/>
    <s v="2023-03-08T08:07:30.371000+00:00"/>
    <n v="73"/>
    <n v="29"/>
    <n v="0.39726027397260272"/>
    <x v="451"/>
    <x v="11"/>
    <s v="14"/>
    <s v="URL"/>
    <x v="17"/>
    <x v="17"/>
    <m/>
    <m/>
    <x v="0"/>
    <m/>
    <m/>
    <x v="150"/>
    <m/>
  </r>
  <r>
    <m/>
    <x v="9"/>
    <s v="7dfbc9a6-50bf-4531-b726-61e231d163e0"/>
    <s v="completed"/>
    <x v="3"/>
    <s v="2023-03-08T08:34:12.695000+00:00"/>
    <n v="82"/>
    <n v="82"/>
    <n v="1"/>
    <x v="4"/>
    <x v="14"/>
    <s v="22"/>
    <m/>
    <x v="2"/>
    <x v="2"/>
    <m/>
    <m/>
    <x v="0"/>
    <m/>
    <m/>
    <x v="150"/>
    <m/>
  </r>
  <r>
    <m/>
    <x v="4"/>
    <s v="1c9a1ab9-09b6-4317-a11c-591e9c61d038"/>
    <s v="completed"/>
    <x v="3"/>
    <s v="2023-03-08T09:44:18.725000+00:00"/>
    <n v="34"/>
    <n v="34"/>
    <n v="1"/>
    <x v="4"/>
    <x v="11"/>
    <s v="14"/>
    <m/>
    <x v="2"/>
    <x v="2"/>
    <m/>
    <m/>
    <x v="0"/>
    <m/>
    <m/>
    <x v="150"/>
    <m/>
  </r>
  <r>
    <s v="4e829898-b612-4913-99f7-3b1c3328ae15"/>
    <x v="4"/>
    <s v="9dd92d1e-5af9-4371-b3a6-0d8da043ef13"/>
    <s v="failed"/>
    <x v="33"/>
    <s v="2023-03-09T10:05:58.088000+00:00"/>
    <n v="50"/>
    <n v="7"/>
    <n v="0.14000000000000001"/>
    <x v="452"/>
    <x v="0"/>
    <s v="13"/>
    <s v="URL"/>
    <x v="17"/>
    <x v="17"/>
    <m/>
    <m/>
    <x v="0"/>
    <m/>
    <m/>
    <x v="151"/>
    <m/>
  </r>
  <r>
    <s v="0c9d588a-f1bc-4b38-8866-728ddb78e353"/>
    <x v="4"/>
    <s v="0b206722-10cd-47f1-9b6f-661fb18c4e37"/>
    <s v="failed"/>
    <x v="33"/>
    <s v="2023-03-09T10:52:44.813000+00:00"/>
    <n v="48"/>
    <n v="7"/>
    <n v="0.14583333333333334"/>
    <x v="453"/>
    <x v="2"/>
    <s v="13"/>
    <s v="URL"/>
    <x v="17"/>
    <x v="17"/>
    <m/>
    <m/>
    <x v="0"/>
    <m/>
    <m/>
    <x v="151"/>
    <m/>
  </r>
  <r>
    <s v="bc931ce6-da08-4c96-8a0b-785e4cde1bf4"/>
    <x v="4"/>
    <s v="b2917c6b-1ce9-43f3-8f63-c12da8bb9b8c"/>
    <s v="failed"/>
    <x v="33"/>
    <s v="2023-03-09T11:40:23.153000+00:00"/>
    <n v="25"/>
    <n v="1"/>
    <n v="0.04"/>
    <x v="454"/>
    <x v="0"/>
    <s v="13"/>
    <s v="URL"/>
    <x v="28"/>
    <x v="26"/>
    <m/>
    <m/>
    <x v="0"/>
    <m/>
    <m/>
    <x v="151"/>
    <m/>
  </r>
  <r>
    <s v="bc931ce6-da08-4c96-8a0b-785e4cde1bf4"/>
    <x v="4"/>
    <s v="f45365a2-4b06-4483-bd80-d91c2cfa25a4"/>
    <s v="failed"/>
    <x v="33"/>
    <s v="2023-03-09T11:40:23.153000+00:00"/>
    <n v="51"/>
    <n v="1"/>
    <n v="1.9607843137254902E-2"/>
    <x v="454"/>
    <x v="18"/>
    <s v="13"/>
    <s v="URL"/>
    <x v="28"/>
    <x v="26"/>
    <m/>
    <m/>
    <x v="0"/>
    <m/>
    <m/>
    <x v="151"/>
    <m/>
  </r>
  <r>
    <s v="4183e75c-a963-44f2-b61f-5af408c04ab6"/>
    <x v="4"/>
    <s v="f36aec6d-36b6-4b22-a8f5-c4ee464e0159"/>
    <s v="failed"/>
    <x v="0"/>
    <s v="2023-03-09T12:09:19.324000+00:00"/>
    <n v="25"/>
    <n v="5"/>
    <n v="0.2"/>
    <x v="455"/>
    <x v="0"/>
    <s v="13"/>
    <s v="URL"/>
    <x v="17"/>
    <x v="17"/>
    <m/>
    <m/>
    <x v="0"/>
    <m/>
    <m/>
    <x v="151"/>
    <m/>
  </r>
  <r>
    <s v="4e49431f-7a70-4498-ab4d-f40c83b27d31"/>
    <x v="1"/>
    <s v="c526a35f-597d-4b87-958d-3cacc760dded"/>
    <s v="stopped"/>
    <x v="0"/>
    <s v="2023-03-09T12:10:29.955000+00:00"/>
    <n v="9"/>
    <n v="1"/>
    <n v="0.1111111111111111"/>
    <x v="222"/>
    <x v="1"/>
    <s v="47"/>
    <s v="URL"/>
    <x v="6"/>
    <x v="6"/>
    <m/>
    <m/>
    <x v="0"/>
    <m/>
    <m/>
    <x v="151"/>
    <m/>
  </r>
  <r>
    <m/>
    <x v="1"/>
    <s v="62a83493-5d76-410d-acd4-7fae1395c1e9"/>
    <s v="stopped"/>
    <x v="3"/>
    <s v="2023-03-09T12:13:01.736000+00:00"/>
    <n v="6"/>
    <n v="1"/>
    <n v="0.16666666666666666"/>
    <x v="4"/>
    <x v="3"/>
    <s v="47"/>
    <m/>
    <x v="2"/>
    <x v="2"/>
    <m/>
    <m/>
    <x v="0"/>
    <m/>
    <m/>
    <x v="151"/>
    <m/>
  </r>
  <r>
    <s v="008d1113-dac8-498d-a6df-0ca1d9212b7f"/>
    <x v="4"/>
    <s v="f36aec6d-36b6-4b22-a8f5-c4ee464e0159"/>
    <s v="failed"/>
    <x v="33"/>
    <s v="2023-03-09T12:21:34.043000+00:00"/>
    <n v="25"/>
    <n v="8"/>
    <n v="0.32"/>
    <x v="456"/>
    <x v="0"/>
    <s v="13"/>
    <s v="URL"/>
    <x v="17"/>
    <x v="17"/>
    <m/>
    <m/>
    <x v="0"/>
    <m/>
    <m/>
    <x v="151"/>
    <m/>
  </r>
  <r>
    <s v="d05f9912-0389-4a08-9a53-db20b02f5c1e"/>
    <x v="1"/>
    <s v="0b33638e-ecd7-4e8b-b7c0-f25b8456e572"/>
    <s v="failed"/>
    <x v="42"/>
    <s v="2023-03-09T12:28:00.446000+00:00"/>
    <n v="5"/>
    <n v="1"/>
    <n v="0.2"/>
    <x v="222"/>
    <x v="1"/>
    <s v="47"/>
    <s v="URL"/>
    <x v="7"/>
    <x v="7"/>
    <m/>
    <m/>
    <x v="0"/>
    <m/>
    <m/>
    <x v="151"/>
    <m/>
  </r>
  <r>
    <m/>
    <x v="1"/>
    <s v="d67d894b-2993-4336-bc2b-ea6818d7edc3"/>
    <s v="stopped"/>
    <x v="3"/>
    <s v="2023-03-09T12:28:52.956000+00:00"/>
    <n v="6"/>
    <n v="1"/>
    <n v="0.16666666666666666"/>
    <x v="4"/>
    <x v="3"/>
    <s v="47"/>
    <m/>
    <x v="2"/>
    <x v="2"/>
    <m/>
    <m/>
    <x v="0"/>
    <m/>
    <m/>
    <x v="151"/>
    <m/>
  </r>
  <r>
    <s v="ea9bdd68-8685-40d4-9ad7-8aa1e95cabe9"/>
    <x v="4"/>
    <s v="daabb195-4713-4bc4-aa8f-12efa77dac92"/>
    <s v="failed"/>
    <x v="33"/>
    <s v="2023-03-09T13:14:35.758000+00:00"/>
    <n v="19"/>
    <n v="2"/>
    <n v="0.10526315789473684"/>
    <x v="456"/>
    <x v="0"/>
    <s v="13"/>
    <s v="URL"/>
    <x v="17"/>
    <x v="17"/>
    <m/>
    <m/>
    <x v="0"/>
    <m/>
    <m/>
    <x v="151"/>
    <m/>
  </r>
  <r>
    <s v="15dac5ab-ad21-490a-830d-4a5872de932b"/>
    <x v="4"/>
    <s v="16874a90-0aac-4265-b389-6819f167a130"/>
    <s v="stopped"/>
    <x v="0"/>
    <s v="2023-03-09T13:23:46.756000+00:00"/>
    <n v="19"/>
    <n v="1"/>
    <n v="5.2631578947368418E-2"/>
    <x v="124"/>
    <x v="0"/>
    <s v="13"/>
    <s v="URL"/>
    <x v="28"/>
    <x v="26"/>
    <m/>
    <m/>
    <x v="0"/>
    <m/>
    <m/>
    <x v="151"/>
    <m/>
  </r>
  <r>
    <m/>
    <x v="4"/>
    <s v="89aacc96-7a3d-41e6-9f30-85674e8cd3f8"/>
    <s v="stopped"/>
    <x v="3"/>
    <s v="2023-03-09T14:54:31.324000+00:00"/>
    <n v="152"/>
    <n v="3"/>
    <n v="1.9736842105263157E-2"/>
    <x v="4"/>
    <x v="11"/>
    <s v="14"/>
    <m/>
    <x v="2"/>
    <x v="2"/>
    <m/>
    <m/>
    <x v="0"/>
    <m/>
    <m/>
    <x v="151"/>
    <m/>
  </r>
  <r>
    <m/>
    <x v="4"/>
    <s v="5d5a81ef-3685-4a73-b399-8716333ca6e6"/>
    <s v="failed"/>
    <x v="33"/>
    <s v="2023-03-09T15:01:19.053000+00:00"/>
    <n v="150"/>
    <n v="1"/>
    <n v="6.6666666666666671E-3"/>
    <x v="124"/>
    <x v="11"/>
    <s v="14"/>
    <m/>
    <x v="28"/>
    <x v="26"/>
    <m/>
    <m/>
    <x v="0"/>
    <m/>
    <m/>
    <x v="151"/>
    <m/>
  </r>
  <r>
    <m/>
    <x v="4"/>
    <s v="c9c72e12-d4b9-447a-a254-099deecf1a92"/>
    <s v="failed"/>
    <x v="33"/>
    <s v="2023-03-09T16:05:13.030000+00:00"/>
    <n v="152"/>
    <n v="27"/>
    <n v="0.17763157894736842"/>
    <x v="457"/>
    <x v="11"/>
    <s v="14"/>
    <m/>
    <x v="17"/>
    <x v="17"/>
    <m/>
    <m/>
    <x v="0"/>
    <m/>
    <m/>
    <x v="151"/>
    <m/>
  </r>
  <r>
    <m/>
    <x v="1"/>
    <s v="203516c7-348b-456b-a04a-4b32a1751a4b"/>
    <s v="stopped"/>
    <x v="3"/>
    <s v="2023-03-09T17:51:00.049000+00:00"/>
    <n v="190"/>
    <n v="7"/>
    <n v="3.6842105263157891E-2"/>
    <x v="4"/>
    <x v="19"/>
    <s v="47"/>
    <m/>
    <x v="2"/>
    <x v="2"/>
    <m/>
    <m/>
    <x v="0"/>
    <m/>
    <m/>
    <x v="151"/>
    <m/>
  </r>
  <r>
    <m/>
    <x v="0"/>
    <s v="cdbfcc4a-89bb-44ca-ace2-8e3bd3c34a87"/>
    <s v="failed"/>
    <x v="0"/>
    <s v="2023-03-09T19:25:14.497000+00:00"/>
    <n v="154"/>
    <n v="42"/>
    <n v="0.27272727272727271"/>
    <x v="410"/>
    <x v="0"/>
    <s v="59"/>
    <m/>
    <x v="1"/>
    <x v="1"/>
    <m/>
    <m/>
    <x v="0"/>
    <m/>
    <m/>
    <x v="151"/>
    <m/>
  </r>
  <r>
    <m/>
    <x v="6"/>
    <s v="97da4368-651e-453d-821e-2378bf6139c0"/>
    <s v="completed"/>
    <x v="3"/>
    <s v="2023-03-09T20:11:43.541000+00:00"/>
    <n v="11"/>
    <n v="11"/>
    <n v="1"/>
    <x v="4"/>
    <x v="5"/>
    <s v="54"/>
    <m/>
    <x v="2"/>
    <x v="2"/>
    <m/>
    <m/>
    <x v="0"/>
    <m/>
    <m/>
    <x v="151"/>
    <m/>
  </r>
  <r>
    <s v="be082572-748a-4994-b8ad-687c90265c3f"/>
    <x v="3"/>
    <s v="d7cb248e-231c-4eb4-bc04-9092f9e157ec"/>
    <s v="failed"/>
    <x v="41"/>
    <s v="2023-03-09T20:51:32.284000+00:00"/>
    <n v="198"/>
    <n v="53"/>
    <n v="0.26767676767676768"/>
    <x v="458"/>
    <x v="20"/>
    <s v="48"/>
    <s v="URL"/>
    <x v="5"/>
    <x v="5"/>
    <m/>
    <m/>
    <x v="0"/>
    <m/>
    <m/>
    <x v="151"/>
    <m/>
  </r>
  <r>
    <s v="deed9c2d-85ba-4528-bf1c-93de861563a4"/>
    <x v="1"/>
    <s v="e02babd5-80f2-4b75-b464-3d86c4175afa"/>
    <s v="failed"/>
    <x v="0"/>
    <s v="2023-03-09T21:08:35.023000+00:00"/>
    <n v="185"/>
    <n v="54"/>
    <n v="0.29189189189189191"/>
    <x v="446"/>
    <x v="19"/>
    <s v="47"/>
    <s v="URL"/>
    <x v="18"/>
    <x v="18"/>
    <m/>
    <m/>
    <x v="0"/>
    <m/>
    <m/>
    <x v="151"/>
    <m/>
  </r>
  <r>
    <s v="6baf6460-47f9-472f-9bb3-00a14b684048"/>
    <x v="7"/>
    <s v="ae618750-26ef-4090-8cc1-e98d7fd78170"/>
    <s v="completed"/>
    <x v="0"/>
    <s v="2023-03-09T21:54:44.324000+00:00"/>
    <n v="121"/>
    <n v="51"/>
    <n v="0.42148760330578511"/>
    <x v="459"/>
    <x v="0"/>
    <s v="10"/>
    <s v="URL"/>
    <x v="19"/>
    <x v="19"/>
    <m/>
    <m/>
    <x v="0"/>
    <m/>
    <m/>
    <x v="151"/>
    <m/>
  </r>
  <r>
    <m/>
    <x v="4"/>
    <s v="b22598ed-2e3c-4b4d-ab9d-5badc34b08db"/>
    <s v="completed"/>
    <x v="3"/>
    <s v="2023-03-09T22:12:29.285000+00:00"/>
    <n v="152"/>
    <n v="152"/>
    <n v="1"/>
    <x v="4"/>
    <x v="11"/>
    <s v="14"/>
    <m/>
    <x v="2"/>
    <x v="2"/>
    <m/>
    <m/>
    <x v="0"/>
    <m/>
    <m/>
    <x v="151"/>
    <m/>
  </r>
  <r>
    <s v="1f387626-2040-4be2-8328-4125c256de03"/>
    <x v="1"/>
    <s v="e02babd5-80f2-4b75-b464-3d86c4175afa"/>
    <s v="failed"/>
    <x v="41"/>
    <s v="2023-03-09T22:53:31.455000+00:00"/>
    <n v="185"/>
    <n v="85"/>
    <n v="0.45945945945945948"/>
    <x v="460"/>
    <x v="19"/>
    <s v="47"/>
    <s v="URL"/>
    <x v="5"/>
    <x v="5"/>
    <m/>
    <m/>
    <x v="0"/>
    <m/>
    <m/>
    <x v="151"/>
    <m/>
  </r>
  <r>
    <m/>
    <x v="0"/>
    <s v="cdbfcc4a-89bb-44ca-ace2-8e3bd3c34a87"/>
    <s v="failed"/>
    <x v="0"/>
    <s v="2023-03-09T22:54:54.230000+00:00"/>
    <n v="154"/>
    <n v="92"/>
    <n v="0.59740259740259738"/>
    <x v="461"/>
    <x v="0"/>
    <s v="59"/>
    <m/>
    <x v="3"/>
    <x v="3"/>
    <m/>
    <m/>
    <x v="0"/>
    <m/>
    <m/>
    <x v="151"/>
    <m/>
  </r>
  <r>
    <m/>
    <x v="0"/>
    <s v="cdbfcc4a-89bb-44ca-ace2-8e3bd3c34a87"/>
    <s v="failed"/>
    <x v="58"/>
    <s v="2023-03-09T22:59:46.766000+00:00"/>
    <n v="154"/>
    <n v="93"/>
    <n v="0.60389610389610393"/>
    <x v="432"/>
    <x v="0"/>
    <s v="59"/>
    <m/>
    <x v="11"/>
    <x v="11"/>
    <m/>
    <m/>
    <x v="0"/>
    <m/>
    <m/>
    <x v="151"/>
    <m/>
  </r>
  <r>
    <m/>
    <x v="2"/>
    <s v="55ea4c8d-bf49-4b92-ab2e-26446acc0adb"/>
    <s v="completed"/>
    <x v="0"/>
    <s v="2023-03-10T01:08:54.796000+00:00"/>
    <n v="210"/>
    <n v="120"/>
    <n v="0.5714285714285714"/>
    <x v="358"/>
    <x v="2"/>
    <s v="58"/>
    <m/>
    <x v="22"/>
    <x v="22"/>
    <m/>
    <m/>
    <x v="0"/>
    <m/>
    <m/>
    <x v="152"/>
    <m/>
  </r>
  <r>
    <m/>
    <x v="7"/>
    <s v="ae618750-26ef-4090-8cc1-e98d7fd78170"/>
    <s v="completed"/>
    <x v="3"/>
    <s v="2023-03-10T02:36:24.539000+00:00"/>
    <n v="121"/>
    <n v="120"/>
    <n v="0.99173553719008267"/>
    <x v="4"/>
    <x v="0"/>
    <s v="10"/>
    <m/>
    <x v="2"/>
    <x v="2"/>
    <m/>
    <m/>
    <x v="0"/>
    <m/>
    <m/>
    <x v="152"/>
    <m/>
  </r>
  <r>
    <m/>
    <x v="0"/>
    <s v="a4b1f868-433d-4d64-9f03-dc0c47018aeb"/>
    <s v="failed"/>
    <x v="0"/>
    <s v="2023-03-10T06:32:08.823000+00:00"/>
    <n v="6"/>
    <n v="0"/>
    <n v="0"/>
    <x v="124"/>
    <x v="0"/>
    <s v="59"/>
    <m/>
    <x v="19"/>
    <x v="19"/>
    <m/>
    <m/>
    <x v="0"/>
    <m/>
    <m/>
    <x v="152"/>
    <m/>
  </r>
  <r>
    <m/>
    <x v="0"/>
    <s v="a4b1f868-433d-4d64-9f03-dc0c47018aeb"/>
    <s v="failed"/>
    <x v="20"/>
    <s v="2023-03-10T06:32:44.820000+00:00"/>
    <n v="6"/>
    <n v="1"/>
    <n v="0.16666666666666666"/>
    <x v="462"/>
    <x v="0"/>
    <s v="59"/>
    <m/>
    <x v="19"/>
    <x v="19"/>
    <m/>
    <m/>
    <x v="0"/>
    <m/>
    <m/>
    <x v="152"/>
    <m/>
  </r>
  <r>
    <m/>
    <x v="0"/>
    <s v="b0ac9c54-45a5-421d-b7f6-9762da0a70e0"/>
    <s v="failed"/>
    <x v="20"/>
    <s v="2023-03-10T06:37:24.768000+00:00"/>
    <n v="5"/>
    <n v="0"/>
    <n v="0"/>
    <x v="124"/>
    <x v="0"/>
    <s v="59"/>
    <m/>
    <x v="19"/>
    <x v="19"/>
    <m/>
    <m/>
    <x v="0"/>
    <m/>
    <m/>
    <x v="152"/>
    <m/>
  </r>
  <r>
    <m/>
    <x v="2"/>
    <s v="55ea4c8d-bf49-4b92-ab2e-26446acc0adb"/>
    <s v="completed"/>
    <x v="3"/>
    <s v="2023-03-10T07:30:57.472000+00:00"/>
    <n v="210"/>
    <n v="209"/>
    <n v="0.99523809523809526"/>
    <x v="4"/>
    <x v="2"/>
    <s v="58"/>
    <m/>
    <x v="2"/>
    <x v="2"/>
    <m/>
    <m/>
    <x v="0"/>
    <m/>
    <m/>
    <x v="152"/>
    <m/>
  </r>
  <r>
    <m/>
    <x v="9"/>
    <s v="e9fdbf78-aca9-4d26-b318-d78c913a1ad1"/>
    <s v="completed"/>
    <x v="3"/>
    <s v="2023-03-10T08:47:34.636000+00:00"/>
    <n v="82"/>
    <n v="82"/>
    <n v="1"/>
    <x v="4"/>
    <x v="14"/>
    <s v="22"/>
    <m/>
    <x v="2"/>
    <x v="2"/>
    <m/>
    <m/>
    <x v="0"/>
    <m/>
    <m/>
    <x v="152"/>
    <m/>
  </r>
  <r>
    <m/>
    <x v="0"/>
    <s v="ee73d620-88b4-42b1-9c47-d921e0043265"/>
    <s v="completed"/>
    <x v="3"/>
    <s v="2023-03-10T11:32:59.458000+00:00"/>
    <n v="6"/>
    <n v="6"/>
    <n v="1"/>
    <x v="4"/>
    <x v="0"/>
    <s v="59"/>
    <m/>
    <x v="2"/>
    <x v="2"/>
    <m/>
    <m/>
    <x v="0"/>
    <m/>
    <m/>
    <x v="152"/>
    <m/>
  </r>
  <r>
    <m/>
    <x v="5"/>
    <s v="154370b9-e2c7-4a7b-9ad3-db804eb3ba26"/>
    <s v="stopped"/>
    <x v="3"/>
    <s v="2023-03-10T14:44:31.686000+00:00"/>
    <n v="37"/>
    <n v="0"/>
    <n v="0"/>
    <x v="4"/>
    <x v="5"/>
    <s v="61"/>
    <m/>
    <x v="2"/>
    <x v="2"/>
    <m/>
    <m/>
    <x v="0"/>
    <m/>
    <m/>
    <x v="152"/>
    <m/>
  </r>
  <r>
    <s v="e766110f-21c1-47d8-99e8-72a97bd5d6c2"/>
    <x v="2"/>
    <s v="aad15a0b-8616-4e65-a72e-a4a96350b69d"/>
    <s v="completed"/>
    <x v="0"/>
    <s v="2023-03-10T16:00:35.766000+00:00"/>
    <n v="223"/>
    <n v="6"/>
    <n v="2.6905829596412557E-2"/>
    <x v="364"/>
    <x v="0"/>
    <s v="58"/>
    <s v="URL"/>
    <x v="3"/>
    <x v="3"/>
    <m/>
    <m/>
    <x v="0"/>
    <m/>
    <m/>
    <x v="152"/>
    <m/>
  </r>
  <r>
    <s v="894f665c-06f7-432f-beb3-69674e6562fe"/>
    <x v="2"/>
    <s v="aad15a0b-8616-4e65-a72e-a4a96350b69d"/>
    <s v="completed"/>
    <x v="0"/>
    <s v="2023-03-10T18:36:51.726000+00:00"/>
    <n v="223"/>
    <n v="43"/>
    <n v="0.19282511210762332"/>
    <x v="463"/>
    <x v="0"/>
    <s v="58"/>
    <s v="URL"/>
    <x v="1"/>
    <x v="1"/>
    <m/>
    <m/>
    <x v="1"/>
    <m/>
    <m/>
    <x v="152"/>
    <m/>
  </r>
  <r>
    <s v="f7dc375d-9da5-4dbb-9ad9-ab434088f3f7"/>
    <x v="0"/>
    <s v="251cfd4f-4b4e-4b95-bd0b-629d4398dbf4"/>
    <s v="completed"/>
    <x v="0"/>
    <s v="2023-03-10T18:49:02.475000+00:00"/>
    <n v="150"/>
    <n v="43"/>
    <n v="0.28666666666666668"/>
    <x v="431"/>
    <x v="0"/>
    <s v="59"/>
    <s v="URL"/>
    <x v="3"/>
    <x v="3"/>
    <m/>
    <m/>
    <x v="0"/>
    <m/>
    <m/>
    <x v="152"/>
    <m/>
  </r>
  <r>
    <m/>
    <x v="5"/>
    <s v="df9171b0-777b-40e2-b4f1-238a571535b1"/>
    <s v="completed"/>
    <x v="3"/>
    <s v="2023-03-10T19:03:01.529000+00:00"/>
    <n v="37"/>
    <n v="37"/>
    <n v="1"/>
    <x v="4"/>
    <x v="5"/>
    <s v="61"/>
    <m/>
    <x v="2"/>
    <x v="2"/>
    <m/>
    <m/>
    <x v="0"/>
    <m/>
    <m/>
    <x v="152"/>
    <m/>
  </r>
  <r>
    <s v="cfbc33f7-b6c6-4c60-852d-a3a675ddbd8a"/>
    <x v="2"/>
    <s v="aad15a0b-8616-4e65-a72e-a4a96350b69d"/>
    <s v="completed"/>
    <x v="0"/>
    <s v="2023-03-10T19:14:11.771000+00:00"/>
    <n v="223"/>
    <n v="52"/>
    <n v="0.23318385650224216"/>
    <x v="464"/>
    <x v="0"/>
    <s v="58"/>
    <s v="URL"/>
    <x v="1"/>
    <x v="1"/>
    <m/>
    <m/>
    <x v="1"/>
    <m/>
    <m/>
    <x v="152"/>
    <m/>
  </r>
  <r>
    <s v="e383d86b-3a43-4eac-b5fd-9be357317375"/>
    <x v="0"/>
    <s v="251cfd4f-4b4e-4b95-bd0b-629d4398dbf4"/>
    <s v="completed"/>
    <x v="0"/>
    <s v="2023-03-10T19:45:23.221000+00:00"/>
    <n v="150"/>
    <n v="56"/>
    <n v="0.37333333333333335"/>
    <x v="461"/>
    <x v="0"/>
    <s v="59"/>
    <s v="URL"/>
    <x v="3"/>
    <x v="3"/>
    <m/>
    <m/>
    <x v="0"/>
    <m/>
    <m/>
    <x v="152"/>
    <m/>
  </r>
  <r>
    <s v="f16270b5-8e3d-4fc1-b004-0f08c8d4036a"/>
    <x v="0"/>
    <s v="251cfd4f-4b4e-4b95-bd0b-629d4398dbf4"/>
    <s v="completed"/>
    <x v="0"/>
    <s v="2023-03-10T22:14:45.647000+00:00"/>
    <n v="150"/>
    <n v="91"/>
    <n v="0.60666666666666669"/>
    <x v="465"/>
    <x v="0"/>
    <s v="59"/>
    <s v="URL"/>
    <x v="3"/>
    <x v="3"/>
    <m/>
    <m/>
    <x v="0"/>
    <m/>
    <m/>
    <x v="152"/>
    <m/>
  </r>
  <r>
    <s v="0855d5a9-3f90-4b04-943d-587f3753b0dd"/>
    <x v="0"/>
    <s v="251cfd4f-4b4e-4b95-bd0b-629d4398dbf4"/>
    <s v="completed"/>
    <x v="0"/>
    <s v="2023-03-10T22:28:14.246000+00:00"/>
    <n v="150"/>
    <n v="94"/>
    <n v="0.62666666666666671"/>
    <x v="466"/>
    <x v="0"/>
    <s v="59"/>
    <s v="URL"/>
    <x v="3"/>
    <x v="3"/>
    <m/>
    <m/>
    <x v="0"/>
    <m/>
    <m/>
    <x v="152"/>
    <m/>
  </r>
  <r>
    <s v="fd4e88df-fd8f-4dd0-ae10-821f2935f4b8"/>
    <x v="0"/>
    <s v="251cfd4f-4b4e-4b95-bd0b-629d4398dbf4"/>
    <s v="completed"/>
    <x v="0"/>
    <s v="2023-03-10T22:46:18.437000+00:00"/>
    <n v="150"/>
    <n v="98"/>
    <n v="0.65333333333333332"/>
    <x v="467"/>
    <x v="0"/>
    <s v="59"/>
    <s v="URL"/>
    <x v="3"/>
    <x v="3"/>
    <m/>
    <m/>
    <x v="0"/>
    <m/>
    <m/>
    <x v="152"/>
    <m/>
  </r>
  <r>
    <s v="d909a0c9-6c4c-4db6-8890-501bf42bd0c4"/>
    <x v="0"/>
    <s v="251cfd4f-4b4e-4b95-bd0b-629d4398dbf4"/>
    <s v="completed"/>
    <x v="0"/>
    <s v="2023-03-10T23:17:02.249000+00:00"/>
    <n v="150"/>
    <n v="105"/>
    <n v="0.7"/>
    <x v="468"/>
    <x v="0"/>
    <s v="59"/>
    <s v="URL"/>
    <x v="3"/>
    <x v="3"/>
    <m/>
    <m/>
    <x v="0"/>
    <m/>
    <m/>
    <x v="152"/>
    <m/>
  </r>
  <r>
    <s v="0d624031-8311-43f2-aa21-4652aef293e7"/>
    <x v="0"/>
    <s v="251cfd4f-4b4e-4b95-bd0b-629d4398dbf4"/>
    <s v="completed"/>
    <x v="0"/>
    <s v="2023-03-10T23:24:04.216000+00:00"/>
    <n v="150"/>
    <n v="106"/>
    <n v="0.70666666666666667"/>
    <x v="410"/>
    <x v="0"/>
    <s v="59"/>
    <s v="URL"/>
    <x v="1"/>
    <x v="1"/>
    <m/>
    <m/>
    <x v="1"/>
    <m/>
    <m/>
    <x v="152"/>
    <m/>
  </r>
  <r>
    <s v="b4413ddd-9288-44fe-88df-977f7b2a7e1c"/>
    <x v="0"/>
    <s v="251cfd4f-4b4e-4b95-bd0b-629d4398dbf4"/>
    <s v="completed"/>
    <x v="0"/>
    <s v="2023-03-10T23:44:06.226000+00:00"/>
    <n v="150"/>
    <n v="111"/>
    <n v="0.74"/>
    <x v="469"/>
    <x v="0"/>
    <s v="59"/>
    <s v="URL"/>
    <x v="3"/>
    <x v="3"/>
    <m/>
    <m/>
    <x v="0"/>
    <m/>
    <m/>
    <x v="152"/>
    <m/>
  </r>
  <r>
    <m/>
    <x v="0"/>
    <s v="251cfd4f-4b4e-4b95-bd0b-629d4398dbf4"/>
    <s v="completed"/>
    <x v="3"/>
    <s v="2023-03-11T02:22:59.857000+00:00"/>
    <n v="150"/>
    <n v="142"/>
    <n v="0.94666666666666666"/>
    <x v="4"/>
    <x v="0"/>
    <s v="59"/>
    <m/>
    <x v="2"/>
    <x v="2"/>
    <m/>
    <m/>
    <x v="0"/>
    <m/>
    <m/>
    <x v="153"/>
    <m/>
  </r>
  <r>
    <m/>
    <x v="7"/>
    <s v="5a0a63e7-4e72-4427-9f66-d807d7cfdef6"/>
    <s v="completed"/>
    <x v="3"/>
    <s v="2023-03-11T02:35:24.965000+00:00"/>
    <n v="120"/>
    <n v="120"/>
    <n v="1"/>
    <x v="4"/>
    <x v="2"/>
    <s v="10"/>
    <m/>
    <x v="2"/>
    <x v="2"/>
    <m/>
    <m/>
    <x v="0"/>
    <m/>
    <m/>
    <x v="153"/>
    <m/>
  </r>
  <r>
    <m/>
    <x v="2"/>
    <s v="aad15a0b-8616-4e65-a72e-a4a96350b69d"/>
    <s v="completed"/>
    <x v="3"/>
    <s v="2023-03-11T06:50:39.529000+00:00"/>
    <n v="223"/>
    <n v="220"/>
    <n v="0.98654708520179368"/>
    <x v="4"/>
    <x v="0"/>
    <s v="58"/>
    <m/>
    <x v="2"/>
    <x v="2"/>
    <m/>
    <m/>
    <x v="0"/>
    <m/>
    <m/>
    <x v="153"/>
    <m/>
  </r>
  <r>
    <m/>
    <x v="9"/>
    <s v="87918df7-ec08-4f32-9295-597d89883e9b"/>
    <s v="completed"/>
    <x v="3"/>
    <s v="2023-03-11T08:48:49.897000+00:00"/>
    <n v="81"/>
    <n v="81"/>
    <n v="1"/>
    <x v="4"/>
    <x v="13"/>
    <s v="22"/>
    <m/>
    <x v="2"/>
    <x v="2"/>
    <m/>
    <m/>
    <x v="0"/>
    <m/>
    <m/>
    <x v="153"/>
    <m/>
  </r>
  <r>
    <s v="1a1e87ef-8b51-4f9e-90f4-7607eb0d1b44"/>
    <x v="0"/>
    <s v="4c184816-a86f-493c-ae49-cd39c8f01389"/>
    <s v="failed"/>
    <x v="0"/>
    <s v="2023-03-11T16:46:13.056000+00:00"/>
    <n v="211"/>
    <n v="4"/>
    <n v="1.8957345971563982E-2"/>
    <x v="299"/>
    <x v="2"/>
    <s v="58"/>
    <s v="URL"/>
    <x v="3"/>
    <x v="3"/>
    <m/>
    <m/>
    <x v="0"/>
    <m/>
    <m/>
    <x v="153"/>
    <m/>
  </r>
  <r>
    <s v="ed1cb445-1154-443c-9e4a-63be831f920e"/>
    <x v="0"/>
    <s v="4c184816-a86f-493c-ae49-cd39c8f01389"/>
    <s v="failed"/>
    <x v="0"/>
    <s v="2023-03-11T17:26:47.227000+00:00"/>
    <n v="211"/>
    <n v="13"/>
    <n v="6.1611374407582936E-2"/>
    <x v="470"/>
    <x v="2"/>
    <s v="58"/>
    <s v="URL"/>
    <x v="3"/>
    <x v="3"/>
    <m/>
    <m/>
    <x v="0"/>
    <m/>
    <m/>
    <x v="153"/>
    <m/>
  </r>
  <r>
    <s v="67828b24-15dd-4bb8-9a3a-801ce59f3efa"/>
    <x v="0"/>
    <s v="4c184816-a86f-493c-ae49-cd39c8f01389"/>
    <s v="failed"/>
    <x v="0"/>
    <s v="2023-03-11T17:32:27.833000+00:00"/>
    <n v="211"/>
    <n v="14"/>
    <n v="6.6350710900473939E-2"/>
    <x v="368"/>
    <x v="2"/>
    <s v="58"/>
    <s v="URL"/>
    <x v="3"/>
    <x v="3"/>
    <m/>
    <m/>
    <x v="0"/>
    <m/>
    <m/>
    <x v="153"/>
    <m/>
  </r>
  <r>
    <s v="32d559d6-9cb8-46cd-925e-67d16647f052"/>
    <x v="0"/>
    <s v="4c184816-a86f-493c-ae49-cd39c8f01389"/>
    <s v="failed"/>
    <x v="0"/>
    <s v="2023-03-11T17:51:14.137000+00:00"/>
    <n v="211"/>
    <n v="18"/>
    <n v="8.5308056872037921E-2"/>
    <x v="294"/>
    <x v="2"/>
    <s v="58"/>
    <s v="URL"/>
    <x v="3"/>
    <x v="3"/>
    <m/>
    <m/>
    <x v="0"/>
    <m/>
    <m/>
    <x v="153"/>
    <m/>
  </r>
  <r>
    <s v="a7c146a5-f470-4f3e-8b2c-1e3744af566e"/>
    <x v="0"/>
    <s v="4c184816-a86f-493c-ae49-cd39c8f01389"/>
    <s v="failed"/>
    <x v="0"/>
    <s v="2023-03-11T18:01:27.810000+00:00"/>
    <n v="211"/>
    <n v="20"/>
    <n v="9.4786729857819899E-2"/>
    <x v="277"/>
    <x v="2"/>
    <s v="58"/>
    <s v="URL"/>
    <x v="3"/>
    <x v="3"/>
    <m/>
    <m/>
    <x v="0"/>
    <m/>
    <m/>
    <x v="153"/>
    <m/>
  </r>
  <r>
    <s v="3d527505-73f9-4504-8b1c-4a2e855be28a"/>
    <x v="0"/>
    <s v="4c184816-a86f-493c-ae49-cd39c8f01389"/>
    <s v="failed"/>
    <x v="0"/>
    <s v="2023-03-11T18:07:05.526000+00:00"/>
    <n v="211"/>
    <n v="21"/>
    <n v="9.9526066350710901E-2"/>
    <x v="471"/>
    <x v="2"/>
    <s v="58"/>
    <s v="URL"/>
    <x v="3"/>
    <x v="3"/>
    <m/>
    <m/>
    <x v="0"/>
    <m/>
    <m/>
    <x v="153"/>
    <m/>
  </r>
  <r>
    <s v="23b42de9-139d-4beb-bfda-4dc21398ded3"/>
    <x v="6"/>
    <s v="c5ad86d4-4d30-4517-aeba-514fca162336"/>
    <s v="failed"/>
    <x v="19"/>
    <s v="2023-03-11T19:41:43.818000+00:00"/>
    <n v="11"/>
    <n v="10"/>
    <n v="0.90909090909090906"/>
    <x v="285"/>
    <x v="5"/>
    <s v="54"/>
    <s v="URL"/>
    <x v="16"/>
    <x v="16"/>
    <m/>
    <m/>
    <x v="0"/>
    <m/>
    <m/>
    <x v="153"/>
    <m/>
  </r>
  <r>
    <s v="ac5b0bea-63ce-4635-85f9-ef3b9a61537f"/>
    <x v="0"/>
    <s v="4c184816-a86f-493c-ae49-cd39c8f01389"/>
    <s v="failed"/>
    <x v="0"/>
    <s v="2023-03-11T20:05:35.113000+00:00"/>
    <n v="211"/>
    <n v="48"/>
    <n v="0.22748815165876776"/>
    <x v="472"/>
    <x v="2"/>
    <s v="58"/>
    <s v="URL"/>
    <x v="3"/>
    <x v="3"/>
    <m/>
    <m/>
    <x v="0"/>
    <m/>
    <m/>
    <x v="153"/>
    <m/>
  </r>
  <r>
    <s v="d8268a1c-39b6-48bd-8d69-b9b95c7ddb98"/>
    <x v="0"/>
    <s v="4c184816-a86f-493c-ae49-cd39c8f01389"/>
    <s v="failed"/>
    <x v="0"/>
    <s v="2023-03-11T20:37:24.946000+00:00"/>
    <n v="211"/>
    <n v="55"/>
    <n v="0.26066350710900477"/>
    <x v="362"/>
    <x v="2"/>
    <s v="58"/>
    <s v="URL"/>
    <x v="3"/>
    <x v="3"/>
    <m/>
    <m/>
    <x v="0"/>
    <m/>
    <m/>
    <x v="153"/>
    <m/>
  </r>
  <r>
    <s v="5de36005-92cf-4731-b25b-fd8e1deed9e8"/>
    <x v="0"/>
    <s v="4c184816-a86f-493c-ae49-cd39c8f01389"/>
    <s v="failed"/>
    <x v="0"/>
    <s v="2023-03-11T21:09:01.698000+00:00"/>
    <n v="211"/>
    <n v="62"/>
    <n v="0.29383886255924169"/>
    <x v="447"/>
    <x v="2"/>
    <s v="58"/>
    <s v="URL"/>
    <x v="3"/>
    <x v="3"/>
    <m/>
    <m/>
    <x v="0"/>
    <m/>
    <m/>
    <x v="153"/>
    <m/>
  </r>
  <r>
    <s v="625343e5-0a0e-4390-985f-41398202f1ce"/>
    <x v="0"/>
    <s v="4c184816-a86f-493c-ae49-cd39c8f01389"/>
    <s v="failed"/>
    <x v="0"/>
    <s v="2023-03-11T21:38:05.333000+00:00"/>
    <n v="211"/>
    <n v="68"/>
    <n v="0.32227488151658767"/>
    <x v="473"/>
    <x v="2"/>
    <s v="58"/>
    <s v="URL"/>
    <x v="1"/>
    <x v="1"/>
    <m/>
    <m/>
    <x v="1"/>
    <m/>
    <m/>
    <x v="153"/>
    <m/>
  </r>
  <r>
    <s v="d1069129-de98-4782-a7a4-eee33c99d6b0"/>
    <x v="0"/>
    <s v="4c184816-a86f-493c-ae49-cd39c8f01389"/>
    <s v="failed"/>
    <x v="0"/>
    <s v="2023-03-11T23:12:14.153000+00:00"/>
    <n v="211"/>
    <n v="90"/>
    <n v="0.42654028436018959"/>
    <x v="370"/>
    <x v="2"/>
    <s v="58"/>
    <s v="URL"/>
    <x v="3"/>
    <x v="3"/>
    <m/>
    <m/>
    <x v="0"/>
    <m/>
    <m/>
    <x v="153"/>
    <m/>
  </r>
  <r>
    <s v="122d403f-6e3d-4bbe-b38d-14c20a24ac49"/>
    <x v="0"/>
    <s v="4c184816-a86f-493c-ae49-cd39c8f01389"/>
    <s v="failed"/>
    <x v="0"/>
    <s v="2023-03-12T00:57:59.070000+00:00"/>
    <n v="211"/>
    <n v="114"/>
    <n v="0.54028436018957349"/>
    <x v="474"/>
    <x v="2"/>
    <s v="58"/>
    <s v="URL"/>
    <x v="18"/>
    <x v="18"/>
    <m/>
    <m/>
    <x v="0"/>
    <m/>
    <m/>
    <x v="154"/>
    <m/>
  </r>
  <r>
    <s v="40795df2-ed55-4936-a1ea-8dc67ed1457b"/>
    <x v="0"/>
    <s v="4c184816-a86f-493c-ae49-cd39c8f01389"/>
    <s v="failed"/>
    <x v="0"/>
    <s v="2023-03-12T01:53:36.715000+00:00"/>
    <n v="211"/>
    <n v="126"/>
    <n v="0.59715639810426535"/>
    <x v="475"/>
    <x v="2"/>
    <s v="58"/>
    <s v="URL"/>
    <x v="1"/>
    <x v="1"/>
    <m/>
    <m/>
    <x v="1"/>
    <m/>
    <m/>
    <x v="154"/>
    <m/>
  </r>
  <r>
    <m/>
    <x v="7"/>
    <s v="7d5bc41c-a7e3-4b96-aebe-8d4b421d63f8"/>
    <s v="completed"/>
    <x v="3"/>
    <s v="2023-03-12T02:40:02.452000+00:00"/>
    <n v="120"/>
    <n v="120"/>
    <n v="1"/>
    <x v="4"/>
    <x v="0"/>
    <s v="10"/>
    <m/>
    <x v="2"/>
    <x v="2"/>
    <m/>
    <m/>
    <x v="0"/>
    <m/>
    <m/>
    <x v="154"/>
    <m/>
  </r>
  <r>
    <s v="80fbca26-2975-4e61-bb44-2e29c29e595b"/>
    <x v="2"/>
    <s v="2461ff4f-0af4-44f1-9f6c-5349c1a3286e"/>
    <s v="failed"/>
    <x v="19"/>
    <s v="2023-03-12T04:03:54.890000+00:00"/>
    <n v="155"/>
    <n v="153"/>
    <n v="0.98709677419354835"/>
    <x v="301"/>
    <x v="2"/>
    <s v="59"/>
    <s v="URL"/>
    <x v="16"/>
    <x v="16"/>
    <m/>
    <m/>
    <x v="0"/>
    <m/>
    <m/>
    <x v="154"/>
    <m/>
  </r>
  <r>
    <s v="dc1b7831-5e3b-4c0b-9adf-9d764ea93c1c"/>
    <x v="0"/>
    <s v="4c184816-a86f-493c-ae49-cd39c8f01389"/>
    <s v="failed"/>
    <x v="0"/>
    <s v="2023-03-12T04:24:38.039000+00:00"/>
    <n v="211"/>
    <n v="161"/>
    <n v="0.76303317535545023"/>
    <x v="476"/>
    <x v="2"/>
    <s v="58"/>
    <s v="URL"/>
    <x v="3"/>
    <x v="3"/>
    <m/>
    <m/>
    <x v="0"/>
    <m/>
    <m/>
    <x v="154"/>
    <m/>
  </r>
  <r>
    <s v="4a20f7d6-7637-461f-8adf-a82bd75e4ac3"/>
    <x v="0"/>
    <s v="4c184816-a86f-493c-ae49-cd39c8f01389"/>
    <s v="failed"/>
    <x v="21"/>
    <s v="2023-03-12T07:53:52.055000+00:00"/>
    <n v="211"/>
    <n v="209"/>
    <n v="0.99052132701421802"/>
    <x v="477"/>
    <x v="2"/>
    <s v="58"/>
    <s v="URL"/>
    <x v="1"/>
    <x v="1"/>
    <m/>
    <s v="Robot lijkt vast te zitten"/>
    <x v="1"/>
    <m/>
    <m/>
    <x v="154"/>
    <m/>
  </r>
  <r>
    <s v="f60d0ada-c26f-41bf-a572-c8658c9f7e21"/>
    <x v="0"/>
    <s v="92e1490f-7c3c-4d52-a92d-abaefc497a04"/>
    <s v="failed"/>
    <x v="0"/>
    <s v="2023-03-12T16:57:10.720000+00:00"/>
    <n v="224"/>
    <n v="7"/>
    <n v="3.125E-2"/>
    <x v="364"/>
    <x v="0"/>
    <s v="58"/>
    <s v="URL"/>
    <x v="3"/>
    <x v="3"/>
    <m/>
    <m/>
    <x v="0"/>
    <m/>
    <m/>
    <x v="154"/>
    <m/>
  </r>
  <r>
    <s v="c198357e-42d8-48f9-8937-b4f6727c503c"/>
    <x v="0"/>
    <s v="92e1490f-7c3c-4d52-a92d-abaefc497a04"/>
    <s v="failed"/>
    <x v="0"/>
    <s v="2023-03-12T18:56:39.326000+00:00"/>
    <n v="224"/>
    <n v="35"/>
    <n v="0.15625"/>
    <x v="418"/>
    <x v="0"/>
    <s v="58"/>
    <s v="URL"/>
    <x v="1"/>
    <x v="1"/>
    <m/>
    <m/>
    <x v="1"/>
    <m/>
    <m/>
    <x v="154"/>
    <m/>
  </r>
  <r>
    <m/>
    <x v="7"/>
    <s v="49e5902c-dac0-44ec-ad19-8eac98c1e302"/>
    <s v="failed"/>
    <x v="0"/>
    <s v="2023-03-12T20:07:43.611000+00:00"/>
    <n v="120"/>
    <n v="24"/>
    <n v="0.2"/>
    <x v="478"/>
    <x v="2"/>
    <s v="10"/>
    <m/>
    <x v="1"/>
    <x v="1"/>
    <m/>
    <m/>
    <x v="0"/>
    <m/>
    <m/>
    <x v="154"/>
    <m/>
  </r>
  <r>
    <m/>
    <x v="1"/>
    <s v="559e4189-e690-44e4-b603-034c9722741b"/>
    <s v="failed"/>
    <x v="0"/>
    <s v="2023-03-12T21:13:19.122000+00:00"/>
    <n v="205"/>
    <n v="35"/>
    <n v="0.17073170731707318"/>
    <x v="479"/>
    <x v="19"/>
    <s v="47"/>
    <m/>
    <x v="1"/>
    <x v="1"/>
    <m/>
    <m/>
    <x v="0"/>
    <m/>
    <m/>
    <x v="154"/>
    <m/>
  </r>
  <r>
    <m/>
    <x v="1"/>
    <s v="559e4189-e690-44e4-b603-034c9722741b"/>
    <s v="failed"/>
    <x v="0"/>
    <s v="2023-03-12T22:59:29.564000+00:00"/>
    <n v="205"/>
    <n v="66"/>
    <n v="0.32195121951219513"/>
    <x v="480"/>
    <x v="19"/>
    <s v="47"/>
    <m/>
    <x v="1"/>
    <x v="1"/>
    <m/>
    <m/>
    <x v="0"/>
    <m/>
    <m/>
    <x v="154"/>
    <m/>
  </r>
  <r>
    <m/>
    <x v="1"/>
    <s v="559e4189-e690-44e4-b603-034c9722741b"/>
    <s v="failed"/>
    <x v="0"/>
    <s v="2023-03-12T23:19:34.283000+00:00"/>
    <n v="205"/>
    <n v="73"/>
    <n v="0.35609756097560974"/>
    <x v="481"/>
    <x v="19"/>
    <s v="47"/>
    <m/>
    <x v="1"/>
    <x v="1"/>
    <m/>
    <m/>
    <x v="0"/>
    <m/>
    <m/>
    <x v="154"/>
    <m/>
  </r>
  <r>
    <m/>
    <x v="1"/>
    <s v="559e4189-e690-44e4-b603-034c9722741b"/>
    <s v="failed"/>
    <x v="45"/>
    <s v="2023-03-12T23:38:26.585000+00:00"/>
    <n v="205"/>
    <n v="80"/>
    <n v="0.3902439024390244"/>
    <x v="208"/>
    <x v="19"/>
    <s v="47"/>
    <m/>
    <x v="9"/>
    <x v="9"/>
    <m/>
    <m/>
    <x v="0"/>
    <m/>
    <m/>
    <x v="154"/>
    <m/>
  </r>
  <r>
    <s v="dc7cd09f-e731-4955-bf58-412b9cdb9aad"/>
    <x v="0"/>
    <s v="92e1490f-7c3c-4d52-a92d-abaefc497a04"/>
    <s v="failed"/>
    <x v="0"/>
    <s v="2023-03-12T23:52:28.138000+00:00"/>
    <n v="224"/>
    <n v="105"/>
    <n v="0.46875"/>
    <x v="419"/>
    <x v="0"/>
    <s v="58"/>
    <s v="URL"/>
    <x v="1"/>
    <x v="1"/>
    <m/>
    <m/>
    <x v="1"/>
    <m/>
    <m/>
    <x v="154"/>
    <m/>
  </r>
  <r>
    <m/>
    <x v="7"/>
    <s v="49e5902c-dac0-44ec-ad19-8eac98c1e302"/>
    <s v="failed"/>
    <x v="29"/>
    <s v="2023-03-13T00:56:39.125000+00:00"/>
    <n v="120"/>
    <n v="95"/>
    <n v="0.79166666666666663"/>
    <x v="482"/>
    <x v="2"/>
    <s v="10"/>
    <m/>
    <x v="0"/>
    <x v="0"/>
    <m/>
    <m/>
    <x v="0"/>
    <m/>
    <m/>
    <x v="155"/>
    <m/>
  </r>
  <r>
    <s v="76e8f883-cd7e-46bd-b047-94b4b7226b39"/>
    <x v="0"/>
    <s v="92e1490f-7c3c-4d52-a92d-abaefc497a04"/>
    <s v="failed"/>
    <x v="46"/>
    <s v="2023-03-13T02:04:53.445000+00:00"/>
    <n v="224"/>
    <n v="137"/>
    <n v="0.6116071428571429"/>
    <x v="483"/>
    <x v="0"/>
    <s v="58"/>
    <s v="URL"/>
    <x v="11"/>
    <x v="11"/>
    <m/>
    <m/>
    <x v="0"/>
    <m/>
    <m/>
    <x v="155"/>
    <m/>
  </r>
  <r>
    <s v="a01ea91d-8606-417a-9771-1e1a60f086d8"/>
    <x v="6"/>
    <s v="1195c5f8-51f8-47c4-82c0-b3171b9a0561"/>
    <s v="failed"/>
    <x v="25"/>
    <s v="2023-03-13T09:32:13.474000+00:00"/>
    <n v="10"/>
    <n v="1"/>
    <n v="0.1"/>
    <x v="407"/>
    <x v="5"/>
    <s v="53"/>
    <s v="URL"/>
    <x v="5"/>
    <x v="5"/>
    <m/>
    <m/>
    <x v="0"/>
    <m/>
    <m/>
    <x v="155"/>
    <m/>
  </r>
  <r>
    <m/>
    <x v="6"/>
    <s v="3fa87e85-5425-44f8-8e0c-7f2b213a3934"/>
    <s v="stopped"/>
    <x v="3"/>
    <s v="2023-03-13T09:40:36.972000+00:00"/>
    <n v="10"/>
    <n v="0"/>
    <n v="0"/>
    <x v="4"/>
    <x v="5"/>
    <s v="53"/>
    <m/>
    <x v="2"/>
    <x v="2"/>
    <m/>
    <m/>
    <x v="0"/>
    <m/>
    <m/>
    <x v="155"/>
    <m/>
  </r>
  <r>
    <s v="33d0028d-8468-425f-a872-9eae0f982a05"/>
    <x v="6"/>
    <s v="be2771e0-c706-40db-89b9-8822300857a0"/>
    <s v="failed"/>
    <x v="42"/>
    <s v="2023-03-13T09:44:03.306000+00:00"/>
    <n v="10"/>
    <n v="1"/>
    <n v="0.1"/>
    <x v="407"/>
    <x v="5"/>
    <s v="53"/>
    <s v="URL"/>
    <x v="7"/>
    <x v="7"/>
    <m/>
    <m/>
    <x v="13"/>
    <m/>
    <m/>
    <x v="155"/>
    <m/>
  </r>
  <r>
    <s v="92a218f9-298e-4d54-a04d-3b9e12dfd986"/>
    <x v="6"/>
    <s v="30b12a2e-36bf-4fb8-aed8-c551133fe430"/>
    <s v="completed"/>
    <x v="0"/>
    <s v="2023-03-13T10:05:34.360000+00:00"/>
    <n v="10"/>
    <n v="6"/>
    <n v="0.6"/>
    <x v="322"/>
    <x v="5"/>
    <s v="53"/>
    <s v="URL"/>
    <x v="3"/>
    <x v="3"/>
    <m/>
    <m/>
    <x v="0"/>
    <m/>
    <m/>
    <x v="155"/>
    <m/>
  </r>
  <r>
    <m/>
    <x v="6"/>
    <s v="30b12a2e-36bf-4fb8-aed8-c551133fe430"/>
    <s v="completed"/>
    <x v="3"/>
    <s v="2023-03-13T10:12:26.485000+00:00"/>
    <n v="10"/>
    <n v="9"/>
    <n v="0.9"/>
    <x v="4"/>
    <x v="5"/>
    <s v="53"/>
    <m/>
    <x v="2"/>
    <x v="2"/>
    <m/>
    <m/>
    <x v="0"/>
    <m/>
    <m/>
    <x v="155"/>
    <m/>
  </r>
  <r>
    <m/>
    <x v="6"/>
    <s v="4261af36-bead-4123-ad9d-c5c7d1294bcf"/>
    <s v="stopped"/>
    <x v="3"/>
    <s v="2023-03-13T10:34:06.174000+00:00"/>
    <n v="22"/>
    <n v="2"/>
    <n v="9.0909090909090912E-2"/>
    <x v="4"/>
    <x v="5"/>
    <s v="51"/>
    <m/>
    <x v="2"/>
    <x v="2"/>
    <m/>
    <m/>
    <x v="0"/>
    <m/>
    <m/>
    <x v="155"/>
    <m/>
  </r>
  <r>
    <s v="78300d62-c6a6-4c83-b221-c8edb613c652"/>
    <x v="6"/>
    <s v="30886cf4-7871-4efc-85b5-d3f7a931a209"/>
    <s v="paused"/>
    <x v="0"/>
    <s v="2023-03-13T11:17:00.912000+00:00"/>
    <n v="9"/>
    <n v="2"/>
    <n v="0.22222222222222221"/>
    <x v="315"/>
    <x v="5"/>
    <s v="51"/>
    <s v="URL"/>
    <x v="3"/>
    <x v="3"/>
    <m/>
    <m/>
    <x v="4"/>
    <m/>
    <m/>
    <x v="155"/>
    <m/>
  </r>
  <r>
    <m/>
    <x v="7"/>
    <s v="b7017283-fbfa-41d1-9e92-06e307523196"/>
    <s v="completed"/>
    <x v="3"/>
    <s v="2023-03-13T14:51:08.851000+00:00"/>
    <n v="3"/>
    <n v="3"/>
    <n v="1"/>
    <x v="4"/>
    <x v="2"/>
    <s v="10"/>
    <m/>
    <x v="2"/>
    <x v="2"/>
    <m/>
    <m/>
    <x v="0"/>
    <m/>
    <m/>
    <x v="155"/>
    <m/>
  </r>
  <r>
    <m/>
    <x v="7"/>
    <s v="bd32a82f-88ea-46e3-93ad-dd6f46f84c8d"/>
    <s v="completed"/>
    <x v="3"/>
    <s v="2023-03-13T15:08:57.823000+00:00"/>
    <n v="3"/>
    <n v="3"/>
    <n v="1"/>
    <x v="4"/>
    <x v="2"/>
    <s v="10"/>
    <m/>
    <x v="2"/>
    <x v="2"/>
    <m/>
    <m/>
    <x v="0"/>
    <m/>
    <m/>
    <x v="155"/>
    <m/>
  </r>
  <r>
    <s v="2181c71e-6df2-4cb8-b9e0-84174e8e9190"/>
    <x v="0"/>
    <s v="665e7e6b-dc8b-4e38-8208-51529cb9cbc1"/>
    <s v="completed"/>
    <x v="0"/>
    <s v="2023-03-13T19:16:58.311000+00:00"/>
    <n v="223"/>
    <n v="40"/>
    <n v="0.17937219730941703"/>
    <x v="410"/>
    <x v="0"/>
    <s v="58"/>
    <s v="URL"/>
    <x v="1"/>
    <x v="1"/>
    <m/>
    <m/>
    <x v="0"/>
    <m/>
    <m/>
    <x v="155"/>
    <m/>
  </r>
  <r>
    <s v="cb8b41bf-4008-416c-a65d-3e3f1824ae7d"/>
    <x v="6"/>
    <s v="329e7075-9b2f-4531-8138-e0a29743494d"/>
    <s v="failed"/>
    <x v="0"/>
    <s v="2023-03-13T19:29:03.524000+00:00"/>
    <n v="21"/>
    <n v="2"/>
    <n v="9.5238095238095233E-2"/>
    <x v="294"/>
    <x v="5"/>
    <s v="52"/>
    <s v="URL"/>
    <x v="1"/>
    <x v="1"/>
    <m/>
    <m/>
    <x v="0"/>
    <m/>
    <m/>
    <x v="155"/>
    <m/>
  </r>
  <r>
    <s v="d81c1d8e-f19f-46cf-9375-4c40c3463cf2"/>
    <x v="6"/>
    <s v="329e7075-9b2f-4531-8138-e0a29743494d"/>
    <s v="failed"/>
    <x v="0"/>
    <s v="2023-03-13T19:35:17.997000+00:00"/>
    <n v="21"/>
    <n v="5"/>
    <n v="0.23809523809523808"/>
    <x v="315"/>
    <x v="5"/>
    <s v="52"/>
    <s v="URL"/>
    <x v="3"/>
    <x v="3"/>
    <m/>
    <m/>
    <x v="0"/>
    <m/>
    <m/>
    <x v="155"/>
    <m/>
  </r>
  <r>
    <s v="4907989b-4161-4a7c-ad4e-3957390b3a75"/>
    <x v="6"/>
    <s v="329e7075-9b2f-4531-8138-e0a29743494d"/>
    <s v="failed"/>
    <x v="0"/>
    <s v="2023-03-13T19:44:03.161000+00:00"/>
    <n v="21"/>
    <n v="9"/>
    <n v="0.42857142857142855"/>
    <x v="298"/>
    <x v="5"/>
    <s v="52"/>
    <s v="URL"/>
    <x v="3"/>
    <x v="3"/>
    <m/>
    <m/>
    <x v="0"/>
    <m/>
    <m/>
    <x v="155"/>
    <m/>
  </r>
  <r>
    <s v="7d954369-839a-4994-835f-7f0bcd903a54"/>
    <x v="6"/>
    <s v="329e7075-9b2f-4531-8138-e0a29743494d"/>
    <s v="failed"/>
    <x v="0"/>
    <s v="2023-03-13T19:46:21.322000+00:00"/>
    <n v="21"/>
    <n v="10"/>
    <n v="0.47619047619047616"/>
    <x v="484"/>
    <x v="5"/>
    <s v="52"/>
    <s v="URL"/>
    <x v="18"/>
    <x v="18"/>
    <m/>
    <m/>
    <x v="0"/>
    <m/>
    <m/>
    <x v="155"/>
    <m/>
  </r>
  <r>
    <m/>
    <x v="7"/>
    <s v="eb89b38b-c1e1-4d51-abb0-00eb31090ec2"/>
    <s v="completed"/>
    <x v="3"/>
    <s v="2023-03-14T02:36:30.586000+00:00"/>
    <n v="120"/>
    <n v="120"/>
    <n v="1"/>
    <x v="4"/>
    <x v="0"/>
    <s v="10"/>
    <m/>
    <x v="2"/>
    <x v="2"/>
    <m/>
    <m/>
    <x v="0"/>
    <m/>
    <m/>
    <x v="156"/>
    <m/>
  </r>
  <r>
    <s v="5f86b845-a443-4289-8af5-f0be5e9909ee"/>
    <x v="6"/>
    <s v="329e7075-9b2f-4531-8138-e0a29743494d"/>
    <s v="failed"/>
    <x v="59"/>
    <s v="2023-03-14T06:08:26.911000+00:00"/>
    <n v="21"/>
    <n v="16"/>
    <n v="0.76190476190476186"/>
    <x v="276"/>
    <x v="5"/>
    <s v="52"/>
    <s v="URL"/>
    <x v="22"/>
    <x v="22"/>
    <m/>
    <m/>
    <x v="0"/>
    <m/>
    <m/>
    <x v="156"/>
    <m/>
  </r>
  <r>
    <s v="c24b8128-5b56-4aef-8c52-a6c91d458421"/>
    <x v="0"/>
    <s v="665e7e6b-dc8b-4e38-8208-51529cb9cbc1"/>
    <s v="completed"/>
    <x v="0"/>
    <s v="2023-03-14T07:26:51.243000+00:00"/>
    <n v="223"/>
    <n v="215"/>
    <n v="0.9641255605381166"/>
    <x v="364"/>
    <x v="0"/>
    <s v="58"/>
    <s v="URL"/>
    <x v="3"/>
    <x v="3"/>
    <m/>
    <m/>
    <x v="0"/>
    <m/>
    <m/>
    <x v="156"/>
    <m/>
  </r>
  <r>
    <m/>
    <x v="0"/>
    <s v="665e7e6b-dc8b-4e38-8208-51529cb9cbc1"/>
    <s v="completed"/>
    <x v="3"/>
    <s v="2023-03-14T07:52:32.034000+00:00"/>
    <n v="223"/>
    <n v="221"/>
    <n v="0.99103139013452912"/>
    <x v="4"/>
    <x v="0"/>
    <s v="58"/>
    <m/>
    <x v="2"/>
    <x v="2"/>
    <m/>
    <m/>
    <x v="0"/>
    <m/>
    <m/>
    <x v="156"/>
    <m/>
  </r>
  <r>
    <m/>
    <x v="5"/>
    <s v="f4bfebb9-fbf6-4128-bd9b-7ee30a583ef3"/>
    <s v="failed"/>
    <x v="19"/>
    <s v="2023-03-14T17:52:54.826000+00:00"/>
    <n v="37"/>
    <n v="4"/>
    <n v="0.10810810810810811"/>
    <x v="295"/>
    <x v="5"/>
    <s v="61"/>
    <m/>
    <x v="16"/>
    <x v="16"/>
    <m/>
    <m/>
    <x v="0"/>
    <m/>
    <m/>
    <x v="156"/>
    <m/>
  </r>
  <r>
    <m/>
    <x v="5"/>
    <s v="f164e0f5-6e39-4a5b-b8b6-52a668223bb8"/>
    <s v="completed"/>
    <x v="0"/>
    <s v="2023-03-14T17:54:13.111000+00:00"/>
    <n v="35"/>
    <n v="0"/>
    <n v="0"/>
    <x v="295"/>
    <x v="5"/>
    <s v="61"/>
    <m/>
    <x v="22"/>
    <x v="22"/>
    <m/>
    <m/>
    <x v="0"/>
    <m/>
    <m/>
    <x v="156"/>
    <m/>
  </r>
  <r>
    <m/>
    <x v="5"/>
    <s v="f164e0f5-6e39-4a5b-b8b6-52a668223bb8"/>
    <s v="completed"/>
    <x v="0"/>
    <s v="2023-03-14T19:06:12.457000+00:00"/>
    <n v="35"/>
    <n v="22"/>
    <n v="0.62857142857142856"/>
    <x v="309"/>
    <x v="5"/>
    <s v="61"/>
    <m/>
    <x v="7"/>
    <x v="7"/>
    <m/>
    <m/>
    <x v="0"/>
    <m/>
    <m/>
    <x v="156"/>
    <m/>
  </r>
  <r>
    <m/>
    <x v="6"/>
    <s v="55237582-bb0a-4b9b-9e42-577d12052f8f"/>
    <s v="completed"/>
    <x v="3"/>
    <s v="2023-03-14T19:20:58.470000+00:00"/>
    <n v="11"/>
    <n v="11"/>
    <n v="1"/>
    <x v="4"/>
    <x v="5"/>
    <s v="53"/>
    <m/>
    <x v="2"/>
    <x v="2"/>
    <m/>
    <m/>
    <x v="0"/>
    <m/>
    <m/>
    <x v="156"/>
    <m/>
  </r>
  <r>
    <m/>
    <x v="5"/>
    <s v="f164e0f5-6e39-4a5b-b8b6-52a668223bb8"/>
    <s v="completed"/>
    <x v="0"/>
    <s v="2023-03-14T19:45:52.716000+00:00"/>
    <n v="35"/>
    <n v="32"/>
    <n v="0.91428571428571426"/>
    <x v="372"/>
    <x v="5"/>
    <s v="61"/>
    <m/>
    <x v="1"/>
    <x v="1"/>
    <m/>
    <m/>
    <x v="0"/>
    <m/>
    <m/>
    <x v="156"/>
    <m/>
  </r>
  <r>
    <m/>
    <x v="5"/>
    <s v="f164e0f5-6e39-4a5b-b8b6-52a668223bb8"/>
    <s v="completed"/>
    <x v="3"/>
    <s v="2023-03-14T19:53:05.393000+00:00"/>
    <n v="35"/>
    <n v="32"/>
    <n v="0.91428571428571426"/>
    <x v="4"/>
    <x v="5"/>
    <s v="61"/>
    <m/>
    <x v="2"/>
    <x v="2"/>
    <m/>
    <m/>
    <x v="0"/>
    <m/>
    <m/>
    <x v="156"/>
    <m/>
  </r>
  <r>
    <m/>
    <x v="6"/>
    <s v="d3cffec0-d1ca-4a28-9f12-945e8536fa41"/>
    <s v="completed"/>
    <x v="3"/>
    <s v="2023-03-14T19:57:10.517000+00:00"/>
    <n v="10"/>
    <n v="10"/>
    <n v="1"/>
    <x v="4"/>
    <x v="5"/>
    <s v="54"/>
    <m/>
    <x v="2"/>
    <x v="2"/>
    <m/>
    <m/>
    <x v="0"/>
    <m/>
    <m/>
    <x v="156"/>
    <m/>
  </r>
  <r>
    <m/>
    <x v="6"/>
    <s v="52f246f0-2922-45b6-9da1-188c8ddac5d5"/>
    <s v="completed"/>
    <x v="3"/>
    <s v="2023-03-14T20:45:02.026000+00:00"/>
    <n v="21"/>
    <n v="21"/>
    <n v="1"/>
    <x v="4"/>
    <x v="5"/>
    <s v="51"/>
    <m/>
    <x v="2"/>
    <x v="2"/>
    <m/>
    <m/>
    <x v="0"/>
    <m/>
    <m/>
    <x v="156"/>
    <m/>
  </r>
  <r>
    <m/>
    <x v="7"/>
    <s v="faeedfc8-2e67-48be-9d13-d4f720a1a3ec"/>
    <s v="failed"/>
    <x v="41"/>
    <s v="2023-03-14T21:46:36.022000+00:00"/>
    <n v="120"/>
    <n v="50"/>
    <n v="0.41666666666666669"/>
    <x v="485"/>
    <x v="2"/>
    <s v="10"/>
    <m/>
    <x v="5"/>
    <x v="5"/>
    <m/>
    <m/>
    <x v="0"/>
    <m/>
    <m/>
    <x v="156"/>
    <m/>
  </r>
  <r>
    <s v="77121727-24b2-4917-9d76-321aaa47adcd"/>
    <x v="0"/>
    <s v="450568bb-d0b2-45a9-bd04-c62564c17b0c"/>
    <s v="failed"/>
    <x v="0"/>
    <s v="2023-03-14T22:58:21.184000+00:00"/>
    <n v="209"/>
    <n v="87"/>
    <n v="0.41626794258373206"/>
    <x v="358"/>
    <x v="2"/>
    <s v="58"/>
    <s v="URL"/>
    <x v="22"/>
    <x v="22"/>
    <m/>
    <m/>
    <x v="0"/>
    <m/>
    <m/>
    <x v="156"/>
    <m/>
  </r>
  <r>
    <s v="bb359d99-bbf0-4781-9695-b8d3216aa06f"/>
    <x v="0"/>
    <s v="450568bb-d0b2-45a9-bd04-c62564c17b0c"/>
    <s v="failed"/>
    <x v="27"/>
    <s v="2023-03-15T03:42:51.085000+00:00"/>
    <n v="209"/>
    <n v="153"/>
    <n v="0.73205741626794263"/>
    <x v="362"/>
    <x v="2"/>
    <s v="58"/>
    <s v="URL"/>
    <x v="6"/>
    <x v="6"/>
    <m/>
    <m/>
    <x v="0"/>
    <m/>
    <m/>
    <x v="157"/>
    <m/>
  </r>
  <r>
    <m/>
    <x v="9"/>
    <s v="63967fa6-8063-40b4-96c7-c290adcb264f"/>
    <s v="completed"/>
    <x v="3"/>
    <s v="2023-03-15T08:48:47.832000+00:00"/>
    <n v="81"/>
    <n v="81"/>
    <n v="1"/>
    <x v="4"/>
    <x v="13"/>
    <s v="22"/>
    <m/>
    <x v="2"/>
    <x v="2"/>
    <m/>
    <m/>
    <x v="0"/>
    <m/>
    <m/>
    <x v="157"/>
    <m/>
  </r>
  <r>
    <s v="db31329c-84e3-4d7e-b329-406c27eaa788"/>
    <x v="0"/>
    <s v="759beca0-b86d-46f5-ae49-609f4e375b1d"/>
    <s v="failed"/>
    <x v="28"/>
    <s v="2023-03-15T09:46:58.020000+00:00"/>
    <n v="56"/>
    <n v="52"/>
    <n v="0.9285714285714286"/>
    <x v="276"/>
    <x v="2"/>
    <s v="58"/>
    <s v="URL"/>
    <x v="10"/>
    <x v="10"/>
    <m/>
    <m/>
    <x v="0"/>
    <m/>
    <m/>
    <x v="157"/>
    <m/>
  </r>
  <r>
    <s v="c0592a2e-4f84-4779-b349-3b05cf0d245d"/>
    <x v="4"/>
    <s v="5ef7984c-449d-41a2-a40e-9fdbbc185c08"/>
    <s v="failed"/>
    <x v="33"/>
    <s v="2023-03-15T10:30:02.685000+00:00"/>
    <n v="56"/>
    <n v="1"/>
    <n v="1.7857142857142856E-2"/>
    <x v="124"/>
    <x v="2"/>
    <s v="13"/>
    <s v="URL"/>
    <x v="6"/>
    <x v="6"/>
    <m/>
    <m/>
    <x v="0"/>
    <m/>
    <m/>
    <x v="157"/>
    <m/>
  </r>
  <r>
    <s v="5a6b7971-c4b3-46ee-b1e9-ccba91843643"/>
    <x v="4"/>
    <s v="069acdcd-c435-4620-ae50-f4f5cf0f21ad"/>
    <s v="failed"/>
    <x v="33"/>
    <s v="2023-03-15T10:46:52.300000+00:00"/>
    <n v="56"/>
    <n v="1"/>
    <n v="1.7857142857142856E-2"/>
    <x v="486"/>
    <x v="2"/>
    <s v="13"/>
    <s v="URL"/>
    <x v="5"/>
    <x v="5"/>
    <m/>
    <m/>
    <x v="0"/>
    <m/>
    <m/>
    <x v="157"/>
    <m/>
  </r>
  <r>
    <m/>
    <x v="2"/>
    <s v="33358f26-3567-4485-9031-203a09bc9861"/>
    <s v="failed"/>
    <x v="20"/>
    <s v="2023-03-15T14:38:17.789000+00:00"/>
    <n v="214"/>
    <n v="0"/>
    <n v="0"/>
    <x v="16"/>
    <x v="0"/>
    <s v="43"/>
    <m/>
    <x v="19"/>
    <x v="19"/>
    <m/>
    <m/>
    <x v="0"/>
    <m/>
    <m/>
    <x v="157"/>
    <m/>
  </r>
  <r>
    <s v="a59aa88e-93a6-4652-b19c-5908d8e3ff11"/>
    <x v="0"/>
    <s v="856d8fc3-9a12-48bb-87b1-3287f9fe20db"/>
    <s v="failed"/>
    <x v="0"/>
    <s v="2023-03-15T16:54:35.573000+00:00"/>
    <n v="155"/>
    <n v="7"/>
    <n v="4.5161290322580643E-2"/>
    <x v="487"/>
    <x v="0"/>
    <s v="59"/>
    <s v="URL"/>
    <x v="3"/>
    <x v="3"/>
    <m/>
    <m/>
    <x v="0"/>
    <m/>
    <m/>
    <x v="157"/>
    <m/>
  </r>
  <r>
    <m/>
    <x v="7"/>
    <s v="2207d0b1-f8fb-4b85-9296-06f03c56c7bb"/>
    <s v="failed"/>
    <x v="60"/>
    <s v="2023-03-15T18:57:12.325000+00:00"/>
    <n v="120"/>
    <n v="9"/>
    <n v="7.4999999999999997E-2"/>
    <x v="488"/>
    <x v="2"/>
    <s v="10"/>
    <m/>
    <x v="36"/>
    <x v="26"/>
    <m/>
    <m/>
    <x v="0"/>
    <m/>
    <m/>
    <x v="157"/>
    <m/>
  </r>
  <r>
    <s v="3d5d4286-564c-422f-b0ca-2f97e56f8a39"/>
    <x v="0"/>
    <s v="856d8fc3-9a12-48bb-87b1-3287f9fe20db"/>
    <s v="failed"/>
    <x v="0"/>
    <s v="2023-03-15T19:09:22.359000+00:00"/>
    <n v="155"/>
    <n v="39"/>
    <n v="0.25161290322580643"/>
    <x v="489"/>
    <x v="0"/>
    <s v="59"/>
    <s v="URL"/>
    <x v="3"/>
    <x v="3"/>
    <m/>
    <m/>
    <x v="0"/>
    <m/>
    <m/>
    <x v="157"/>
    <m/>
  </r>
  <r>
    <s v="8d32048d-5245-4111-95b4-c46182c35f34"/>
    <x v="1"/>
    <s v="38b76b03-b902-4172-bce6-4613cf16cdab"/>
    <s v="failed"/>
    <x v="0"/>
    <s v="2023-03-15T19:13:27.668000+00:00"/>
    <n v="203"/>
    <n v="5"/>
    <n v="2.4630541871921183E-2"/>
    <x v="490"/>
    <x v="21"/>
    <s v="47"/>
    <s v="URL"/>
    <x v="1"/>
    <x v="1"/>
    <m/>
    <m/>
    <x v="1"/>
    <m/>
    <m/>
    <x v="157"/>
    <m/>
  </r>
  <r>
    <m/>
    <x v="6"/>
    <s v="cd51455f-6772-4d80-9f8a-bc99c7b2bed3"/>
    <s v="completed"/>
    <x v="3"/>
    <s v="2023-03-15T19:30:49.943000+00:00"/>
    <n v="11"/>
    <n v="11"/>
    <n v="1"/>
    <x v="4"/>
    <x v="5"/>
    <s v="54"/>
    <m/>
    <x v="2"/>
    <x v="2"/>
    <m/>
    <m/>
    <x v="0"/>
    <m/>
    <m/>
    <x v="157"/>
    <m/>
  </r>
  <r>
    <s v="2f1b529d-4509-40a8-b530-a4453f77d67e"/>
    <x v="0"/>
    <s v="856d8fc3-9a12-48bb-87b1-3287f9fe20db"/>
    <s v="failed"/>
    <x v="0"/>
    <s v="2023-03-15T19:40:01.631000+00:00"/>
    <n v="155"/>
    <n v="46"/>
    <n v="0.29677419354838708"/>
    <x v="430"/>
    <x v="0"/>
    <s v="59"/>
    <s v="URL"/>
    <x v="3"/>
    <x v="3"/>
    <m/>
    <m/>
    <x v="0"/>
    <m/>
    <m/>
    <x v="157"/>
    <m/>
  </r>
  <r>
    <s v="864fca7f-b63e-4317-a3db-42c2f9fec63d"/>
    <x v="0"/>
    <s v="856d8fc3-9a12-48bb-87b1-3287f9fe20db"/>
    <s v="failed"/>
    <x v="0"/>
    <s v="2023-03-15T19:45:26.982000+00:00"/>
    <n v="155"/>
    <n v="47"/>
    <n v="0.3032258064516129"/>
    <x v="431"/>
    <x v="0"/>
    <s v="59"/>
    <s v="URL"/>
    <x v="3"/>
    <x v="3"/>
    <m/>
    <m/>
    <x v="0"/>
    <m/>
    <m/>
    <x v="157"/>
    <m/>
  </r>
  <r>
    <s v="fd5aa367-0196-42e1-b806-bb56476bd0e2"/>
    <x v="0"/>
    <s v="856d8fc3-9a12-48bb-87b1-3287f9fe20db"/>
    <s v="failed"/>
    <x v="0"/>
    <s v="2023-03-15T20:20:27.451000+00:00"/>
    <n v="155"/>
    <n v="55"/>
    <n v="0.35483870967741937"/>
    <x v="491"/>
    <x v="0"/>
    <s v="59"/>
    <s v="URL"/>
    <x v="3"/>
    <x v="3"/>
    <m/>
    <m/>
    <x v="0"/>
    <m/>
    <m/>
    <x v="157"/>
    <m/>
  </r>
  <r>
    <s v="2e7ea2f1-ec04-4c8e-b8a9-c847f311e43e"/>
    <x v="0"/>
    <s v="856d8fc3-9a12-48bb-87b1-3287f9fe20db"/>
    <s v="failed"/>
    <x v="0"/>
    <s v="2023-03-15T20:25:50.468000+00:00"/>
    <n v="155"/>
    <n v="56"/>
    <n v="0.36129032258064514"/>
    <x v="492"/>
    <x v="0"/>
    <s v="59"/>
    <s v="URL"/>
    <x v="3"/>
    <x v="3"/>
    <m/>
    <m/>
    <x v="0"/>
    <m/>
    <m/>
    <x v="157"/>
    <m/>
  </r>
  <r>
    <s v="fe5b74a2-1eef-48ed-b698-ece663e63754"/>
    <x v="0"/>
    <s v="856d8fc3-9a12-48bb-87b1-3287f9fe20db"/>
    <s v="failed"/>
    <x v="0"/>
    <s v="2023-03-15T20:39:44.414000+00:00"/>
    <n v="155"/>
    <n v="59"/>
    <n v="0.38064516129032255"/>
    <x v="432"/>
    <x v="0"/>
    <s v="59"/>
    <s v="URL"/>
    <x v="3"/>
    <x v="3"/>
    <m/>
    <m/>
    <x v="0"/>
    <m/>
    <m/>
    <x v="157"/>
    <m/>
  </r>
  <r>
    <s v="4719c66e-797b-4745-ab2a-b533219c40b8"/>
    <x v="0"/>
    <s v="856d8fc3-9a12-48bb-87b1-3287f9fe20db"/>
    <s v="failed"/>
    <x v="0"/>
    <s v="2023-03-15T20:45:08.436000+00:00"/>
    <n v="155"/>
    <n v="60"/>
    <n v="0.38709677419354838"/>
    <x v="461"/>
    <x v="0"/>
    <s v="59"/>
    <s v="URL"/>
    <x v="3"/>
    <x v="3"/>
    <m/>
    <m/>
    <x v="0"/>
    <m/>
    <m/>
    <x v="157"/>
    <m/>
  </r>
  <r>
    <s v="7c027788-e03b-49fb-8b9b-7860c9c91e16"/>
    <x v="0"/>
    <s v="856d8fc3-9a12-48bb-87b1-3287f9fe20db"/>
    <s v="failed"/>
    <x v="0"/>
    <s v="2023-03-15T20:50:20.677000+00:00"/>
    <n v="155"/>
    <n v="61"/>
    <n v="0.3935483870967742"/>
    <x v="493"/>
    <x v="0"/>
    <s v="59"/>
    <s v="URL"/>
    <x v="3"/>
    <x v="3"/>
    <m/>
    <m/>
    <x v="0"/>
    <m/>
    <m/>
    <x v="157"/>
    <m/>
  </r>
  <r>
    <s v="c541bc48-a8d6-4a2a-b006-17c217e1a39f"/>
    <x v="1"/>
    <s v="38b76b03-b902-4172-bce6-4613cf16cdab"/>
    <s v="failed"/>
    <x v="45"/>
    <s v="2023-03-15T21:13:16.209000+00:00"/>
    <n v="203"/>
    <n v="40"/>
    <n v="0.19704433497536947"/>
    <x v="494"/>
    <x v="21"/>
    <s v="47"/>
    <s v="URL"/>
    <x v="24"/>
    <x v="24"/>
    <m/>
    <m/>
    <x v="0"/>
    <m/>
    <m/>
    <x v="157"/>
    <m/>
  </r>
  <r>
    <s v="266f0e4c-ee16-4507-bfb0-b8fb58dbbf57"/>
    <x v="0"/>
    <s v="856d8fc3-9a12-48bb-87b1-3287f9fe20db"/>
    <s v="failed"/>
    <x v="0"/>
    <s v="2023-03-15T21:29:42.783000+00:00"/>
    <n v="155"/>
    <n v="70"/>
    <n v="0.45161290322580644"/>
    <x v="495"/>
    <x v="0"/>
    <s v="59"/>
    <s v="URL"/>
    <x v="3"/>
    <x v="3"/>
    <m/>
    <m/>
    <x v="0"/>
    <m/>
    <m/>
    <x v="157"/>
    <m/>
  </r>
  <r>
    <s v="ba536abf-a2dc-4a83-aa94-11424917fb53"/>
    <x v="0"/>
    <s v="856d8fc3-9a12-48bb-87b1-3287f9fe20db"/>
    <s v="failed"/>
    <x v="0"/>
    <s v="2023-03-15T22:06:02.407000+00:00"/>
    <n v="155"/>
    <n v="78"/>
    <n v="0.50322580645161286"/>
    <x v="496"/>
    <x v="0"/>
    <s v="59"/>
    <s v="URL"/>
    <x v="11"/>
    <x v="11"/>
    <m/>
    <m/>
    <x v="0"/>
    <m/>
    <m/>
    <x v="157"/>
    <m/>
  </r>
  <r>
    <s v="72a459ce-31bb-407d-80db-41945dca9510"/>
    <x v="7"/>
    <s v="279febfe-8716-4d92-99fb-86faf713f183"/>
    <s v="failed"/>
    <x v="25"/>
    <s v="2023-03-15T22:17:36.864000+00:00"/>
    <n v="76"/>
    <n v="3"/>
    <n v="3.9473684210526314E-2"/>
    <x v="488"/>
    <x v="2"/>
    <s v="10"/>
    <s v="URL"/>
    <x v="5"/>
    <x v="5"/>
    <m/>
    <m/>
    <x v="0"/>
    <m/>
    <m/>
    <x v="157"/>
    <m/>
  </r>
  <r>
    <s v="089a04d4-895d-48f4-8158-e07505616495"/>
    <x v="3"/>
    <s v="24ee6df1-006d-4fed-b27d-db84370ed66d"/>
    <s v="failed"/>
    <x v="46"/>
    <s v="2023-03-15T22:37:25.717000+00:00"/>
    <n v="202"/>
    <n v="62"/>
    <n v="0.30693069306930693"/>
    <x v="497"/>
    <x v="19"/>
    <s v="47"/>
    <s v="URL"/>
    <x v="11"/>
    <x v="11"/>
    <m/>
    <m/>
    <x v="0"/>
    <m/>
    <m/>
    <x v="157"/>
    <m/>
  </r>
  <r>
    <s v="ac1710db-7718-44ce-889f-e11efc344f38"/>
    <x v="7"/>
    <s v="4b970836-0150-46a8-a6fa-7ca9c99457e2"/>
    <s v="failed"/>
    <x v="0"/>
    <s v="2023-03-15T22:59:13.564000+00:00"/>
    <n v="74"/>
    <n v="5"/>
    <n v="6.7567567567567571E-2"/>
    <x v="498"/>
    <x v="2"/>
    <s v="10"/>
    <s v="URL"/>
    <x v="22"/>
    <x v="22"/>
    <m/>
    <m/>
    <x v="0"/>
    <m/>
    <m/>
    <x v="157"/>
    <m/>
  </r>
  <r>
    <s v="13db7272-7366-4c2f-ae1b-03789e36c444"/>
    <x v="0"/>
    <s v="856d8fc3-9a12-48bb-87b1-3287f9fe20db"/>
    <s v="failed"/>
    <x v="20"/>
    <s v="2023-03-15T23:38:25.582000+00:00"/>
    <n v="155"/>
    <n v="79"/>
    <n v="0.50967741935483868"/>
    <x v="496"/>
    <x v="0"/>
    <s v="59"/>
    <s v="URL"/>
    <x v="6"/>
    <x v="6"/>
    <m/>
    <m/>
    <x v="0"/>
    <m/>
    <m/>
    <x v="157"/>
    <m/>
  </r>
  <r>
    <s v="3858fb5f-2e41-494d-8ec6-ce67c122713c"/>
    <x v="0"/>
    <s v="712a80d2-ff20-445f-a2e3-e0e1fc41e6bb"/>
    <s v="failed"/>
    <x v="20"/>
    <s v="2023-03-15T23:42:11.837000+00:00"/>
    <n v="76"/>
    <n v="0"/>
    <n v="0"/>
    <x v="124"/>
    <x v="0"/>
    <s v="59"/>
    <s v="URL"/>
    <x v="6"/>
    <x v="6"/>
    <m/>
    <m/>
    <x v="0"/>
    <m/>
    <m/>
    <x v="157"/>
    <m/>
  </r>
  <r>
    <s v="9dc0b4b5-7c65-4f51-b6f8-8b140548bddf"/>
    <x v="7"/>
    <s v="4b970836-0150-46a8-a6fa-7ca9c99457e2"/>
    <s v="failed"/>
    <x v="26"/>
    <s v="2023-03-16T01:57:20.417000+00:00"/>
    <n v="74"/>
    <n v="42"/>
    <n v="0.56756756756756754"/>
    <x v="499"/>
    <x v="2"/>
    <s v="10"/>
    <s v="URL"/>
    <x v="18"/>
    <x v="18"/>
    <m/>
    <m/>
    <x v="0"/>
    <m/>
    <m/>
    <x v="158"/>
    <m/>
  </r>
  <r>
    <m/>
    <x v="2"/>
    <s v="f47e794e-3216-45a9-b3c9-ec88d1ded06f"/>
    <s v="failed"/>
    <x v="28"/>
    <s v="2023-03-16T02:20:41.366000+00:00"/>
    <n v="214"/>
    <n v="166"/>
    <n v="0.77570093457943923"/>
    <x v="500"/>
    <x v="0"/>
    <s v="43"/>
    <m/>
    <x v="10"/>
    <x v="10"/>
    <m/>
    <m/>
    <x v="0"/>
    <m/>
    <m/>
    <x v="158"/>
    <m/>
  </r>
  <r>
    <m/>
    <x v="9"/>
    <s v="98c9bd80-e236-45c9-82c1-92bd16e1e074"/>
    <s v="completed"/>
    <x v="3"/>
    <s v="2023-03-16T08:49:40.154000+00:00"/>
    <n v="82"/>
    <n v="82"/>
    <n v="1"/>
    <x v="4"/>
    <x v="14"/>
    <s v="22"/>
    <m/>
    <x v="2"/>
    <x v="2"/>
    <m/>
    <m/>
    <x v="0"/>
    <m/>
    <m/>
    <x v="158"/>
    <m/>
  </r>
  <r>
    <s v="3dd1071b-d2c0-4f22-bb10-319cacbfc33c"/>
    <x v="4"/>
    <s v="7720df0f-55e5-4f9b-acd1-2cd644db1907"/>
    <s v="failed"/>
    <x v="33"/>
    <s v="2023-03-16T10:53:17.784000+00:00"/>
    <n v="4"/>
    <n v="1"/>
    <n v="0.25"/>
    <x v="501"/>
    <x v="2"/>
    <s v="13"/>
    <s v="URL"/>
    <x v="17"/>
    <x v="17"/>
    <m/>
    <m/>
    <x v="0"/>
    <m/>
    <m/>
    <x v="158"/>
    <m/>
  </r>
  <r>
    <m/>
    <x v="4"/>
    <s v="9a9384ae-8fd8-4d07-9aa9-116c4c96a95e"/>
    <s v="stopped"/>
    <x v="3"/>
    <s v="2023-03-16T11:00:52.714000+00:00"/>
    <n v="8"/>
    <n v="2"/>
    <n v="0.25"/>
    <x v="4"/>
    <x v="2"/>
    <s v="13"/>
    <m/>
    <x v="2"/>
    <x v="2"/>
    <m/>
    <m/>
    <x v="0"/>
    <m/>
    <m/>
    <x v="158"/>
    <m/>
  </r>
  <r>
    <s v="80ad3d28-df9b-4882-8dc3-8c6ec006d6a2"/>
    <x v="4"/>
    <s v="2483c131-c17f-479a-b861-438328ed9d1e"/>
    <s v="failed"/>
    <x v="3"/>
    <s v="2023-03-16T11:25:23.359000+00:00"/>
    <n v="11"/>
    <n v="1"/>
    <n v="9.0909090909090912E-2"/>
    <x v="501"/>
    <x v="2"/>
    <s v="13"/>
    <s v="URL"/>
    <x v="14"/>
    <x v="14"/>
    <m/>
    <m/>
    <x v="0"/>
    <m/>
    <m/>
    <x v="158"/>
    <m/>
  </r>
  <r>
    <m/>
    <x v="2"/>
    <s v="803da153-924c-4f93-a648-c911ebc7e434"/>
    <s v="stopped"/>
    <x v="0"/>
    <s v="2023-03-16T11:42:17.385000+00:00"/>
    <n v="78"/>
    <n v="2"/>
    <n v="2.564102564102564E-2"/>
    <x v="496"/>
    <x v="0"/>
    <s v="59"/>
    <m/>
    <x v="1"/>
    <x v="1"/>
    <m/>
    <m/>
    <x v="0"/>
    <m/>
    <m/>
    <x v="158"/>
    <m/>
  </r>
  <r>
    <s v="ac5fe68f-50d9-4c09-9500-074971099efc"/>
    <x v="4"/>
    <s v="d6b28afa-2669-4a89-bf79-522d000effb2"/>
    <s v="failed"/>
    <x v="33"/>
    <s v="2023-03-16T11:46:37.737000+00:00"/>
    <n v="6"/>
    <n v="1"/>
    <n v="0.16666666666666666"/>
    <x v="501"/>
    <x v="2"/>
    <s v="13"/>
    <s v="URL"/>
    <x v="9"/>
    <x v="9"/>
    <m/>
    <m/>
    <x v="0"/>
    <m/>
    <m/>
    <x v="158"/>
    <m/>
  </r>
  <r>
    <m/>
    <x v="4"/>
    <s v="3f917f0a-7edb-4a9e-8114-0820a1201ea7"/>
    <s v="completed"/>
    <x v="3"/>
    <s v="2023-03-16T12:08:07.122000+00:00"/>
    <n v="7"/>
    <n v="7"/>
    <n v="1"/>
    <x v="4"/>
    <x v="2"/>
    <s v="13"/>
    <m/>
    <x v="2"/>
    <x v="2"/>
    <m/>
    <m/>
    <x v="0"/>
    <m/>
    <m/>
    <x v="158"/>
    <m/>
  </r>
  <r>
    <m/>
    <x v="2"/>
    <s v="ad0d9ef2-0d29-41cf-978a-9abfbed5b437"/>
    <s v="failed"/>
    <x v="19"/>
    <s v="2023-03-16T12:13:14.060000+00:00"/>
    <n v="77"/>
    <n v="2"/>
    <n v="2.5974025974025976E-2"/>
    <x v="502"/>
    <x v="0"/>
    <s v="59"/>
    <m/>
    <x v="16"/>
    <x v="16"/>
    <m/>
    <m/>
    <x v="0"/>
    <m/>
    <m/>
    <x v="158"/>
    <m/>
  </r>
  <r>
    <s v="1c69b540-1cd1-426f-9d10-462180747da2"/>
    <x v="0"/>
    <s v="d421167b-023c-40ea-bf8d-cfc43c3b2915"/>
    <s v="failed"/>
    <x v="35"/>
    <s v="2023-03-16T12:26:50.313000+00:00"/>
    <n v="6"/>
    <n v="0"/>
    <n v="0"/>
    <x v="124"/>
    <x v="0"/>
    <s v="59"/>
    <s v="URL"/>
    <x v="22"/>
    <x v="22"/>
    <m/>
    <m/>
    <x v="0"/>
    <m/>
    <m/>
    <x v="158"/>
    <m/>
  </r>
  <r>
    <m/>
    <x v="2"/>
    <s v="b9fc0fc2-1091-4382-a759-32bdaf109769"/>
    <s v="stopped"/>
    <x v="3"/>
    <s v="2023-03-16T12:28:06.621000+00:00"/>
    <n v="76"/>
    <n v="2"/>
    <n v="2.6315789473684209E-2"/>
    <x v="4"/>
    <x v="0"/>
    <s v="59"/>
    <m/>
    <x v="2"/>
    <x v="2"/>
    <m/>
    <m/>
    <x v="0"/>
    <m/>
    <m/>
    <x v="158"/>
    <m/>
  </r>
  <r>
    <m/>
    <x v="2"/>
    <s v="47730a2a-8e73-4275-9bb6-7fa20da3dc97"/>
    <m/>
    <x v="3"/>
    <s v="2023-03-16T12:32:47.123000+00:00"/>
    <n v="78"/>
    <n v="2"/>
    <n v="2.564102564102564E-2"/>
    <x v="4"/>
    <x v="0"/>
    <s v="59"/>
    <m/>
    <x v="2"/>
    <x v="2"/>
    <m/>
    <m/>
    <x v="0"/>
    <m/>
    <m/>
    <x v="158"/>
    <m/>
  </r>
  <r>
    <m/>
    <x v="0"/>
    <s v="ec7c6939-5068-4b6f-bd6e-74c261c4dfef"/>
    <s v="stopped"/>
    <x v="3"/>
    <s v="2023-03-16T12:39:28.727000+00:00"/>
    <n v="77"/>
    <n v="3"/>
    <n v="3.896103896103896E-2"/>
    <x v="4"/>
    <x v="0"/>
    <s v="59"/>
    <m/>
    <x v="2"/>
    <x v="2"/>
    <m/>
    <m/>
    <x v="0"/>
    <m/>
    <m/>
    <x v="158"/>
    <m/>
  </r>
  <r>
    <m/>
    <x v="0"/>
    <s v="948bcda6-1fb1-4ab0-8698-a6f49dccb56c"/>
    <s v="failed"/>
    <x v="0"/>
    <s v="2023-03-16T12:44:39.511000+00:00"/>
    <n v="79"/>
    <n v="0"/>
    <n v="0"/>
    <x v="503"/>
    <x v="0"/>
    <s v="59"/>
    <m/>
    <x v="6"/>
    <x v="6"/>
    <m/>
    <m/>
    <x v="0"/>
    <m/>
    <m/>
    <x v="158"/>
    <m/>
  </r>
  <r>
    <m/>
    <x v="4"/>
    <s v="3e685c13-1374-43ed-bba0-af45d531ac4f"/>
    <s v="failed"/>
    <x v="3"/>
    <s v="2023-03-16T12:53:17.597000+00:00"/>
    <n v="3"/>
    <n v="0"/>
    <n v="0"/>
    <x v="4"/>
    <x v="5"/>
    <s v="14"/>
    <m/>
    <x v="2"/>
    <x v="2"/>
    <m/>
    <m/>
    <x v="0"/>
    <m/>
    <m/>
    <x v="158"/>
    <m/>
  </r>
  <r>
    <m/>
    <x v="2"/>
    <s v="4c9328f1-eeb2-44c9-b147-32b5a92b1003"/>
    <s v="stopped"/>
    <x v="3"/>
    <s v="2023-03-16T13:05:40.354000+00:00"/>
    <n v="78"/>
    <n v="2"/>
    <n v="2.564102564102564E-2"/>
    <x v="4"/>
    <x v="0"/>
    <s v="59"/>
    <m/>
    <x v="2"/>
    <x v="2"/>
    <m/>
    <m/>
    <x v="0"/>
    <m/>
    <m/>
    <x v="158"/>
    <m/>
  </r>
  <r>
    <m/>
    <x v="0"/>
    <s v="948bcda6-1fb1-4ab0-8698-a6f49dccb56c"/>
    <s v="failed"/>
    <x v="22"/>
    <s v="2023-03-16T13:06:32.349000+00:00"/>
    <n v="79"/>
    <n v="6"/>
    <n v="7.5949367088607597E-2"/>
    <x v="504"/>
    <x v="0"/>
    <s v="59"/>
    <m/>
    <x v="6"/>
    <x v="6"/>
    <m/>
    <m/>
    <x v="0"/>
    <m/>
    <m/>
    <x v="158"/>
    <m/>
  </r>
  <r>
    <s v="ae77e2f4-1b87-417b-8245-3037d93bf93d"/>
    <x v="4"/>
    <s v="d9fba119-014a-4d3c-9ef2-5df3d93164f6"/>
    <s v="failed"/>
    <x v="33"/>
    <s v="2023-03-16T13:13:34.311000+00:00"/>
    <n v="11"/>
    <n v="2"/>
    <n v="0.18181818181818182"/>
    <x v="124"/>
    <x v="18"/>
    <s v="13"/>
    <s v="URL"/>
    <x v="27"/>
    <x v="27"/>
    <m/>
    <m/>
    <x v="0"/>
    <m/>
    <m/>
    <x v="158"/>
    <m/>
  </r>
  <r>
    <s v="19b26a63-e2f4-459e-abc1-51d3f3ab6d84"/>
    <x v="4"/>
    <s v="bb08bef7-182d-4e90-b0be-b30291a92773"/>
    <s v="failed"/>
    <x v="33"/>
    <s v="2023-03-16T13:23:01.079000+00:00"/>
    <n v="19"/>
    <n v="2"/>
    <n v="0.10526315789473684"/>
    <x v="505"/>
    <x v="18"/>
    <s v="13"/>
    <s v="URL"/>
    <x v="27"/>
    <x v="27"/>
    <m/>
    <m/>
    <x v="0"/>
    <m/>
    <m/>
    <x v="158"/>
    <m/>
  </r>
  <r>
    <s v="6306d126-1e4b-4d49-b2fb-e7bf0eb69b9e"/>
    <x v="4"/>
    <s v="d9494f83-1cc2-491c-88c2-ac8aff99ee61"/>
    <s v="failed"/>
    <x v="33"/>
    <s v="2023-03-16T13:27:49.877000+00:00"/>
    <n v="18"/>
    <n v="2"/>
    <n v="0.1111111111111111"/>
    <x v="124"/>
    <x v="18"/>
    <s v="13"/>
    <s v="URL"/>
    <x v="27"/>
    <x v="27"/>
    <m/>
    <m/>
    <x v="0"/>
    <m/>
    <m/>
    <x v="158"/>
    <m/>
  </r>
  <r>
    <s v="9f063ad3-23ec-4fc2-b3f9-49fb14019d2f"/>
    <x v="4"/>
    <s v="39f2a4e1-4659-4b47-8720-3b29d1ff795f"/>
    <s v="failed"/>
    <x v="33"/>
    <s v="2023-03-16T13:32:58.458000+00:00"/>
    <n v="21"/>
    <n v="2"/>
    <n v="9.5238095238095233E-2"/>
    <x v="505"/>
    <x v="18"/>
    <s v="13"/>
    <s v="URL"/>
    <x v="27"/>
    <x v="27"/>
    <m/>
    <m/>
    <x v="0"/>
    <m/>
    <m/>
    <x v="158"/>
    <m/>
  </r>
  <r>
    <m/>
    <x v="4"/>
    <s v="388e0b6b-bed0-4a08-bcbf-1cd3ddc606ab"/>
    <s v="stopped"/>
    <x v="3"/>
    <s v="2023-03-16T14:13:40.163000+00:00"/>
    <n v="13"/>
    <n v="6"/>
    <n v="0.46153846153846156"/>
    <x v="4"/>
    <x v="18"/>
    <s v="13"/>
    <m/>
    <x v="2"/>
    <x v="2"/>
    <m/>
    <m/>
    <x v="0"/>
    <m/>
    <m/>
    <x v="158"/>
    <m/>
  </r>
  <r>
    <m/>
    <x v="7"/>
    <s v="a01d0706-718a-45ba-9158-fc42133c4835"/>
    <m/>
    <x v="3"/>
    <s v="2023-03-16T15:06:24.502000+00:00"/>
    <n v="119"/>
    <n v="11"/>
    <n v="9.2436974789915971E-2"/>
    <x v="4"/>
    <x v="22"/>
    <s v="10"/>
    <m/>
    <x v="2"/>
    <x v="2"/>
    <m/>
    <m/>
    <x v="0"/>
    <m/>
    <m/>
    <x v="158"/>
    <m/>
  </r>
  <r>
    <m/>
    <x v="7"/>
    <s v="949dab45-a2e8-44a6-801f-f04c9c526453"/>
    <m/>
    <x v="3"/>
    <s v="2023-03-16T15:23:28.939000+00:00"/>
    <n v="109"/>
    <n v="21"/>
    <n v="0.19266055045871561"/>
    <x v="4"/>
    <x v="22"/>
    <s v="10"/>
    <m/>
    <x v="2"/>
    <x v="2"/>
    <m/>
    <m/>
    <x v="0"/>
    <m/>
    <m/>
    <x v="158"/>
    <m/>
  </r>
  <r>
    <m/>
    <x v="7"/>
    <s v="7c521968-76b3-4f9c-a057-9368f0411168"/>
    <s v="stopped"/>
    <x v="3"/>
    <s v="2023-03-16T16:02:45.400000+00:00"/>
    <n v="89"/>
    <n v="2"/>
    <n v="2.247191011235955E-2"/>
    <x v="4"/>
    <x v="2"/>
    <s v="10"/>
    <m/>
    <x v="2"/>
    <x v="2"/>
    <m/>
    <m/>
    <x v="0"/>
    <m/>
    <m/>
    <x v="158"/>
    <m/>
  </r>
  <r>
    <s v="2465c15e-0733-432b-b8df-a4b5324937b6"/>
    <x v="2"/>
    <s v="16ec26a9-c275-40b0-9e25-d848a266eb60"/>
    <s v="failed"/>
    <x v="42"/>
    <s v="2023-03-16T16:18:06.380000+00:00"/>
    <n v="77"/>
    <n v="6"/>
    <n v="7.792207792207792E-2"/>
    <x v="506"/>
    <x v="0"/>
    <s v="59"/>
    <s v="URL"/>
    <x v="7"/>
    <x v="7"/>
    <m/>
    <m/>
    <x v="0"/>
    <m/>
    <m/>
    <x v="158"/>
    <m/>
  </r>
  <r>
    <m/>
    <x v="2"/>
    <s v="567aeec3-55cd-4086-a3cb-92eff5028329"/>
    <s v="stopped"/>
    <x v="3"/>
    <s v="2023-03-16T17:12:26.811000+00:00"/>
    <n v="70"/>
    <n v="1"/>
    <n v="1.4285714285714285E-2"/>
    <x v="4"/>
    <x v="0"/>
    <s v="59"/>
    <m/>
    <x v="2"/>
    <x v="2"/>
    <m/>
    <m/>
    <x v="0"/>
    <m/>
    <m/>
    <x v="158"/>
    <m/>
  </r>
  <r>
    <s v="e54faa92-a730-46d8-a403-d534a9ad6fc5"/>
    <x v="6"/>
    <s v="c64f891e-e87c-4b2b-94d8-a8cc8ed93a86"/>
    <m/>
    <x v="0"/>
    <s v="2023-03-16T19:52:42.517000+00:00"/>
    <n v="20"/>
    <n v="4"/>
    <n v="0.2"/>
    <x v="315"/>
    <x v="5"/>
    <s v="52"/>
    <s v="URL"/>
    <x v="3"/>
    <x v="3"/>
    <m/>
    <m/>
    <x v="0"/>
    <m/>
    <m/>
    <x v="158"/>
    <m/>
  </r>
  <r>
    <s v="0def331d-e42f-4e7e-9aa0-70a5c6298ef5"/>
    <x v="6"/>
    <s v="c64f891e-e87c-4b2b-94d8-a8cc8ed93a86"/>
    <m/>
    <x v="0"/>
    <s v="2023-03-16T20:12:00.559000+00:00"/>
    <n v="20"/>
    <n v="13"/>
    <n v="0.65"/>
    <x v="310"/>
    <x v="5"/>
    <s v="52"/>
    <s v="URL"/>
    <x v="3"/>
    <x v="3"/>
    <m/>
    <m/>
    <x v="0"/>
    <m/>
    <m/>
    <x v="158"/>
    <m/>
  </r>
  <r>
    <s v="3f3fd511-7518-43a3-bfbc-bc5c6f2b1575"/>
    <x v="6"/>
    <s v="c64f891e-e87c-4b2b-94d8-a8cc8ed93a86"/>
    <m/>
    <x v="0"/>
    <s v="2023-03-16T20:15:08.207000+00:00"/>
    <n v="20"/>
    <n v="14"/>
    <n v="0.7"/>
    <x v="299"/>
    <x v="5"/>
    <s v="52"/>
    <s v="URL"/>
    <x v="3"/>
    <x v="3"/>
    <m/>
    <m/>
    <x v="0"/>
    <m/>
    <m/>
    <x v="158"/>
    <m/>
  </r>
  <r>
    <s v="d0d2e321-9c2e-4e56-8431-454a4c245694"/>
    <x v="6"/>
    <s v="c64f891e-e87c-4b2b-94d8-a8cc8ed93a86"/>
    <m/>
    <x v="3"/>
    <s v="2023-03-16T20:26:10.160000+00:00"/>
    <n v="20"/>
    <n v="19"/>
    <n v="0.95"/>
    <x v="301"/>
    <x v="5"/>
    <s v="52"/>
    <s v="URL"/>
    <x v="1"/>
    <x v="1"/>
    <m/>
    <s v="recovery gaat gewoon oké denk ik"/>
    <x v="1"/>
    <m/>
    <m/>
    <x v="158"/>
    <m/>
  </r>
  <r>
    <s v="228ef81f-7d66-452b-b422-cc26bc2cf7b8"/>
    <x v="2"/>
    <s v="2fc4315c-912f-4c2f-92f4-3d834a18e050"/>
    <s v="completed"/>
    <x v="0"/>
    <s v="2023-03-16T20:26:22.319000+00:00"/>
    <n v="153"/>
    <n v="41"/>
    <n v="0.26797385620915032"/>
    <x v="410"/>
    <x v="0"/>
    <s v="59"/>
    <s v="URL"/>
    <x v="1"/>
    <x v="1"/>
    <m/>
    <m/>
    <x v="1"/>
    <m/>
    <m/>
    <x v="158"/>
    <m/>
  </r>
  <r>
    <s v="c35d464e-6507-462b-92df-c0f0a410d8bd"/>
    <x v="0"/>
    <s v="2c192e32-fc30-403a-be1f-280f56ba4184"/>
    <s v="failed"/>
    <x v="53"/>
    <s v="2023-03-16T21:38:57.543000+00:00"/>
    <n v="140"/>
    <n v="66"/>
    <n v="0.47142857142857142"/>
    <x v="49"/>
    <x v="2"/>
    <s v="43"/>
    <s v="URL"/>
    <x v="11"/>
    <x v="11"/>
    <m/>
    <m/>
    <x v="0"/>
    <m/>
    <m/>
    <x v="158"/>
    <m/>
  </r>
  <r>
    <m/>
    <x v="7"/>
    <s v="33b5fc50-e1e6-4fe4-9aab-debd4c8887ac"/>
    <s v="completed"/>
    <x v="3"/>
    <s v="2023-03-17T02:03:32.584000+00:00"/>
    <n v="120"/>
    <n v="120"/>
    <n v="1"/>
    <x v="4"/>
    <x v="0"/>
    <s v="10"/>
    <m/>
    <x v="2"/>
    <x v="2"/>
    <m/>
    <m/>
    <x v="0"/>
    <m/>
    <m/>
    <x v="159"/>
    <m/>
  </r>
  <r>
    <m/>
    <x v="2"/>
    <s v="2fc4315c-912f-4c2f-92f4-3d834a18e050"/>
    <s v="completed"/>
    <x v="3"/>
    <s v="2023-03-17T04:06:48.022000+00:00"/>
    <n v="153"/>
    <n v="152"/>
    <n v="0.99346405228758172"/>
    <x v="4"/>
    <x v="0"/>
    <s v="59"/>
    <m/>
    <x v="2"/>
    <x v="2"/>
    <m/>
    <m/>
    <x v="0"/>
    <m/>
    <m/>
    <x v="159"/>
    <m/>
  </r>
  <r>
    <s v="a56ec829-9f0e-45a1-86ec-6b1312aa223c"/>
    <x v="4"/>
    <s v="c6bf6f9c-73bc-4a87-99ec-6f9e4ee442b1"/>
    <s v="failed"/>
    <x v="33"/>
    <s v="2023-03-17T07:49:40.371000+00:00"/>
    <n v="134"/>
    <n v="1"/>
    <n v="7.462686567164179E-3"/>
    <x v="152"/>
    <x v="5"/>
    <s v="14"/>
    <s v="URL"/>
    <x v="28"/>
    <x v="26"/>
    <m/>
    <m/>
    <x v="0"/>
    <m/>
    <m/>
    <x v="159"/>
    <m/>
  </r>
  <r>
    <s v="a56ec829-9f0e-45a1-86ec-6b1312aa223c"/>
    <x v="4"/>
    <s v="afea5d88-47fe-42d0-a04d-28619f993bf2"/>
    <s v="failed"/>
    <x v="33"/>
    <s v="2023-03-17T07:49:40.371000+00:00"/>
    <n v="152"/>
    <n v="1"/>
    <n v="6.5789473684210523E-3"/>
    <x v="124"/>
    <x v="11"/>
    <s v="14"/>
    <s v="URL"/>
    <x v="28"/>
    <x v="26"/>
    <m/>
    <m/>
    <x v="0"/>
    <m/>
    <m/>
    <x v="159"/>
    <m/>
  </r>
  <r>
    <s v="bc2ffc1a-dbda-456b-b388-56460a8b567a"/>
    <x v="4"/>
    <s v="db2019bc-f887-4a5a-84b5-9559a435679b"/>
    <s v="failed"/>
    <x v="33"/>
    <s v="2023-03-17T07:51:13.155000+00:00"/>
    <n v="134"/>
    <n v="1"/>
    <n v="7.462686567164179E-3"/>
    <x v="152"/>
    <x v="5"/>
    <s v="14"/>
    <s v="URL"/>
    <x v="28"/>
    <x v="26"/>
    <m/>
    <m/>
    <x v="0"/>
    <m/>
    <m/>
    <x v="159"/>
    <m/>
  </r>
  <r>
    <m/>
    <x v="9"/>
    <s v="6abd5705-d55d-44a3-935e-f80823f49238"/>
    <s v="completed"/>
    <x v="3"/>
    <s v="2023-03-17T08:47:48.196000+00:00"/>
    <n v="81"/>
    <n v="81"/>
    <n v="1"/>
    <x v="4"/>
    <x v="13"/>
    <s v="22"/>
    <m/>
    <x v="2"/>
    <x v="2"/>
    <m/>
    <m/>
    <x v="0"/>
    <m/>
    <m/>
    <x v="159"/>
    <m/>
  </r>
  <r>
    <m/>
    <x v="0"/>
    <s v="501a2fd7-5778-49ee-873d-155a7f56ab90"/>
    <s v="failed"/>
    <x v="3"/>
    <s v="2023-03-17T09:27:28.955000+00:00"/>
    <n v="4"/>
    <n v="0"/>
    <n v="0"/>
    <x v="124"/>
    <x v="0"/>
    <s v="43"/>
    <m/>
    <x v="22"/>
    <x v="22"/>
    <m/>
    <m/>
    <x v="0"/>
    <m/>
    <m/>
    <x v="159"/>
    <m/>
  </r>
  <r>
    <m/>
    <x v="0"/>
    <s v="f52a4eef-43a7-4784-85e9-1ed6ef33447d"/>
    <s v="stopped"/>
    <x v="3"/>
    <s v="2023-03-17T09:35:40.502000+00:00"/>
    <n v="2"/>
    <n v="0"/>
    <n v="0"/>
    <x v="4"/>
    <x v="0"/>
    <s v="43"/>
    <m/>
    <x v="2"/>
    <x v="2"/>
    <m/>
    <m/>
    <x v="0"/>
    <m/>
    <m/>
    <x v="159"/>
    <m/>
  </r>
  <r>
    <m/>
    <x v="0"/>
    <s v="e9b3341a-39d0-43bd-b105-0a18d6a24605"/>
    <s v="stopped"/>
    <x v="3"/>
    <s v="2023-03-17T09:47:20.218000+00:00"/>
    <n v="2"/>
    <n v="0"/>
    <n v="0"/>
    <x v="4"/>
    <x v="0"/>
    <s v="43"/>
    <m/>
    <x v="2"/>
    <x v="2"/>
    <m/>
    <m/>
    <x v="0"/>
    <m/>
    <m/>
    <x v="159"/>
    <m/>
  </r>
  <r>
    <m/>
    <x v="0"/>
    <s v="6fe8a672-0c10-47cd-8e58-cfeb38d2a460"/>
    <s v="completed"/>
    <x v="3"/>
    <s v="2023-03-17T09:51:46.229000+00:00"/>
    <n v="2"/>
    <n v="2"/>
    <n v="1"/>
    <x v="4"/>
    <x v="0"/>
    <s v="43"/>
    <m/>
    <x v="2"/>
    <x v="2"/>
    <m/>
    <m/>
    <x v="0"/>
    <m/>
    <m/>
    <x v="159"/>
    <m/>
  </r>
  <r>
    <m/>
    <x v="0"/>
    <s v="ee228315-72fe-4722-bf8c-0b12185d8cd7"/>
    <s v="completed"/>
    <x v="3"/>
    <s v="2023-03-17T10:03:02.622000+00:00"/>
    <n v="3"/>
    <n v="3"/>
    <n v="1"/>
    <x v="4"/>
    <x v="0"/>
    <s v="43"/>
    <m/>
    <x v="2"/>
    <x v="2"/>
    <m/>
    <m/>
    <x v="0"/>
    <m/>
    <m/>
    <x v="159"/>
    <m/>
  </r>
  <r>
    <m/>
    <x v="0"/>
    <s v="b2eac74a-4b92-4953-a669-abdfc562dc4a"/>
    <s v="stopped"/>
    <x v="3"/>
    <s v="2023-03-17T10:28:14.856000+00:00"/>
    <n v="139"/>
    <n v="4"/>
    <n v="2.8776978417266189E-2"/>
    <x v="4"/>
    <x v="2"/>
    <s v="43"/>
    <m/>
    <x v="2"/>
    <x v="2"/>
    <m/>
    <m/>
    <x v="0"/>
    <m/>
    <m/>
    <x v="159"/>
    <m/>
  </r>
  <r>
    <s v="1e007802-1bfe-4edd-bd0b-09580463f6c4"/>
    <x v="4"/>
    <s v="86f3dfd8-3ac2-423b-a0da-eb91500e83a7"/>
    <s v="failed"/>
    <x v="33"/>
    <s v="2023-03-17T12:00:13.006000+00:00"/>
    <n v="141"/>
    <n v="10"/>
    <n v="7.0921985815602842E-2"/>
    <x v="507"/>
    <x v="18"/>
    <s v="13"/>
    <s v="URL"/>
    <x v="16"/>
    <x v="16"/>
    <m/>
    <m/>
    <x v="0"/>
    <m/>
    <m/>
    <x v="159"/>
    <m/>
  </r>
  <r>
    <m/>
    <x v="4"/>
    <s v="3b940f49-d3ad-465b-a2a3-beae416a66b3"/>
    <s v="stopped"/>
    <x v="3"/>
    <s v="2023-03-17T12:41:13.279000+00:00"/>
    <n v="141"/>
    <n v="13"/>
    <n v="9.2198581560283682E-2"/>
    <x v="4"/>
    <x v="18"/>
    <s v="13"/>
    <m/>
    <x v="2"/>
    <x v="2"/>
    <m/>
    <m/>
    <x v="0"/>
    <m/>
    <m/>
    <x v="159"/>
    <m/>
  </r>
  <r>
    <s v="6df0b621-78ae-477c-8df4-5c5dfdb5c47e"/>
    <x v="4"/>
    <s v="c1512732-79db-4739-abea-34d0af63ef8b"/>
    <s v="failed"/>
    <x v="0"/>
    <s v="2023-03-17T13:21:07.144000+00:00"/>
    <n v="143"/>
    <n v="11"/>
    <n v="7.6923076923076927E-2"/>
    <x v="508"/>
    <x v="18"/>
    <s v="13"/>
    <s v="URL"/>
    <x v="17"/>
    <x v="17"/>
    <m/>
    <m/>
    <x v="0"/>
    <m/>
    <m/>
    <x v="159"/>
    <m/>
  </r>
  <r>
    <s v="db29021c-095d-4bde-be2a-b48a99507310"/>
    <x v="3"/>
    <s v="f18f583f-84cd-43ec-9b02-b78ee92dbd44"/>
    <s v="failed"/>
    <x v="19"/>
    <s v="2023-03-17T13:37:29.614000+00:00"/>
    <n v="182"/>
    <n v="6"/>
    <n v="3.2967032967032968E-2"/>
    <x v="509"/>
    <x v="3"/>
    <s v="47"/>
    <s v="URL"/>
    <x v="16"/>
    <x v="16"/>
    <m/>
    <m/>
    <x v="0"/>
    <m/>
    <m/>
    <x v="159"/>
    <m/>
  </r>
  <r>
    <s v="3cc66128-e93b-424e-b53e-3fd7cfebec5c"/>
    <x v="4"/>
    <s v="c1512732-79db-4739-abea-34d0af63ef8b"/>
    <s v="failed"/>
    <x v="0"/>
    <s v="2023-03-17T13:39:06.752000+00:00"/>
    <n v="143"/>
    <n v="13"/>
    <n v="9.0909090909090912E-2"/>
    <x v="510"/>
    <x v="18"/>
    <s v="13"/>
    <s v="URL"/>
    <x v="17"/>
    <x v="17"/>
    <m/>
    <m/>
    <x v="0"/>
    <m/>
    <m/>
    <x v="159"/>
    <m/>
  </r>
  <r>
    <s v="fca0f6d6-28d2-4780-a34b-8e0d7c17d9db"/>
    <x v="4"/>
    <s v="c1512732-79db-4739-abea-34d0af63ef8b"/>
    <s v="failed"/>
    <x v="0"/>
    <s v="2023-03-17T13:44:05.513000+00:00"/>
    <n v="143"/>
    <n v="15"/>
    <n v="0.1048951048951049"/>
    <x v="510"/>
    <x v="18"/>
    <s v="13"/>
    <s v="URL"/>
    <x v="28"/>
    <x v="26"/>
    <m/>
    <m/>
    <x v="0"/>
    <m/>
    <m/>
    <x v="159"/>
    <m/>
  </r>
  <r>
    <s v="761e601d-e577-400d-a23b-0d352c081ec4"/>
    <x v="4"/>
    <s v="c1512732-79db-4739-abea-34d0af63ef8b"/>
    <s v="failed"/>
    <x v="33"/>
    <s v="2023-03-17T13:46:00.240000+00:00"/>
    <n v="143"/>
    <n v="17"/>
    <n v="0.11888111888111888"/>
    <x v="510"/>
    <x v="18"/>
    <s v="13"/>
    <s v="URL"/>
    <x v="17"/>
    <x v="17"/>
    <m/>
    <m/>
    <x v="0"/>
    <m/>
    <m/>
    <x v="159"/>
    <m/>
  </r>
  <r>
    <s v="ff242f3d-0178-48b9-af92-6f6158d6dcae"/>
    <x v="4"/>
    <s v="39b59bcd-f98d-495a-b5b7-c4a052304902"/>
    <s v="failed"/>
    <x v="33"/>
    <s v="2023-03-17T14:05:56.519000+00:00"/>
    <n v="127"/>
    <n v="1"/>
    <n v="7.874015748031496E-3"/>
    <x v="124"/>
    <x v="18"/>
    <s v="13"/>
    <s v="URL"/>
    <x v="6"/>
    <x v="6"/>
    <m/>
    <m/>
    <x v="0"/>
    <m/>
    <m/>
    <x v="159"/>
    <m/>
  </r>
  <r>
    <s v="aec88051-3d8d-4785-a821-0995d3ae66e2"/>
    <x v="4"/>
    <s v="b15d0d5d-79dc-43c0-9109-48210da9d4d0"/>
    <s v="failed"/>
    <x v="33"/>
    <s v="2023-03-17T14:37:49.577000+00:00"/>
    <n v="69"/>
    <n v="1"/>
    <n v="1.4492753623188406E-2"/>
    <x v="124"/>
    <x v="23"/>
    <s v="13"/>
    <s v="URL"/>
    <x v="28"/>
    <x v="26"/>
    <m/>
    <m/>
    <x v="0"/>
    <m/>
    <m/>
    <x v="159"/>
    <m/>
  </r>
  <r>
    <m/>
    <x v="7"/>
    <s v="ed7a2c08-5d16-45cc-8924-d6149964d643"/>
    <m/>
    <x v="3"/>
    <s v="2023-03-17T16:01:43.643000+00:00"/>
    <n v="120"/>
    <n v="1"/>
    <n v="8.3333333333333332E-3"/>
    <x v="4"/>
    <x v="2"/>
    <s v="10"/>
    <m/>
    <x v="2"/>
    <x v="2"/>
    <m/>
    <m/>
    <x v="0"/>
    <m/>
    <m/>
    <x v="159"/>
    <m/>
  </r>
  <r>
    <m/>
    <x v="6"/>
    <s v="c1386cc2-8abf-4fe9-b3fa-df1ecca7ff1a"/>
    <s v="stopped"/>
    <x v="3"/>
    <s v="2023-03-17T19:21:13.044000+00:00"/>
    <n v="11"/>
    <n v="0"/>
    <n v="0"/>
    <x v="4"/>
    <x v="5"/>
    <s v="53"/>
    <m/>
    <x v="2"/>
    <x v="2"/>
    <m/>
    <m/>
    <x v="0"/>
    <m/>
    <m/>
    <x v="159"/>
    <m/>
  </r>
  <r>
    <m/>
    <x v="6"/>
    <s v="8899a4f0-1f10-47f2-93cd-fff70da0e7d7"/>
    <s v="completed"/>
    <x v="3"/>
    <s v="2023-03-17T19:43:13.454000+00:00"/>
    <n v="10"/>
    <n v="10"/>
    <n v="1"/>
    <x v="4"/>
    <x v="5"/>
    <s v="53"/>
    <m/>
    <x v="2"/>
    <x v="2"/>
    <m/>
    <m/>
    <x v="0"/>
    <m/>
    <m/>
    <x v="159"/>
    <m/>
  </r>
  <r>
    <m/>
    <x v="6"/>
    <s v="bdbf6aac-50bc-4da6-8d4a-62e16eaebf13"/>
    <s v="completed"/>
    <x v="3"/>
    <s v="2023-03-17T20:10:32.939000+00:00"/>
    <n v="10"/>
    <n v="10"/>
    <n v="1"/>
    <x v="4"/>
    <x v="5"/>
    <s v="54"/>
    <m/>
    <x v="2"/>
    <x v="2"/>
    <m/>
    <m/>
    <x v="0"/>
    <m/>
    <m/>
    <x v="159"/>
    <m/>
  </r>
  <r>
    <s v="93856682-5e10-4f1d-9951-32a1118e4b3a"/>
    <x v="6"/>
    <s v="f55eadfa-ed85-48ce-8884-8925a9f7f4af"/>
    <s v="completed"/>
    <x v="0"/>
    <s v="2023-03-17T20:23:23.677000+00:00"/>
    <n v="21"/>
    <n v="3"/>
    <n v="0.14285714285714285"/>
    <x v="315"/>
    <x v="5"/>
    <s v="51"/>
    <s v="URL"/>
    <x v="3"/>
    <x v="3"/>
    <m/>
    <m/>
    <x v="0"/>
    <m/>
    <m/>
    <x v="159"/>
    <m/>
  </r>
  <r>
    <s v="92177223-b01f-47a5-ab7a-67522831d5d5"/>
    <x v="6"/>
    <s v="f55eadfa-ed85-48ce-8884-8925a9f7f4af"/>
    <s v="completed"/>
    <x v="0"/>
    <s v="2023-03-17T20:44:55.449000+00:00"/>
    <n v="21"/>
    <n v="13"/>
    <n v="0.61904761904761907"/>
    <x v="511"/>
    <x v="5"/>
    <s v="51"/>
    <s v="URL"/>
    <x v="3"/>
    <x v="3"/>
    <m/>
    <m/>
    <x v="0"/>
    <m/>
    <m/>
    <x v="159"/>
    <m/>
  </r>
  <r>
    <m/>
    <x v="6"/>
    <s v="f55eadfa-ed85-48ce-8884-8925a9f7f4af"/>
    <s v="completed"/>
    <x v="3"/>
    <s v="2023-03-17T20:59:10.702000+00:00"/>
    <n v="21"/>
    <n v="19"/>
    <n v="0.90476190476190477"/>
    <x v="4"/>
    <x v="5"/>
    <s v="51"/>
    <m/>
    <x v="2"/>
    <x v="2"/>
    <m/>
    <m/>
    <x v="0"/>
    <m/>
    <m/>
    <x v="159"/>
    <m/>
  </r>
  <r>
    <s v="2bf14e02-7bc8-4963-a5bb-6b6560375116"/>
    <x v="3"/>
    <s v="421ccab6-f354-4714-a479-51f8c1b57322"/>
    <s v="failed"/>
    <x v="0"/>
    <s v="2023-03-17T23:43:43.528000+00:00"/>
    <n v="204"/>
    <n v="72"/>
    <n v="0.35294117647058826"/>
    <x v="446"/>
    <x v="19"/>
    <s v="47"/>
    <s v="URL"/>
    <x v="18"/>
    <x v="18"/>
    <m/>
    <m/>
    <x v="0"/>
    <m/>
    <m/>
    <x v="159"/>
    <m/>
  </r>
  <r>
    <s v="e54b5962-0a23-40c5-96f5-4bfbe283839a"/>
    <x v="3"/>
    <s v="421ccab6-f354-4714-a479-51f8c1b57322"/>
    <s v="failed"/>
    <x v="0"/>
    <s v="2023-03-18T00:32:44.816000+00:00"/>
    <n v="204"/>
    <n v="86"/>
    <n v="0.42156862745098039"/>
    <x v="376"/>
    <x v="19"/>
    <s v="47"/>
    <s v="URL"/>
    <x v="18"/>
    <x v="18"/>
    <m/>
    <m/>
    <x v="0"/>
    <m/>
    <m/>
    <x v="160"/>
    <m/>
  </r>
  <r>
    <s v="c7790c47-0114-4af9-9a84-e07d97bbec92"/>
    <x v="1"/>
    <s v="93a47d52-58dc-4309-be7d-0e1c7510c2ed"/>
    <s v="failed"/>
    <x v="61"/>
    <s v="2023-03-18T01:25:24.992000+00:00"/>
    <n v="202"/>
    <n v="101"/>
    <n v="0.5"/>
    <x v="512"/>
    <x v="21"/>
    <s v="47"/>
    <s v="URL"/>
    <x v="13"/>
    <x v="13"/>
    <m/>
    <m/>
    <x v="0"/>
    <m/>
    <m/>
    <x v="160"/>
    <m/>
  </r>
  <r>
    <s v="d0caeb5c-df94-4912-ba5e-9a6b1e3b3480"/>
    <x v="3"/>
    <s v="421ccab6-f354-4714-a479-51f8c1b57322"/>
    <s v="failed"/>
    <x v="41"/>
    <s v="2023-03-18T01:36:10.078000+00:00"/>
    <n v="204"/>
    <n v="104"/>
    <n v="0.50980392156862742"/>
    <x v="460"/>
    <x v="19"/>
    <s v="47"/>
    <s v="URL"/>
    <x v="5"/>
    <x v="5"/>
    <m/>
    <m/>
    <x v="0"/>
    <m/>
    <m/>
    <x v="160"/>
    <m/>
  </r>
  <r>
    <m/>
    <x v="9"/>
    <s v="0457980b-790e-4c09-8330-ff283cb564c8"/>
    <s v="completed"/>
    <x v="3"/>
    <s v="2023-03-18T08:40:02.783000+00:00"/>
    <n v="82"/>
    <n v="82"/>
    <n v="1"/>
    <x v="4"/>
    <x v="14"/>
    <s v="22"/>
    <m/>
    <x v="2"/>
    <x v="2"/>
    <m/>
    <m/>
    <x v="0"/>
    <m/>
    <m/>
    <x v="160"/>
    <m/>
  </r>
  <r>
    <s v="001294fc-3610-4c82-9d2d-8c0e79f29916"/>
    <x v="4"/>
    <s v="c8f1c9bd-b037-42ec-a9c0-97521fd82eba"/>
    <s v="failed"/>
    <x v="0"/>
    <s v="2023-03-18T20:34:11.220000+00:00"/>
    <n v="157"/>
    <n v="1"/>
    <n v="6.369426751592357E-3"/>
    <x v="152"/>
    <x v="5"/>
    <s v="14"/>
    <s v="URL"/>
    <x v="20"/>
    <x v="20"/>
    <m/>
    <m/>
    <x v="0"/>
    <m/>
    <m/>
    <x v="160"/>
    <m/>
  </r>
  <r>
    <s v="830ce1ba-953f-46dc-87e3-4ada6604e09b"/>
    <x v="4"/>
    <s v="c8f1c9bd-b037-42ec-a9c0-97521fd82eba"/>
    <s v="failed"/>
    <x v="0"/>
    <s v="2023-03-18T20:40:20.580000+00:00"/>
    <n v="157"/>
    <n v="3"/>
    <n v="1.9108280254777069E-2"/>
    <x v="152"/>
    <x v="5"/>
    <s v="14"/>
    <s v="URL"/>
    <x v="20"/>
    <x v="20"/>
    <m/>
    <m/>
    <x v="0"/>
    <m/>
    <m/>
    <x v="160"/>
    <m/>
  </r>
  <r>
    <s v="830ce1ba-953f-46dc-87e3-4ada6604e09b"/>
    <x v="4"/>
    <s v="c8f1c9bd-b037-42ec-a9c0-97521fd82eba"/>
    <s v="failed"/>
    <x v="0"/>
    <s v="2023-03-18T20:40:20.580000+00:00"/>
    <n v="157"/>
    <n v="5"/>
    <n v="3.1847133757961783E-2"/>
    <x v="152"/>
    <x v="5"/>
    <s v="14"/>
    <s v="URL"/>
    <x v="20"/>
    <x v="20"/>
    <m/>
    <m/>
    <x v="0"/>
    <m/>
    <m/>
    <x v="160"/>
    <m/>
  </r>
  <r>
    <s v="35df8011-e3bc-4802-b612-dc4c124cdd01"/>
    <x v="4"/>
    <s v="c8f1c9bd-b037-42ec-a9c0-97521fd82eba"/>
    <s v="failed"/>
    <x v="33"/>
    <s v="2023-03-18T20:41:39.398000+00:00"/>
    <n v="157"/>
    <n v="7"/>
    <n v="4.4585987261146494E-2"/>
    <x v="153"/>
    <x v="5"/>
    <s v="14"/>
    <s v="URL"/>
    <x v="20"/>
    <x v="20"/>
    <m/>
    <m/>
    <x v="0"/>
    <m/>
    <m/>
    <x v="160"/>
    <m/>
  </r>
  <r>
    <s v="662b300e-1bc5-4750-ac52-a4a56db743e2"/>
    <x v="4"/>
    <s v="8c5e56b5-b022-4722-94b8-754f970f469a"/>
    <s v="failed"/>
    <x v="33"/>
    <s v="2023-03-18T20:42:58.373000+00:00"/>
    <n v="180"/>
    <n v="1"/>
    <n v="5.5555555555555558E-3"/>
    <x v="153"/>
    <x v="5"/>
    <s v="14"/>
    <s v="URL"/>
    <x v="20"/>
    <x v="20"/>
    <m/>
    <m/>
    <x v="0"/>
    <m/>
    <m/>
    <x v="160"/>
    <m/>
  </r>
  <r>
    <s v="de347854-a272-4960-9879-e3f4c2278a93"/>
    <x v="3"/>
    <s v="3de12a59-814f-48bf-a1cd-6cdbc4a2974b"/>
    <s v="completed"/>
    <x v="0"/>
    <s v="2023-03-18T21:58:28.375000+00:00"/>
    <n v="102"/>
    <n v="53"/>
    <n v="0.51960784313725494"/>
    <x v="513"/>
    <x v="19"/>
    <s v="47"/>
    <s v="URL"/>
    <x v="1"/>
    <x v="1"/>
    <m/>
    <m/>
    <x v="0"/>
    <m/>
    <m/>
    <x v="160"/>
    <m/>
  </r>
  <r>
    <m/>
    <x v="1"/>
    <s v="871f8ca2-8836-48cb-b384-4c0a2c682acf"/>
    <s v="completed"/>
    <x v="0"/>
    <s v="2023-03-18T22:09:01.942000+00:00"/>
    <n v="101"/>
    <n v="53"/>
    <n v="0.52475247524752477"/>
    <x v="514"/>
    <x v="21"/>
    <s v="47"/>
    <m/>
    <x v="18"/>
    <x v="18"/>
    <m/>
    <m/>
    <x v="0"/>
    <m/>
    <m/>
    <x v="160"/>
    <m/>
  </r>
  <r>
    <m/>
    <x v="7"/>
    <s v="3cc0158f-1980-4cf4-afd7-f548fedb94f1"/>
    <s v="failed"/>
    <x v="62"/>
    <s v="2023-03-19T00:27:12.118000+00:00"/>
    <n v="120"/>
    <n v="80"/>
    <n v="0.66666666666666663"/>
    <x v="515"/>
    <x v="2"/>
    <s v="10"/>
    <m/>
    <x v="37"/>
    <x v="26"/>
    <m/>
    <m/>
    <x v="0"/>
    <m/>
    <m/>
    <x v="161"/>
    <m/>
  </r>
  <r>
    <m/>
    <x v="1"/>
    <s v="871f8ca2-8836-48cb-b384-4c0a2c682acf"/>
    <s v="completed"/>
    <x v="3"/>
    <s v="2023-03-19T00:41:33.491000+00:00"/>
    <n v="101"/>
    <n v="100"/>
    <n v="0.99009900990099009"/>
    <x v="4"/>
    <x v="21"/>
    <s v="47"/>
    <m/>
    <x v="2"/>
    <x v="2"/>
    <m/>
    <m/>
    <x v="0"/>
    <m/>
    <m/>
    <x v="161"/>
    <m/>
  </r>
  <r>
    <m/>
    <x v="3"/>
    <s v="3de12a59-814f-48bf-a1cd-6cdbc4a2974b"/>
    <s v="completed"/>
    <x v="3"/>
    <s v="2023-03-19T00:44:07.796000+00:00"/>
    <n v="102"/>
    <n v="101"/>
    <n v="0.99019607843137258"/>
    <x v="4"/>
    <x v="19"/>
    <s v="47"/>
    <m/>
    <x v="2"/>
    <x v="2"/>
    <m/>
    <m/>
    <x v="0"/>
    <m/>
    <m/>
    <x v="161"/>
    <m/>
  </r>
  <r>
    <m/>
    <x v="3"/>
    <s v="c2300415-4c92-41e0-9e04-d5d989d4b0a9"/>
    <s v="stopped"/>
    <x v="3"/>
    <s v="2023-03-19T10:16:58.615000+00:00"/>
    <n v="102"/>
    <n v="1"/>
    <n v="9.8039215686274508E-3"/>
    <x v="4"/>
    <x v="3"/>
    <s v="47"/>
    <m/>
    <x v="2"/>
    <x v="2"/>
    <m/>
    <m/>
    <x v="0"/>
    <m/>
    <m/>
    <x v="161"/>
    <m/>
  </r>
  <r>
    <m/>
    <x v="3"/>
    <s v="12312e47-0dd0-4ad1-a0e7-915716e87d86"/>
    <s v="stopped"/>
    <x v="3"/>
    <s v="2023-03-19T10:45:15.101000+00:00"/>
    <n v="102"/>
    <n v="1"/>
    <n v="9.8039215686274508E-3"/>
    <x v="4"/>
    <x v="3"/>
    <s v="47"/>
    <m/>
    <x v="2"/>
    <x v="2"/>
    <m/>
    <m/>
    <x v="0"/>
    <m/>
    <m/>
    <x v="161"/>
    <m/>
  </r>
  <r>
    <s v="f4e4c901-3b68-4baa-ba7f-ef2915493dc9"/>
    <x v="3"/>
    <s v="d1a7ea3b-a2f7-4f85-9df0-1234ebd5665f"/>
    <s v="failed"/>
    <x v="0"/>
    <s v="2023-03-19T20:32:57.081000+00:00"/>
    <n v="206"/>
    <n v="10"/>
    <n v="4.8543689320388349E-2"/>
    <x v="222"/>
    <x v="19"/>
    <s v="47"/>
    <s v="URL"/>
    <x v="1"/>
    <x v="1"/>
    <m/>
    <m/>
    <x v="0"/>
    <m/>
    <m/>
    <x v="161"/>
    <m/>
  </r>
  <r>
    <m/>
    <x v="1"/>
    <s v="de8f9760-2306-4b98-b477-0d4999e8a7fd"/>
    <s v="failed"/>
    <x v="0"/>
    <s v="2023-03-19T21:05:05.035000+00:00"/>
    <n v="203"/>
    <n v="21"/>
    <n v="0.10344827586206896"/>
    <x v="130"/>
    <x v="21"/>
    <s v="47"/>
    <m/>
    <x v="18"/>
    <x v="18"/>
    <m/>
    <m/>
    <x v="0"/>
    <m/>
    <m/>
    <x v="161"/>
    <m/>
  </r>
  <r>
    <s v="f52f53b5-ea13-4059-8e61-174ec9b79290"/>
    <x v="3"/>
    <s v="d1a7ea3b-a2f7-4f85-9df0-1234ebd5665f"/>
    <s v="failed"/>
    <x v="0"/>
    <s v="2023-03-19T22:35:59.810000+00:00"/>
    <n v="206"/>
    <n v="46"/>
    <n v="0.22330097087378642"/>
    <x v="516"/>
    <x v="19"/>
    <s v="47"/>
    <s v="URL"/>
    <x v="1"/>
    <x v="1"/>
    <m/>
    <m/>
    <x v="0"/>
    <m/>
    <m/>
    <x v="161"/>
    <m/>
  </r>
  <r>
    <s v="43022773-1cda-4c08-85cf-5fe6f5e54f0c"/>
    <x v="3"/>
    <s v="d1a7ea3b-a2f7-4f85-9df0-1234ebd5665f"/>
    <s v="failed"/>
    <x v="0"/>
    <s v="2023-03-20T00:10:30.513000+00:00"/>
    <n v="206"/>
    <n v="74"/>
    <n v="0.35922330097087379"/>
    <x v="446"/>
    <x v="19"/>
    <s v="47"/>
    <s v="URL"/>
    <x v="18"/>
    <x v="18"/>
    <m/>
    <m/>
    <x v="0"/>
    <m/>
    <m/>
    <x v="162"/>
    <m/>
  </r>
  <r>
    <s v="9a5331d6-e808-4626-83ac-1a8d69e60b45"/>
    <x v="3"/>
    <s v="d1a7ea3b-a2f7-4f85-9df0-1234ebd5665f"/>
    <s v="failed"/>
    <x v="0"/>
    <s v="2023-03-20T00:28:04.122000+00:00"/>
    <n v="206"/>
    <n v="79"/>
    <n v="0.38349514563106796"/>
    <x v="517"/>
    <x v="19"/>
    <s v="47"/>
    <s v="URL"/>
    <x v="1"/>
    <x v="1"/>
    <m/>
    <m/>
    <x v="0"/>
    <m/>
    <m/>
    <x v="162"/>
    <m/>
  </r>
  <r>
    <s v="b38431a7-62db-488c-998e-18547bbda89a"/>
    <x v="3"/>
    <s v="d1a7ea3b-a2f7-4f85-9df0-1234ebd5665f"/>
    <s v="failed"/>
    <x v="28"/>
    <s v="2023-03-20T00:53:43.186000+00:00"/>
    <n v="206"/>
    <n v="87"/>
    <n v="0.42233009708737862"/>
    <x v="518"/>
    <x v="19"/>
    <s v="47"/>
    <s v="URL"/>
    <x v="10"/>
    <x v="10"/>
    <m/>
    <m/>
    <x v="0"/>
    <m/>
    <m/>
    <x v="162"/>
    <m/>
  </r>
  <r>
    <m/>
    <x v="1"/>
    <s v="de8f9760-2306-4b98-b477-0d4999e8a7fd"/>
    <s v="failed"/>
    <x v="28"/>
    <s v="2023-03-20T02:54:26.962000+00:00"/>
    <n v="203"/>
    <n v="48"/>
    <n v="0.23645320197044334"/>
    <x v="514"/>
    <x v="21"/>
    <s v="47"/>
    <m/>
    <x v="10"/>
    <x v="10"/>
    <m/>
    <m/>
    <x v="0"/>
    <m/>
    <m/>
    <x v="162"/>
    <m/>
  </r>
  <r>
    <m/>
    <x v="4"/>
    <s v="f5f51e86-62ec-4428-88ad-2b12575765f2"/>
    <s v="completed"/>
    <x v="3"/>
    <s v="2023-03-20T03:29:44.302000+00:00"/>
    <n v="152"/>
    <n v="152"/>
    <n v="1"/>
    <x v="4"/>
    <x v="5"/>
    <s v="14"/>
    <m/>
    <x v="2"/>
    <x v="2"/>
    <m/>
    <m/>
    <x v="0"/>
    <m/>
    <m/>
    <x v="162"/>
    <m/>
  </r>
  <r>
    <s v="867127f1-79ec-4626-a0bc-fa7c339e6b97"/>
    <x v="9"/>
    <s v="b7d8e944-4bb0-408b-be24-c79277053482"/>
    <s v="failed"/>
    <x v="28"/>
    <s v="2023-03-20T03:52:04.692000+00:00"/>
    <n v="81"/>
    <n v="16"/>
    <n v="0.19753086419753085"/>
    <x v="519"/>
    <x v="13"/>
    <s v="22"/>
    <s v="URL"/>
    <x v="10"/>
    <x v="10"/>
    <m/>
    <m/>
    <x v="0"/>
    <m/>
    <m/>
    <x v="162"/>
    <m/>
  </r>
  <r>
    <m/>
    <x v="2"/>
    <s v="ae03a04c-e3ed-49ea-a6c5-db038020ab66"/>
    <s v="completed"/>
    <x v="3"/>
    <s v="2023-03-27T03:23:52.598000+00:00"/>
    <n v="154"/>
    <n v="154"/>
    <n v="1"/>
    <x v="4"/>
    <x v="2"/>
    <s v="59"/>
    <m/>
    <x v="2"/>
    <x v="2"/>
    <m/>
    <m/>
    <x v="0"/>
    <m/>
    <m/>
    <x v="163"/>
    <m/>
  </r>
  <r>
    <m/>
    <x v="2"/>
    <s v="ae03a04c-e3ed-49ea-a6c5-db038020ab66"/>
    <s v="completed"/>
    <x v="3"/>
    <s v="2023-03-27T03:23:52.598000+00:00"/>
    <n v="154"/>
    <n v="154"/>
    <n v="1"/>
    <x v="4"/>
    <x v="2"/>
    <s v="59"/>
    <m/>
    <x v="2"/>
    <x v="2"/>
    <m/>
    <m/>
    <x v="0"/>
    <m/>
    <m/>
    <x v="163"/>
    <m/>
  </r>
  <r>
    <m/>
    <x v="2"/>
    <s v="b3c8ef96-7266-4ae2-9bb6-cbb9035eb4c6"/>
    <s v="stopped"/>
    <x v="3"/>
    <s v="2023-03-26T10:17:51.682000+00:00"/>
    <n v="215"/>
    <n v="189"/>
    <n v="0.87906976744186049"/>
    <x v="4"/>
    <x v="0"/>
    <s v="58"/>
    <m/>
    <x v="2"/>
    <x v="2"/>
    <m/>
    <m/>
    <x v="0"/>
    <m/>
    <m/>
    <x v="164"/>
    <m/>
  </r>
  <r>
    <s v="6b6cbe3a-a516-4116-bc1a-bd471a0d1d10"/>
    <x v="2"/>
    <s v="b8e6dc4c-9f7e-4907-944d-c95a06243f91"/>
    <s v="failed"/>
    <x v="0"/>
    <s v="2023-03-25T18:52:00.851000+00:00"/>
    <n v="216"/>
    <n v="0"/>
    <n v="0"/>
    <x v="520"/>
    <x v="0"/>
    <s v="58"/>
    <s v="URL"/>
    <x v="0"/>
    <x v="0"/>
    <m/>
    <m/>
    <x v="0"/>
    <m/>
    <m/>
    <x v="165"/>
    <m/>
  </r>
  <r>
    <s v="cf9092d3-0204-420c-ba7a-c835fdd81e83"/>
    <x v="2"/>
    <s v="b8e6dc4c-9f7e-4907-944d-c95a06243f91"/>
    <s v="failed"/>
    <x v="20"/>
    <s v="2023-03-25T18:58:10.494000+00:00"/>
    <n v="216"/>
    <n v="1"/>
    <n v="4.6296296296296294E-3"/>
    <x v="521"/>
    <x v="0"/>
    <s v="58"/>
    <s v="URL"/>
    <x v="0"/>
    <x v="0"/>
    <m/>
    <m/>
    <x v="0"/>
    <m/>
    <m/>
    <x v="165"/>
    <m/>
  </r>
  <r>
    <s v="d2c49ca4-cb8f-43ac-bec1-13994fbc12f9"/>
    <x v="2"/>
    <s v="50777ff4-4464-4b07-b5df-a176c5b005e6"/>
    <s v="failed"/>
    <x v="0"/>
    <s v="2023-03-25T18:41:09.380000+00:00"/>
    <n v="217"/>
    <n v="0"/>
    <n v="0"/>
    <x v="364"/>
    <x v="0"/>
    <s v="58"/>
    <s v="URL"/>
    <x v="0"/>
    <x v="0"/>
    <m/>
    <m/>
    <x v="0"/>
    <m/>
    <m/>
    <x v="165"/>
    <m/>
  </r>
  <r>
    <s v="9c75aa1a-e0c5-4643-9832-dfea7f516c47"/>
    <x v="2"/>
    <s v="50777ff4-4464-4b07-b5df-a176c5b005e6"/>
    <s v="failed"/>
    <x v="20"/>
    <s v="2023-03-25T18:47:13.019000+00:00"/>
    <n v="217"/>
    <n v="1"/>
    <n v="4.608294930875576E-3"/>
    <x v="520"/>
    <x v="0"/>
    <s v="58"/>
    <s v="URL"/>
    <x v="0"/>
    <x v="0"/>
    <m/>
    <m/>
    <x v="0"/>
    <m/>
    <m/>
    <x v="165"/>
    <m/>
  </r>
  <r>
    <s v="b72036fa-7e22-4870-bf50-7aab97c43b09"/>
    <x v="2"/>
    <s v="c7e52a0e-ab86-4d70-ac28-16d5b2721897"/>
    <s v="completed"/>
    <x v="0"/>
    <s v="2023-03-25T00:15:47.312000+00:00"/>
    <n v="210"/>
    <n v="120"/>
    <n v="0.5714285714285714"/>
    <x v="358"/>
    <x v="2"/>
    <s v="58"/>
    <s v="URL"/>
    <x v="22"/>
    <x v="22"/>
    <m/>
    <m/>
    <x v="0"/>
    <m/>
    <m/>
    <x v="165"/>
    <m/>
  </r>
  <r>
    <s v="1d2c07b3-51b4-49ef-9e47-445bd7bdb23c"/>
    <x v="2"/>
    <s v="c7e52a0e-ab86-4d70-ac28-16d5b2721897"/>
    <s v="completed"/>
    <x v="0"/>
    <s v="2023-03-25T00:24:56.017000+00:00"/>
    <n v="210"/>
    <n v="122"/>
    <n v="0.580952380952381"/>
    <x v="522"/>
    <x v="2"/>
    <s v="58"/>
    <s v="URL"/>
    <x v="1"/>
    <x v="1"/>
    <m/>
    <m/>
    <x v="0"/>
    <m/>
    <m/>
    <x v="165"/>
    <m/>
  </r>
  <r>
    <m/>
    <x v="2"/>
    <s v="c7e52a0e-ab86-4d70-ac28-16d5b2721897"/>
    <s v="completed"/>
    <x v="3"/>
    <s v="2023-03-25T06:31:17.030000+00:00"/>
    <n v="210"/>
    <n v="208"/>
    <n v="0.99047619047619051"/>
    <x v="4"/>
    <x v="2"/>
    <s v="58"/>
    <m/>
    <x v="2"/>
    <x v="2"/>
    <m/>
    <m/>
    <x v="0"/>
    <m/>
    <m/>
    <x v="165"/>
    <m/>
  </r>
  <r>
    <m/>
    <x v="2"/>
    <s v="0813388e-d6f9-4bc2-8a8e-80099ba7812e"/>
    <s v="stopped"/>
    <x v="3"/>
    <s v="2023-03-24T07:35:02.195000+00:00"/>
    <n v="8"/>
    <n v="6"/>
    <n v="0.75"/>
    <x v="4"/>
    <x v="0"/>
    <s v="59"/>
    <m/>
    <x v="2"/>
    <x v="2"/>
    <m/>
    <m/>
    <x v="0"/>
    <m/>
    <m/>
    <x v="166"/>
    <m/>
  </r>
  <r>
    <m/>
    <x v="2"/>
    <s v="7dc39471-73c5-44f1-86d9-54e4c2b472a3"/>
    <s v="completed"/>
    <x v="3"/>
    <s v="2023-03-24T07:07:04.618000+00:00"/>
    <n v="4"/>
    <n v="4"/>
    <n v="1"/>
    <x v="4"/>
    <x v="2"/>
    <s v="59"/>
    <m/>
    <x v="2"/>
    <x v="2"/>
    <m/>
    <m/>
    <x v="0"/>
    <m/>
    <m/>
    <x v="166"/>
    <m/>
  </r>
  <r>
    <m/>
    <x v="2"/>
    <s v="7dc39471-73c5-44f1-86d9-54e4c2b472a3"/>
    <s v="completed"/>
    <x v="3"/>
    <s v="2023-03-24T07:07:04.618000+00:00"/>
    <n v="4"/>
    <n v="4"/>
    <n v="1"/>
    <x v="4"/>
    <x v="2"/>
    <s v="59"/>
    <m/>
    <x v="2"/>
    <x v="2"/>
    <m/>
    <m/>
    <x v="0"/>
    <m/>
    <m/>
    <x v="166"/>
    <m/>
  </r>
  <r>
    <s v="a671bf66-0c66-4d87-8adf-a735c509bcfc"/>
    <x v="2"/>
    <s v="1af48478-a13f-4097-9a83-b185b5b49111"/>
    <s v="failed"/>
    <x v="36"/>
    <s v="2023-03-24T02:57:24.876000+00:00"/>
    <n v="153"/>
    <n v="149"/>
    <n v="0.97385620915032678"/>
    <x v="338"/>
    <x v="2"/>
    <s v="59"/>
    <s v="URL"/>
    <x v="25"/>
    <x v="25"/>
    <m/>
    <m/>
    <x v="0"/>
    <m/>
    <m/>
    <x v="166"/>
    <m/>
  </r>
  <r>
    <m/>
    <x v="2"/>
    <s v="cd602725-97c9-48e4-8cc6-4d4dbbba6b95"/>
    <s v="completed"/>
    <x v="0"/>
    <s v="2023-03-23T07:12:09.424000+00:00"/>
    <n v="223"/>
    <n v="215"/>
    <n v="0.9641255605381166"/>
    <x v="364"/>
    <x v="0"/>
    <s v="58"/>
    <m/>
    <x v="3"/>
    <x v="3"/>
    <m/>
    <m/>
    <x v="0"/>
    <m/>
    <m/>
    <x v="167"/>
    <m/>
  </r>
  <r>
    <m/>
    <x v="2"/>
    <s v="cd602725-97c9-48e4-8cc6-4d4dbbba6b95"/>
    <s v="completed"/>
    <x v="3"/>
    <s v="2023-03-23T07:12:09.424000+00:00"/>
    <n v="223"/>
    <n v="222"/>
    <n v="0.99551569506726456"/>
    <x v="4"/>
    <x v="0"/>
    <s v="58"/>
    <m/>
    <x v="2"/>
    <x v="2"/>
    <m/>
    <m/>
    <x v="0"/>
    <m/>
    <m/>
    <x v="167"/>
    <m/>
  </r>
  <r>
    <m/>
    <x v="2"/>
    <s v="331791c1-79bd-42fb-aeff-9e7e27a74b1b"/>
    <s v="completed"/>
    <x v="0"/>
    <s v="2023-03-21T19:44:27.154000+00:00"/>
    <n v="152"/>
    <n v="40"/>
    <n v="0.26315789473684209"/>
    <x v="410"/>
    <x v="0"/>
    <s v="59"/>
    <m/>
    <x v="1"/>
    <x v="1"/>
    <m/>
    <m/>
    <x v="0"/>
    <m/>
    <m/>
    <x v="168"/>
    <m/>
  </r>
  <r>
    <m/>
    <x v="2"/>
    <s v="331791c1-79bd-42fb-aeff-9e7e27a74b1b"/>
    <s v="completed"/>
    <x v="3"/>
    <s v="2023-03-22T03:27:38.578000+00:00"/>
    <n v="152"/>
    <n v="151"/>
    <n v="0.99342105263157898"/>
    <x v="4"/>
    <x v="0"/>
    <s v="59"/>
    <m/>
    <x v="2"/>
    <x v="2"/>
    <m/>
    <m/>
    <x v="0"/>
    <m/>
    <m/>
    <x v="169"/>
    <m/>
  </r>
  <r>
    <m/>
    <x v="2"/>
    <s v="222017ae-0e7f-485d-a730-b5d23bf66de5"/>
    <s v="failed"/>
    <x v="19"/>
    <s v="2023-03-21T16:43:55.499000+00:00"/>
    <n v="154"/>
    <n v="1"/>
    <n v="6.4935064935064939E-3"/>
    <x v="523"/>
    <x v="0"/>
    <s v="59"/>
    <m/>
    <x v="16"/>
    <x v="16"/>
    <m/>
    <m/>
    <x v="0"/>
    <m/>
    <m/>
    <x v="168"/>
    <m/>
  </r>
  <r>
    <s v="9b3fe349-f01f-4bed-934e-b47cca68f45a"/>
    <x v="2"/>
    <s v="1b267127-5b27-4d70-ae4a-9a61550c8161"/>
    <s v="failed"/>
    <x v="19"/>
    <s v="2023-03-21T12:08:24.724000+00:00"/>
    <n v="3"/>
    <n v="1"/>
    <n v="0.33333333333333331"/>
    <x v="301"/>
    <x v="2"/>
    <s v="59"/>
    <s v="URL"/>
    <x v="16"/>
    <x v="16"/>
    <m/>
    <m/>
    <x v="0"/>
    <m/>
    <m/>
    <x v="168"/>
    <m/>
  </r>
  <r>
    <s v="f4254f59-cd42-4042-aefe-f6c36737410a"/>
    <x v="2"/>
    <s v="6a15a872-5ad7-4737-9cce-003267ed0d66"/>
    <s v="failed"/>
    <x v="0"/>
    <s v="2023-03-21T03:19:42.309000+00:00"/>
    <n v="154"/>
    <n v="151"/>
    <n v="0.98051948051948057"/>
    <x v="412"/>
    <x v="2"/>
    <s v="59"/>
    <s v="URL"/>
    <x v="1"/>
    <x v="1"/>
    <m/>
    <m/>
    <x v="0"/>
    <m/>
    <m/>
    <x v="168"/>
    <m/>
  </r>
  <r>
    <s v="3943a546-0f3e-44f2-8e72-55ce335a6b06"/>
    <x v="2"/>
    <s v="6a15a872-5ad7-4737-9cce-003267ed0d66"/>
    <s v="failed"/>
    <x v="20"/>
    <s v="2023-03-21T03:20:36.565000+00:00"/>
    <n v="154"/>
    <n v="152"/>
    <n v="0.98701298701298701"/>
    <x v="301"/>
    <x v="2"/>
    <s v="59"/>
    <s v="URL"/>
    <x v="16"/>
    <x v="16"/>
    <m/>
    <m/>
    <x v="0"/>
    <m/>
    <m/>
    <x v="168"/>
    <m/>
  </r>
  <r>
    <s v="aedb8a6c-1ea1-4797-ab2d-dc1821cdd59c"/>
    <x v="0"/>
    <s v="fda16314-1741-4859-991b-fc80546d58dd"/>
    <s v="failed"/>
    <x v="0"/>
    <s v="2023-03-20T19:23:32.290000+00:00"/>
    <n v="214"/>
    <n v="33"/>
    <n v="0.1542056074766355"/>
    <x v="15"/>
    <x v="0"/>
    <s v="43"/>
    <s v="URL"/>
    <x v="1"/>
    <x v="1"/>
    <m/>
    <m/>
    <x v="0"/>
    <m/>
    <m/>
    <x v="162"/>
    <m/>
  </r>
  <r>
    <s v="0b050996-1627-4ad7-a18f-39353ce81bb6"/>
    <x v="0"/>
    <s v="fda16314-1741-4859-991b-fc80546d58dd"/>
    <s v="failed"/>
    <x v="61"/>
    <s v="2023-03-20T20:48:08.421000+00:00"/>
    <n v="214"/>
    <n v="51"/>
    <n v="0.23831775700934579"/>
    <x v="524"/>
    <x v="0"/>
    <s v="43"/>
    <s v="URL"/>
    <x v="13"/>
    <x v="13"/>
    <m/>
    <m/>
    <x v="0"/>
    <m/>
    <m/>
    <x v="162"/>
    <m/>
  </r>
  <r>
    <m/>
    <x v="0"/>
    <s v="3cf348dd-2566-47af-b56b-352107042dae"/>
    <s v="completed"/>
    <x v="3"/>
    <s v="2023-03-21T07:14:35.201000+00:00"/>
    <n v="11"/>
    <n v="11"/>
    <n v="1"/>
    <x v="4"/>
    <x v="0"/>
    <s v="43"/>
    <m/>
    <x v="2"/>
    <x v="2"/>
    <m/>
    <m/>
    <x v="0"/>
    <m/>
    <m/>
    <x v="168"/>
    <m/>
  </r>
  <r>
    <m/>
    <x v="0"/>
    <s v="3cf348dd-2566-47af-b56b-352107042dae"/>
    <s v="completed"/>
    <x v="3"/>
    <s v="2023-03-21T07:14:35.201000+00:00"/>
    <n v="11"/>
    <n v="11"/>
    <n v="1"/>
    <x v="4"/>
    <x v="0"/>
    <s v="43"/>
    <m/>
    <x v="2"/>
    <x v="2"/>
    <m/>
    <m/>
    <x v="0"/>
    <m/>
    <m/>
    <x v="168"/>
    <m/>
  </r>
  <r>
    <s v="77c4b93b-1c39-4351-a452-a6f070340f7d"/>
    <x v="0"/>
    <s v="478b3ca1-110d-443f-8b81-5e7e83dcfe81"/>
    <s v="failed"/>
    <x v="0"/>
    <s v="2023-03-21T17:07:10.846000+00:00"/>
    <n v="140"/>
    <n v="0"/>
    <n v="0"/>
    <x v="24"/>
    <x v="2"/>
    <s v="43"/>
    <s v="URL"/>
    <x v="20"/>
    <x v="20"/>
    <m/>
    <m/>
    <x v="0"/>
    <m/>
    <m/>
    <x v="168"/>
    <m/>
  </r>
  <r>
    <s v="200ba0f1-0cf8-4370-9a4f-6cdf53abe5cf"/>
    <x v="0"/>
    <s v="478b3ca1-110d-443f-8b81-5e7e83dcfe81"/>
    <s v="failed"/>
    <x v="20"/>
    <s v="2023-03-21T17:07:48.822000+00:00"/>
    <n v="140"/>
    <n v="1"/>
    <n v="7.1428571428571426E-3"/>
    <x v="150"/>
    <x v="2"/>
    <s v="43"/>
    <s v="URL"/>
    <x v="4"/>
    <x v="4"/>
    <m/>
    <m/>
    <x v="0"/>
    <m/>
    <m/>
    <x v="168"/>
    <m/>
  </r>
  <r>
    <s v="78002411-1e03-4ea1-96fc-1ddfaa0ffc5f"/>
    <x v="0"/>
    <s v="062d96e9-0737-4b39-be4c-f2997bd6eb82"/>
    <s v="stopped"/>
    <x v="0"/>
    <s v="2023-03-21T17:10:48.279000+00:00"/>
    <n v="140"/>
    <n v="0"/>
    <n v="0"/>
    <x v="24"/>
    <x v="2"/>
    <s v="43"/>
    <s v="URL"/>
    <x v="20"/>
    <x v="20"/>
    <m/>
    <m/>
    <x v="0"/>
    <m/>
    <m/>
    <x v="168"/>
    <m/>
  </r>
  <r>
    <s v="c8bb5060-6727-4ef5-97fc-c59200cbc0af"/>
    <x v="0"/>
    <s v="a1bc51fd-0544-48f9-8481-10d380f7f81b"/>
    <s v="stopped"/>
    <x v="0"/>
    <s v="2023-03-21T17:12:36.995000+00:00"/>
    <n v="140"/>
    <n v="0"/>
    <n v="0"/>
    <x v="24"/>
    <x v="2"/>
    <s v="43"/>
    <s v="URL"/>
    <x v="20"/>
    <x v="20"/>
    <m/>
    <m/>
    <x v="0"/>
    <m/>
    <m/>
    <x v="168"/>
    <m/>
  </r>
  <r>
    <s v="069271ab-a60a-4725-bc40-b329feffb0a3"/>
    <x v="0"/>
    <s v="9c4ee1b2-b07d-462e-9f41-48008b81ca1d"/>
    <s v="failed"/>
    <x v="0"/>
    <s v="2023-03-21T19:02:58.095000+00:00"/>
    <n v="140"/>
    <n v="0"/>
    <n v="0"/>
    <x v="124"/>
    <x v="2"/>
    <s v="43"/>
    <s v="URL"/>
    <x v="20"/>
    <x v="20"/>
    <m/>
    <m/>
    <x v="0"/>
    <m/>
    <m/>
    <x v="168"/>
    <m/>
  </r>
  <r>
    <s v="bc9eb86f-f86f-4a3f-b840-85995fccb8bb"/>
    <x v="0"/>
    <s v="9c4ee1b2-b07d-462e-9f41-48008b81ca1d"/>
    <s v="failed"/>
    <x v="20"/>
    <s v="2023-03-21T19:03:45.116000+00:00"/>
    <n v="140"/>
    <n v="1"/>
    <n v="7.1428571428571426E-3"/>
    <x v="150"/>
    <x v="2"/>
    <s v="43"/>
    <s v="URL"/>
    <x v="4"/>
    <x v="4"/>
    <m/>
    <m/>
    <x v="0"/>
    <m/>
    <m/>
    <x v="168"/>
    <m/>
  </r>
  <r>
    <s v="7e3caffa-3036-4ade-a3a5-23779adf9198"/>
    <x v="0"/>
    <s v="8af03b15-2814-461d-9c93-a08321b8179c"/>
    <s v="failed"/>
    <x v="20"/>
    <s v="2023-03-21T19:15:47.788000+00:00"/>
    <n v="2"/>
    <n v="0"/>
    <n v="0"/>
    <x v="124"/>
    <x v="2"/>
    <s v="43"/>
    <s v="URL"/>
    <x v="20"/>
    <x v="20"/>
    <m/>
    <m/>
    <x v="0"/>
    <m/>
    <m/>
    <x v="168"/>
    <m/>
  </r>
  <r>
    <m/>
    <x v="0"/>
    <s v="48855c8e-6e82-400f-94c4-061ebaa3f884"/>
    <s v="completed"/>
    <x v="3"/>
    <s v="2023-03-22T08:27:18.708000+00:00"/>
    <n v="10"/>
    <n v="10"/>
    <n v="1"/>
    <x v="4"/>
    <x v="2"/>
    <s v="43"/>
    <m/>
    <x v="2"/>
    <x v="2"/>
    <m/>
    <m/>
    <x v="0"/>
    <m/>
    <m/>
    <x v="169"/>
    <m/>
  </r>
  <r>
    <m/>
    <x v="0"/>
    <s v="48855c8e-6e82-400f-94c4-061ebaa3f884"/>
    <s v="completed"/>
    <x v="3"/>
    <s v="2023-03-22T08:27:18.708000+00:00"/>
    <n v="10"/>
    <n v="10"/>
    <n v="1"/>
    <x v="4"/>
    <x v="2"/>
    <s v="43"/>
    <m/>
    <x v="2"/>
    <x v="2"/>
    <m/>
    <m/>
    <x v="0"/>
    <m/>
    <m/>
    <x v="169"/>
    <m/>
  </r>
  <r>
    <s v="f42bd547-559d-438b-8849-5ab5f89f81f9"/>
    <x v="0"/>
    <s v="c0fab1a5-7688-4506-a073-aa83008e7a74"/>
    <s v="failed"/>
    <x v="0"/>
    <s v="2023-03-22T16:31:14.863000+00:00"/>
    <n v="147"/>
    <n v="2"/>
    <n v="1.3605442176870748E-2"/>
    <x v="124"/>
    <x v="2"/>
    <s v="44"/>
    <s v="URL"/>
    <x v="14"/>
    <x v="14"/>
    <m/>
    <m/>
    <x v="0"/>
    <m/>
    <m/>
    <x v="169"/>
    <m/>
  </r>
  <r>
    <m/>
    <x v="0"/>
    <s v="c0fab1a5-7688-4506-a073-aa83008e7a74"/>
    <s v="failed"/>
    <x v="27"/>
    <s v="2023-03-22T16:42:56.865000+00:00"/>
    <n v="147"/>
    <n v="5"/>
    <n v="3.4013605442176874E-2"/>
    <x v="246"/>
    <x v="2"/>
    <s v="44"/>
    <m/>
    <x v="6"/>
    <x v="6"/>
    <m/>
    <m/>
    <x v="0"/>
    <m/>
    <m/>
    <x v="169"/>
    <m/>
  </r>
  <r>
    <m/>
    <x v="0"/>
    <s v="dd73a758-32bc-4f91-ab9f-fe1973dc2c18"/>
    <m/>
    <x v="0"/>
    <s v="2023-03-23T07:17:04.850000+00:00"/>
    <n v="49"/>
    <n v="0"/>
    <n v="0"/>
    <x v="525"/>
    <x v="2"/>
    <s v="44"/>
    <m/>
    <x v="14"/>
    <x v="14"/>
    <m/>
    <m/>
    <x v="0"/>
    <m/>
    <m/>
    <x v="167"/>
    <m/>
  </r>
  <r>
    <m/>
    <x v="0"/>
    <s v="dd73a758-32bc-4f91-ab9f-fe1973dc2c18"/>
    <m/>
    <x v="0"/>
    <s v="2023-03-23T07:22:08.964000+00:00"/>
    <n v="49"/>
    <n v="1"/>
    <n v="2.0408163265306121E-2"/>
    <x v="526"/>
    <x v="2"/>
    <s v="44"/>
    <m/>
    <x v="14"/>
    <x v="14"/>
    <m/>
    <m/>
    <x v="0"/>
    <m/>
    <m/>
    <x v="167"/>
    <m/>
  </r>
  <r>
    <m/>
    <x v="0"/>
    <s v="dd73a758-32bc-4f91-ab9f-fe1973dc2c18"/>
    <m/>
    <x v="0"/>
    <s v="2023-03-23T07:31:50.441000+00:00"/>
    <n v="49"/>
    <n v="3"/>
    <n v="6.1224489795918366E-2"/>
    <x v="527"/>
    <x v="2"/>
    <s v="44"/>
    <m/>
    <x v="14"/>
    <x v="14"/>
    <m/>
    <m/>
    <x v="0"/>
    <m/>
    <m/>
    <x v="167"/>
    <m/>
  </r>
  <r>
    <m/>
    <x v="0"/>
    <s v="dd73a758-32bc-4f91-ab9f-fe1973dc2c18"/>
    <m/>
    <x v="0"/>
    <s v="2023-03-23T07:36:51.619000+00:00"/>
    <n v="49"/>
    <n v="4"/>
    <n v="8.1632653061224483E-2"/>
    <x v="528"/>
    <x v="2"/>
    <s v="44"/>
    <m/>
    <x v="14"/>
    <x v="14"/>
    <m/>
    <m/>
    <x v="0"/>
    <m/>
    <m/>
    <x v="167"/>
    <m/>
  </r>
  <r>
    <m/>
    <x v="0"/>
    <s v="dd73a758-32bc-4f91-ab9f-fe1973dc2c18"/>
    <m/>
    <x v="0"/>
    <s v="2023-03-23T07:41:52.443000+00:00"/>
    <n v="49"/>
    <n v="5"/>
    <n v="0.10204081632653061"/>
    <x v="529"/>
    <x v="2"/>
    <s v="44"/>
    <m/>
    <x v="14"/>
    <x v="14"/>
    <m/>
    <m/>
    <x v="0"/>
    <m/>
    <m/>
    <x v="167"/>
    <m/>
  </r>
  <r>
    <m/>
    <x v="0"/>
    <s v="dd73a758-32bc-4f91-ab9f-fe1973dc2c18"/>
    <m/>
    <x v="0"/>
    <s v="2023-03-23T07:46:48.987000+00:00"/>
    <n v="49"/>
    <n v="6"/>
    <n v="0.12244897959183673"/>
    <x v="530"/>
    <x v="2"/>
    <s v="44"/>
    <m/>
    <x v="14"/>
    <x v="14"/>
    <m/>
    <m/>
    <x v="0"/>
    <m/>
    <m/>
    <x v="167"/>
    <m/>
  </r>
  <r>
    <m/>
    <x v="0"/>
    <s v="dd73a758-32bc-4f91-ab9f-fe1973dc2c18"/>
    <m/>
    <x v="0"/>
    <s v="2023-03-23T07:51:54.662000+00:00"/>
    <n v="49"/>
    <n v="7"/>
    <n v="0.14285714285714285"/>
    <x v="531"/>
    <x v="2"/>
    <s v="44"/>
    <m/>
    <x v="14"/>
    <x v="14"/>
    <m/>
    <m/>
    <x v="0"/>
    <m/>
    <m/>
    <x v="167"/>
    <m/>
  </r>
  <r>
    <m/>
    <x v="0"/>
    <s v="dd73a758-32bc-4f91-ab9f-fe1973dc2c18"/>
    <m/>
    <x v="0"/>
    <s v="2023-03-23T07:56:54.941000+00:00"/>
    <n v="49"/>
    <n v="8"/>
    <n v="0.16326530612244897"/>
    <x v="269"/>
    <x v="2"/>
    <s v="44"/>
    <m/>
    <x v="14"/>
    <x v="14"/>
    <m/>
    <m/>
    <x v="0"/>
    <m/>
    <m/>
    <x v="167"/>
    <m/>
  </r>
  <r>
    <m/>
    <x v="0"/>
    <s v="dd73a758-32bc-4f91-ab9f-fe1973dc2c18"/>
    <m/>
    <x v="0"/>
    <s v="2023-03-23T08:06:31.841000+00:00"/>
    <n v="49"/>
    <n v="10"/>
    <n v="0.20408163265306123"/>
    <x v="532"/>
    <x v="2"/>
    <s v="44"/>
    <m/>
    <x v="14"/>
    <x v="14"/>
    <m/>
    <m/>
    <x v="0"/>
    <m/>
    <m/>
    <x v="167"/>
    <m/>
  </r>
  <r>
    <m/>
    <x v="0"/>
    <s v="dd73a758-32bc-4f91-ab9f-fe1973dc2c18"/>
    <m/>
    <x v="0"/>
    <s v="2023-03-23T08:11:33.976000+00:00"/>
    <n v="49"/>
    <n v="11"/>
    <n v="0.22448979591836735"/>
    <x v="533"/>
    <x v="2"/>
    <s v="44"/>
    <m/>
    <x v="14"/>
    <x v="14"/>
    <m/>
    <m/>
    <x v="0"/>
    <m/>
    <m/>
    <x v="167"/>
    <m/>
  </r>
  <r>
    <m/>
    <x v="0"/>
    <s v="dd73a758-32bc-4f91-ab9f-fe1973dc2c18"/>
    <m/>
    <x v="0"/>
    <s v="2023-03-23T08:16:35.661000+00:00"/>
    <n v="49"/>
    <n v="12"/>
    <n v="0.24489795918367346"/>
    <x v="534"/>
    <x v="2"/>
    <s v="44"/>
    <m/>
    <x v="14"/>
    <x v="14"/>
    <m/>
    <m/>
    <x v="0"/>
    <m/>
    <m/>
    <x v="167"/>
    <m/>
  </r>
  <r>
    <m/>
    <x v="0"/>
    <s v="dd73a758-32bc-4f91-ab9f-fe1973dc2c18"/>
    <m/>
    <x v="0"/>
    <s v="2023-03-23T08:21:32.248000+00:00"/>
    <n v="49"/>
    <n v="13"/>
    <n v="0.26530612244897961"/>
    <x v="259"/>
    <x v="2"/>
    <s v="44"/>
    <m/>
    <x v="14"/>
    <x v="14"/>
    <m/>
    <m/>
    <x v="0"/>
    <m/>
    <m/>
    <x v="167"/>
    <m/>
  </r>
  <r>
    <m/>
    <x v="0"/>
    <s v="dd73a758-32bc-4f91-ab9f-fe1973dc2c18"/>
    <m/>
    <x v="0"/>
    <s v="2023-03-23T08:26:38.943000+00:00"/>
    <n v="49"/>
    <n v="14"/>
    <n v="0.2857142857142857"/>
    <x v="535"/>
    <x v="2"/>
    <s v="44"/>
    <m/>
    <x v="14"/>
    <x v="14"/>
    <m/>
    <m/>
    <x v="0"/>
    <m/>
    <m/>
    <x v="167"/>
    <m/>
  </r>
  <r>
    <m/>
    <x v="0"/>
    <s v="dd73a758-32bc-4f91-ab9f-fe1973dc2c18"/>
    <m/>
    <x v="0"/>
    <s v="2023-03-23T08:40:56.047000+00:00"/>
    <n v="49"/>
    <n v="17"/>
    <n v="0.34693877551020408"/>
    <x v="247"/>
    <x v="2"/>
    <s v="44"/>
    <m/>
    <x v="14"/>
    <x v="14"/>
    <m/>
    <m/>
    <x v="0"/>
    <m/>
    <m/>
    <x v="167"/>
    <m/>
  </r>
  <r>
    <m/>
    <x v="0"/>
    <s v="dd73a758-32bc-4f91-ab9f-fe1973dc2c18"/>
    <m/>
    <x v="0"/>
    <s v="2023-03-23T08:45:58.171000+00:00"/>
    <n v="49"/>
    <n v="18"/>
    <n v="0.36734693877551022"/>
    <x v="536"/>
    <x v="2"/>
    <s v="44"/>
    <m/>
    <x v="14"/>
    <x v="14"/>
    <m/>
    <m/>
    <x v="0"/>
    <m/>
    <m/>
    <x v="167"/>
    <m/>
  </r>
  <r>
    <m/>
    <x v="0"/>
    <s v="dd73a758-32bc-4f91-ab9f-fe1973dc2c18"/>
    <m/>
    <x v="0"/>
    <s v="2023-03-23T08:50:58.388000+00:00"/>
    <n v="49"/>
    <n v="19"/>
    <n v="0.38775510204081631"/>
    <x v="537"/>
    <x v="2"/>
    <s v="44"/>
    <m/>
    <x v="14"/>
    <x v="14"/>
    <m/>
    <m/>
    <x v="0"/>
    <m/>
    <m/>
    <x v="167"/>
    <m/>
  </r>
  <r>
    <m/>
    <x v="0"/>
    <s v="dd73a758-32bc-4f91-ab9f-fe1973dc2c18"/>
    <m/>
    <x v="0"/>
    <s v="2023-03-23T08:55:53.776000+00:00"/>
    <n v="49"/>
    <n v="20"/>
    <n v="0.40816326530612246"/>
    <x v="538"/>
    <x v="2"/>
    <s v="44"/>
    <m/>
    <x v="14"/>
    <x v="14"/>
    <m/>
    <m/>
    <x v="0"/>
    <m/>
    <m/>
    <x v="167"/>
    <m/>
  </r>
  <r>
    <m/>
    <x v="0"/>
    <s v="dd73a758-32bc-4f91-ab9f-fe1973dc2c18"/>
    <m/>
    <x v="0"/>
    <s v="2023-03-23T09:01:00.551000+00:00"/>
    <n v="49"/>
    <n v="21"/>
    <n v="0.42857142857142855"/>
    <x v="539"/>
    <x v="2"/>
    <s v="44"/>
    <m/>
    <x v="14"/>
    <x v="14"/>
    <m/>
    <m/>
    <x v="0"/>
    <m/>
    <m/>
    <x v="167"/>
    <m/>
  </r>
  <r>
    <m/>
    <x v="0"/>
    <s v="dd73a758-32bc-4f91-ab9f-fe1973dc2c18"/>
    <m/>
    <x v="0"/>
    <s v="2023-03-23T09:05:58.408000+00:00"/>
    <n v="49"/>
    <n v="22"/>
    <n v="0.44897959183673469"/>
    <x v="540"/>
    <x v="2"/>
    <s v="44"/>
    <m/>
    <x v="14"/>
    <x v="14"/>
    <m/>
    <m/>
    <x v="0"/>
    <m/>
    <m/>
    <x v="167"/>
    <m/>
  </r>
  <r>
    <m/>
    <x v="0"/>
    <s v="dd73a758-32bc-4f91-ab9f-fe1973dc2c18"/>
    <m/>
    <x v="0"/>
    <s v="2023-03-23T09:15:33.494000+00:00"/>
    <n v="49"/>
    <n v="24"/>
    <n v="0.48979591836734693"/>
    <x v="260"/>
    <x v="2"/>
    <s v="44"/>
    <m/>
    <x v="14"/>
    <x v="14"/>
    <m/>
    <m/>
    <x v="0"/>
    <m/>
    <m/>
    <x v="167"/>
    <m/>
  </r>
  <r>
    <m/>
    <x v="0"/>
    <s v="dd73a758-32bc-4f91-ab9f-fe1973dc2c18"/>
    <m/>
    <x v="0"/>
    <s v="2023-03-23T09:48:38.255000+00:00"/>
    <n v="49"/>
    <n v="31"/>
    <n v="0.63265306122448983"/>
    <x v="248"/>
    <x v="2"/>
    <s v="44"/>
    <m/>
    <x v="14"/>
    <x v="14"/>
    <m/>
    <m/>
    <x v="0"/>
    <m/>
    <m/>
    <x v="167"/>
    <m/>
  </r>
  <r>
    <m/>
    <x v="0"/>
    <s v="dd73a758-32bc-4f91-ab9f-fe1973dc2c18"/>
    <m/>
    <x v="0"/>
    <s v="2023-03-23T09:53:34.108000+00:00"/>
    <n v="49"/>
    <n v="32"/>
    <n v="0.65306122448979587"/>
    <x v="541"/>
    <x v="2"/>
    <s v="44"/>
    <m/>
    <x v="14"/>
    <x v="14"/>
    <m/>
    <m/>
    <x v="0"/>
    <m/>
    <m/>
    <x v="167"/>
    <m/>
  </r>
  <r>
    <m/>
    <x v="0"/>
    <s v="dd73a758-32bc-4f91-ab9f-fe1973dc2c18"/>
    <m/>
    <x v="0"/>
    <s v="2023-03-23T09:58:28.628000+00:00"/>
    <n v="49"/>
    <n v="33"/>
    <n v="0.67346938775510201"/>
    <x v="542"/>
    <x v="2"/>
    <s v="44"/>
    <m/>
    <x v="14"/>
    <x v="14"/>
    <m/>
    <m/>
    <x v="0"/>
    <m/>
    <m/>
    <x v="167"/>
    <m/>
  </r>
  <r>
    <m/>
    <x v="0"/>
    <s v="dd73a758-32bc-4f91-ab9f-fe1973dc2c18"/>
    <m/>
    <x v="0"/>
    <s v="2023-03-23T10:08:08.329000+00:00"/>
    <n v="49"/>
    <n v="35"/>
    <n v="0.7142857142857143"/>
    <x v="270"/>
    <x v="2"/>
    <s v="44"/>
    <m/>
    <x v="14"/>
    <x v="14"/>
    <m/>
    <m/>
    <x v="0"/>
    <m/>
    <m/>
    <x v="167"/>
    <m/>
  </r>
  <r>
    <m/>
    <x v="0"/>
    <s v="dd73a758-32bc-4f91-ab9f-fe1973dc2c18"/>
    <m/>
    <x v="0"/>
    <s v="2023-03-23T10:22:10.503000+00:00"/>
    <n v="49"/>
    <n v="38"/>
    <n v="0.77551020408163263"/>
    <x v="271"/>
    <x v="2"/>
    <s v="44"/>
    <m/>
    <x v="14"/>
    <x v="14"/>
    <m/>
    <m/>
    <x v="0"/>
    <m/>
    <m/>
    <x v="167"/>
    <m/>
  </r>
  <r>
    <m/>
    <x v="0"/>
    <s v="dd73a758-32bc-4f91-ab9f-fe1973dc2c18"/>
    <m/>
    <x v="0"/>
    <s v="2023-03-23T10:26:52.311000+00:00"/>
    <n v="49"/>
    <n v="39"/>
    <n v="0.79591836734693877"/>
    <x v="543"/>
    <x v="2"/>
    <s v="44"/>
    <m/>
    <x v="14"/>
    <x v="14"/>
    <m/>
    <m/>
    <x v="0"/>
    <m/>
    <m/>
    <x v="167"/>
    <m/>
  </r>
  <r>
    <m/>
    <x v="0"/>
    <s v="dd73a758-32bc-4f91-ab9f-fe1973dc2c18"/>
    <m/>
    <x v="0"/>
    <s v="2023-03-23T10:31:45.484000+00:00"/>
    <n v="49"/>
    <n v="40"/>
    <n v="0.81632653061224492"/>
    <x v="544"/>
    <x v="2"/>
    <s v="44"/>
    <m/>
    <x v="14"/>
    <x v="14"/>
    <m/>
    <m/>
    <x v="0"/>
    <m/>
    <m/>
    <x v="167"/>
    <m/>
  </r>
  <r>
    <m/>
    <x v="0"/>
    <s v="dd73a758-32bc-4f91-ab9f-fe1973dc2c18"/>
    <m/>
    <x v="0"/>
    <s v="2023-03-23T10:41:21.161000+00:00"/>
    <n v="49"/>
    <n v="42"/>
    <n v="0.8571428571428571"/>
    <x v="545"/>
    <x v="2"/>
    <s v="44"/>
    <m/>
    <x v="14"/>
    <x v="14"/>
    <m/>
    <m/>
    <x v="0"/>
    <m/>
    <m/>
    <x v="167"/>
    <m/>
  </r>
  <r>
    <m/>
    <x v="0"/>
    <s v="dd73a758-32bc-4f91-ab9f-fe1973dc2c18"/>
    <m/>
    <x v="0"/>
    <s v="2023-03-23T10:46:16.113000+00:00"/>
    <n v="49"/>
    <n v="43"/>
    <n v="0.87755102040816324"/>
    <x v="546"/>
    <x v="2"/>
    <s v="44"/>
    <m/>
    <x v="14"/>
    <x v="14"/>
    <m/>
    <m/>
    <x v="0"/>
    <m/>
    <m/>
    <x v="167"/>
    <m/>
  </r>
  <r>
    <m/>
    <x v="0"/>
    <s v="dd73a758-32bc-4f91-ab9f-fe1973dc2c18"/>
    <m/>
    <x v="0"/>
    <s v="2023-03-23T10:55:48.439000+00:00"/>
    <n v="49"/>
    <n v="45"/>
    <n v="0.91836734693877553"/>
    <x v="262"/>
    <x v="2"/>
    <s v="44"/>
    <m/>
    <x v="14"/>
    <x v="14"/>
    <m/>
    <m/>
    <x v="0"/>
    <m/>
    <m/>
    <x v="167"/>
    <m/>
  </r>
  <r>
    <m/>
    <x v="0"/>
    <s v="dd73a758-32bc-4f91-ab9f-fe1973dc2c18"/>
    <m/>
    <x v="0"/>
    <s v="2023-03-23T11:00:41.421000+00:00"/>
    <n v="49"/>
    <n v="46"/>
    <n v="0.93877551020408168"/>
    <x v="124"/>
    <x v="2"/>
    <s v="44"/>
    <m/>
    <x v="14"/>
    <x v="14"/>
    <m/>
    <m/>
    <x v="0"/>
    <m/>
    <m/>
    <x v="167"/>
    <m/>
  </r>
  <r>
    <m/>
    <x v="0"/>
    <s v="dd73a758-32bc-4f91-ab9f-fe1973dc2c18"/>
    <m/>
    <x v="3"/>
    <s v="2023-03-23T11:05:33.132000+00:00"/>
    <n v="49"/>
    <n v="47"/>
    <n v="0.95918367346938771"/>
    <x v="547"/>
    <x v="2"/>
    <s v="44"/>
    <m/>
    <x v="14"/>
    <x v="14"/>
    <m/>
    <m/>
    <x v="0"/>
    <m/>
    <m/>
    <x v="167"/>
    <m/>
  </r>
  <r>
    <m/>
    <x v="0"/>
    <s v="d091538c-6802-433f-af87-b2047d444f9c"/>
    <s v="completed"/>
    <x v="0"/>
    <s v="2023-03-23T16:19:30.182000+00:00"/>
    <n v="147"/>
    <n v="4"/>
    <n v="2.7210884353741496E-2"/>
    <x v="548"/>
    <x v="0"/>
    <s v="44"/>
    <m/>
    <x v="14"/>
    <x v="14"/>
    <m/>
    <m/>
    <x v="0"/>
    <m/>
    <m/>
    <x v="167"/>
    <m/>
  </r>
  <r>
    <m/>
    <x v="0"/>
    <s v="d091538c-6802-433f-af87-b2047d444f9c"/>
    <s v="completed"/>
    <x v="0"/>
    <s v="2023-03-23T17:15:08.554000+00:00"/>
    <n v="147"/>
    <n v="16"/>
    <n v="0.10884353741496598"/>
    <x v="6"/>
    <x v="0"/>
    <s v="44"/>
    <m/>
    <x v="14"/>
    <x v="14"/>
    <m/>
    <m/>
    <x v="0"/>
    <m/>
    <m/>
    <x v="167"/>
    <m/>
  </r>
  <r>
    <m/>
    <x v="0"/>
    <s v="d091538c-6802-433f-af87-b2047d444f9c"/>
    <s v="completed"/>
    <x v="0"/>
    <s v="2023-03-23T17:25:02.382000+00:00"/>
    <n v="147"/>
    <n v="18"/>
    <n v="0.12244897959183673"/>
    <x v="549"/>
    <x v="0"/>
    <s v="44"/>
    <m/>
    <x v="14"/>
    <x v="14"/>
    <m/>
    <m/>
    <x v="0"/>
    <m/>
    <m/>
    <x v="167"/>
    <m/>
  </r>
  <r>
    <m/>
    <x v="0"/>
    <s v="d091538c-6802-433f-af87-b2047d444f9c"/>
    <s v="completed"/>
    <x v="0"/>
    <s v="2023-03-23T17:34:55.093000+00:00"/>
    <n v="147"/>
    <n v="20"/>
    <n v="0.1360544217687075"/>
    <x v="550"/>
    <x v="0"/>
    <s v="44"/>
    <m/>
    <x v="14"/>
    <x v="14"/>
    <m/>
    <m/>
    <x v="0"/>
    <m/>
    <m/>
    <x v="167"/>
    <m/>
  </r>
  <r>
    <m/>
    <x v="0"/>
    <s v="d091538c-6802-433f-af87-b2047d444f9c"/>
    <s v="completed"/>
    <x v="0"/>
    <s v="2023-03-23T17:40:02.199000+00:00"/>
    <n v="147"/>
    <n v="21"/>
    <n v="0.14285714285714285"/>
    <x v="551"/>
    <x v="0"/>
    <s v="44"/>
    <m/>
    <x v="14"/>
    <x v="14"/>
    <m/>
    <m/>
    <x v="0"/>
    <m/>
    <m/>
    <x v="167"/>
    <m/>
  </r>
  <r>
    <m/>
    <x v="0"/>
    <s v="d091538c-6802-433f-af87-b2047d444f9c"/>
    <s v="completed"/>
    <x v="0"/>
    <s v="2023-03-23T17:49:49.902000+00:00"/>
    <n v="147"/>
    <n v="23"/>
    <n v="0.15646258503401361"/>
    <x v="255"/>
    <x v="0"/>
    <s v="44"/>
    <m/>
    <x v="14"/>
    <x v="14"/>
    <m/>
    <m/>
    <x v="0"/>
    <m/>
    <m/>
    <x v="167"/>
    <m/>
  </r>
  <r>
    <m/>
    <x v="0"/>
    <s v="d091538c-6802-433f-af87-b2047d444f9c"/>
    <s v="completed"/>
    <x v="0"/>
    <s v="2023-03-23T17:54:58.411000+00:00"/>
    <n v="147"/>
    <n v="24"/>
    <n v="0.16326530612244897"/>
    <x v="552"/>
    <x v="0"/>
    <s v="44"/>
    <m/>
    <x v="14"/>
    <x v="14"/>
    <m/>
    <m/>
    <x v="0"/>
    <m/>
    <m/>
    <x v="167"/>
    <m/>
  </r>
  <r>
    <m/>
    <x v="0"/>
    <s v="d091538c-6802-433f-af87-b2047d444f9c"/>
    <s v="completed"/>
    <x v="0"/>
    <s v="2023-03-23T18:00:07.345000+00:00"/>
    <n v="147"/>
    <n v="25"/>
    <n v="0.17006802721088435"/>
    <x v="553"/>
    <x v="0"/>
    <s v="44"/>
    <m/>
    <x v="14"/>
    <x v="14"/>
    <m/>
    <m/>
    <x v="0"/>
    <m/>
    <m/>
    <x v="167"/>
    <m/>
  </r>
  <r>
    <m/>
    <x v="0"/>
    <s v="d091538c-6802-433f-af87-b2047d444f9c"/>
    <s v="completed"/>
    <x v="0"/>
    <s v="2023-03-23T18:05:10.922000+00:00"/>
    <n v="147"/>
    <n v="26"/>
    <n v="0.17687074829931973"/>
    <x v="554"/>
    <x v="0"/>
    <s v="44"/>
    <m/>
    <x v="14"/>
    <x v="14"/>
    <m/>
    <m/>
    <x v="0"/>
    <m/>
    <m/>
    <x v="167"/>
    <m/>
  </r>
  <r>
    <m/>
    <x v="0"/>
    <s v="d091538c-6802-433f-af87-b2047d444f9c"/>
    <s v="completed"/>
    <x v="0"/>
    <s v="2023-03-23T18:10:13.377000+00:00"/>
    <n v="147"/>
    <n v="27"/>
    <n v="0.18367346938775511"/>
    <x v="555"/>
    <x v="0"/>
    <s v="44"/>
    <m/>
    <x v="9"/>
    <x v="9"/>
    <m/>
    <m/>
    <x v="0"/>
    <m/>
    <m/>
    <x v="167"/>
    <m/>
  </r>
  <r>
    <m/>
    <x v="0"/>
    <s v="d091538c-6802-433f-af87-b2047d444f9c"/>
    <s v="completed"/>
    <x v="0"/>
    <s v="2023-03-23T18:15:21.857000+00:00"/>
    <n v="147"/>
    <n v="28"/>
    <n v="0.19047619047619047"/>
    <x v="556"/>
    <x v="0"/>
    <s v="44"/>
    <m/>
    <x v="14"/>
    <x v="14"/>
    <m/>
    <m/>
    <x v="0"/>
    <m/>
    <m/>
    <x v="167"/>
    <m/>
  </r>
  <r>
    <m/>
    <x v="0"/>
    <s v="d091538c-6802-433f-af87-b2047d444f9c"/>
    <s v="completed"/>
    <x v="0"/>
    <s v="2023-03-23T18:24:56.566000+00:00"/>
    <n v="147"/>
    <n v="30"/>
    <n v="0.20408163265306123"/>
    <x v="557"/>
    <x v="0"/>
    <s v="44"/>
    <m/>
    <x v="14"/>
    <x v="14"/>
    <m/>
    <m/>
    <x v="0"/>
    <m/>
    <m/>
    <x v="167"/>
    <m/>
  </r>
  <r>
    <m/>
    <x v="0"/>
    <s v="d091538c-6802-433f-af87-b2047d444f9c"/>
    <s v="completed"/>
    <x v="0"/>
    <s v="2023-03-23T18:30:06.873000+00:00"/>
    <n v="147"/>
    <n v="31"/>
    <n v="0.21088435374149661"/>
    <x v="558"/>
    <x v="0"/>
    <s v="44"/>
    <m/>
    <x v="14"/>
    <x v="14"/>
    <m/>
    <m/>
    <x v="0"/>
    <m/>
    <m/>
    <x v="167"/>
    <m/>
  </r>
  <r>
    <m/>
    <x v="0"/>
    <s v="d091538c-6802-433f-af87-b2047d444f9c"/>
    <s v="completed"/>
    <x v="0"/>
    <s v="2023-03-23T18:35:06.472000+00:00"/>
    <n v="147"/>
    <n v="32"/>
    <n v="0.21768707482993196"/>
    <x v="559"/>
    <x v="0"/>
    <s v="44"/>
    <m/>
    <x v="14"/>
    <x v="14"/>
    <m/>
    <m/>
    <x v="0"/>
    <m/>
    <m/>
    <x v="167"/>
    <m/>
  </r>
  <r>
    <m/>
    <x v="0"/>
    <s v="d091538c-6802-433f-af87-b2047d444f9c"/>
    <s v="completed"/>
    <x v="0"/>
    <s v="2023-03-23T18:45:00.856000+00:00"/>
    <n v="147"/>
    <n v="34"/>
    <n v="0.23129251700680273"/>
    <x v="560"/>
    <x v="0"/>
    <s v="44"/>
    <m/>
    <x v="14"/>
    <x v="14"/>
    <m/>
    <m/>
    <x v="0"/>
    <m/>
    <m/>
    <x v="167"/>
    <m/>
  </r>
  <r>
    <m/>
    <x v="0"/>
    <s v="d091538c-6802-433f-af87-b2047d444f9c"/>
    <s v="completed"/>
    <x v="0"/>
    <s v="2023-03-23T18:50:08.773000+00:00"/>
    <n v="147"/>
    <n v="35"/>
    <n v="0.23809523809523808"/>
    <x v="561"/>
    <x v="0"/>
    <s v="44"/>
    <m/>
    <x v="14"/>
    <x v="14"/>
    <m/>
    <m/>
    <x v="0"/>
    <m/>
    <m/>
    <x v="167"/>
    <m/>
  </r>
  <r>
    <m/>
    <x v="0"/>
    <s v="d091538c-6802-433f-af87-b2047d444f9c"/>
    <s v="completed"/>
    <x v="0"/>
    <s v="2023-03-23T18:59:45.336000+00:00"/>
    <n v="147"/>
    <n v="37"/>
    <n v="0.25170068027210885"/>
    <x v="562"/>
    <x v="0"/>
    <s v="44"/>
    <m/>
    <x v="14"/>
    <x v="14"/>
    <m/>
    <m/>
    <x v="0"/>
    <m/>
    <m/>
    <x v="167"/>
    <m/>
  </r>
  <r>
    <m/>
    <x v="0"/>
    <s v="d091538c-6802-433f-af87-b2047d444f9c"/>
    <s v="completed"/>
    <x v="0"/>
    <s v="2023-03-23T19:04:38.445000+00:00"/>
    <n v="147"/>
    <n v="38"/>
    <n v="0.25850340136054423"/>
    <x v="563"/>
    <x v="0"/>
    <s v="44"/>
    <m/>
    <x v="14"/>
    <x v="14"/>
    <m/>
    <m/>
    <x v="0"/>
    <m/>
    <m/>
    <x v="167"/>
    <m/>
  </r>
  <r>
    <m/>
    <x v="0"/>
    <s v="d091538c-6802-433f-af87-b2047d444f9c"/>
    <s v="completed"/>
    <x v="0"/>
    <s v="2023-03-23T19:09:34.342000+00:00"/>
    <n v="147"/>
    <n v="39"/>
    <n v="0.26530612244897961"/>
    <x v="564"/>
    <x v="0"/>
    <s v="44"/>
    <m/>
    <x v="14"/>
    <x v="14"/>
    <m/>
    <m/>
    <x v="0"/>
    <m/>
    <m/>
    <x v="167"/>
    <m/>
  </r>
  <r>
    <m/>
    <x v="0"/>
    <s v="d091538c-6802-433f-af87-b2047d444f9c"/>
    <s v="completed"/>
    <x v="0"/>
    <s v="2023-03-23T19:14:40.261000+00:00"/>
    <n v="147"/>
    <n v="40"/>
    <n v="0.27210884353741499"/>
    <x v="240"/>
    <x v="0"/>
    <s v="44"/>
    <m/>
    <x v="14"/>
    <x v="14"/>
    <m/>
    <m/>
    <x v="0"/>
    <m/>
    <m/>
    <x v="167"/>
    <m/>
  </r>
  <r>
    <m/>
    <x v="0"/>
    <s v="d091538c-6802-433f-af87-b2047d444f9c"/>
    <s v="completed"/>
    <x v="0"/>
    <s v="2023-03-23T19:19:52.852000+00:00"/>
    <n v="147"/>
    <n v="41"/>
    <n v="0.27891156462585032"/>
    <x v="565"/>
    <x v="0"/>
    <s v="44"/>
    <m/>
    <x v="14"/>
    <x v="14"/>
    <m/>
    <m/>
    <x v="0"/>
    <m/>
    <m/>
    <x v="167"/>
    <m/>
  </r>
  <r>
    <m/>
    <x v="0"/>
    <s v="d091538c-6802-433f-af87-b2047d444f9c"/>
    <s v="completed"/>
    <x v="0"/>
    <s v="2023-03-23T19:24:51.296000+00:00"/>
    <n v="147"/>
    <n v="42"/>
    <n v="0.2857142857142857"/>
    <x v="566"/>
    <x v="0"/>
    <s v="44"/>
    <m/>
    <x v="14"/>
    <x v="14"/>
    <m/>
    <m/>
    <x v="0"/>
    <m/>
    <m/>
    <x v="167"/>
    <m/>
  </r>
  <r>
    <m/>
    <x v="0"/>
    <s v="d091538c-6802-433f-af87-b2047d444f9c"/>
    <s v="completed"/>
    <x v="0"/>
    <s v="2023-03-23T19:34:42.041000+00:00"/>
    <n v="147"/>
    <n v="44"/>
    <n v="0.29931972789115646"/>
    <x v="567"/>
    <x v="0"/>
    <s v="44"/>
    <m/>
    <x v="14"/>
    <x v="14"/>
    <m/>
    <m/>
    <x v="0"/>
    <m/>
    <m/>
    <x v="167"/>
    <m/>
  </r>
  <r>
    <m/>
    <x v="0"/>
    <s v="d091538c-6802-433f-af87-b2047d444f9c"/>
    <s v="completed"/>
    <x v="0"/>
    <s v="2023-03-23T19:36:45.514000+00:00"/>
    <n v="147"/>
    <n v="45"/>
    <n v="0.30612244897959184"/>
    <x v="230"/>
    <x v="0"/>
    <s v="44"/>
    <m/>
    <x v="22"/>
    <x v="22"/>
    <m/>
    <m/>
    <x v="0"/>
    <m/>
    <m/>
    <x v="167"/>
    <m/>
  </r>
  <r>
    <m/>
    <x v="0"/>
    <s v="d091538c-6802-433f-af87-b2047d444f9c"/>
    <s v="completed"/>
    <x v="0"/>
    <s v="2023-03-23T19:41:46.581000+00:00"/>
    <n v="147"/>
    <n v="46"/>
    <n v="0.31292517006802723"/>
    <x v="568"/>
    <x v="0"/>
    <s v="44"/>
    <m/>
    <x v="14"/>
    <x v="14"/>
    <m/>
    <m/>
    <x v="0"/>
    <m/>
    <m/>
    <x v="167"/>
    <m/>
  </r>
  <r>
    <m/>
    <x v="0"/>
    <s v="d091538c-6802-433f-af87-b2047d444f9c"/>
    <s v="completed"/>
    <x v="0"/>
    <s v="2023-03-23T19:46:41.828000+00:00"/>
    <n v="147"/>
    <n v="47"/>
    <n v="0.31972789115646261"/>
    <x v="569"/>
    <x v="0"/>
    <s v="44"/>
    <m/>
    <x v="14"/>
    <x v="14"/>
    <m/>
    <m/>
    <x v="0"/>
    <m/>
    <m/>
    <x v="167"/>
    <m/>
  </r>
  <r>
    <m/>
    <x v="0"/>
    <s v="d091538c-6802-433f-af87-b2047d444f9c"/>
    <s v="completed"/>
    <x v="0"/>
    <s v="2023-03-23T19:51:58.079000+00:00"/>
    <n v="147"/>
    <n v="48"/>
    <n v="0.32653061224489793"/>
    <x v="570"/>
    <x v="0"/>
    <s v="44"/>
    <m/>
    <x v="14"/>
    <x v="14"/>
    <m/>
    <m/>
    <x v="0"/>
    <m/>
    <m/>
    <x v="167"/>
    <m/>
  </r>
  <r>
    <m/>
    <x v="0"/>
    <s v="d091538c-6802-433f-af87-b2047d444f9c"/>
    <s v="completed"/>
    <x v="0"/>
    <s v="2023-03-23T19:57:06.873000+00:00"/>
    <n v="147"/>
    <n v="49"/>
    <n v="0.33333333333333331"/>
    <x v="571"/>
    <x v="0"/>
    <s v="44"/>
    <m/>
    <x v="14"/>
    <x v="14"/>
    <m/>
    <m/>
    <x v="0"/>
    <m/>
    <m/>
    <x v="167"/>
    <m/>
  </r>
  <r>
    <m/>
    <x v="0"/>
    <s v="d091538c-6802-433f-af87-b2047d444f9c"/>
    <s v="completed"/>
    <x v="0"/>
    <s v="2023-03-23T20:06:43.067000+00:00"/>
    <n v="147"/>
    <n v="51"/>
    <n v="0.34693877551020408"/>
    <x v="572"/>
    <x v="0"/>
    <s v="44"/>
    <m/>
    <x v="14"/>
    <x v="14"/>
    <m/>
    <m/>
    <x v="0"/>
    <m/>
    <m/>
    <x v="167"/>
    <m/>
  </r>
  <r>
    <m/>
    <x v="0"/>
    <s v="d091538c-6802-433f-af87-b2047d444f9c"/>
    <s v="completed"/>
    <x v="0"/>
    <s v="2023-03-23T20:11:52.220000+00:00"/>
    <n v="147"/>
    <n v="52"/>
    <n v="0.35374149659863946"/>
    <x v="573"/>
    <x v="0"/>
    <s v="44"/>
    <m/>
    <x v="14"/>
    <x v="14"/>
    <m/>
    <m/>
    <x v="0"/>
    <m/>
    <m/>
    <x v="167"/>
    <m/>
  </r>
  <r>
    <m/>
    <x v="0"/>
    <s v="d091538c-6802-433f-af87-b2047d444f9c"/>
    <s v="completed"/>
    <x v="0"/>
    <s v="2023-03-23T20:16:58.418000+00:00"/>
    <n v="147"/>
    <n v="53"/>
    <n v="0.36054421768707484"/>
    <x v="574"/>
    <x v="0"/>
    <s v="44"/>
    <m/>
    <x v="14"/>
    <x v="14"/>
    <m/>
    <m/>
    <x v="0"/>
    <m/>
    <m/>
    <x v="167"/>
    <m/>
  </r>
  <r>
    <m/>
    <x v="0"/>
    <s v="d091538c-6802-433f-af87-b2047d444f9c"/>
    <s v="completed"/>
    <x v="0"/>
    <s v="2023-03-23T20:22:06.300000+00:00"/>
    <n v="147"/>
    <n v="54"/>
    <n v="0.36734693877551022"/>
    <x v="575"/>
    <x v="0"/>
    <s v="44"/>
    <m/>
    <x v="14"/>
    <x v="14"/>
    <m/>
    <m/>
    <x v="0"/>
    <m/>
    <m/>
    <x v="167"/>
    <m/>
  </r>
  <r>
    <m/>
    <x v="0"/>
    <s v="d091538c-6802-433f-af87-b2047d444f9c"/>
    <s v="completed"/>
    <x v="0"/>
    <s v="2023-03-23T20:27:07.058000+00:00"/>
    <n v="147"/>
    <n v="55"/>
    <n v="0.37414965986394561"/>
    <x v="576"/>
    <x v="0"/>
    <s v="44"/>
    <m/>
    <x v="14"/>
    <x v="14"/>
    <m/>
    <m/>
    <x v="0"/>
    <m/>
    <m/>
    <x v="167"/>
    <m/>
  </r>
  <r>
    <m/>
    <x v="0"/>
    <s v="d091538c-6802-433f-af87-b2047d444f9c"/>
    <s v="completed"/>
    <x v="0"/>
    <s v="2023-03-23T20:29:02.559000+00:00"/>
    <n v="147"/>
    <n v="56"/>
    <n v="0.38095238095238093"/>
    <x v="577"/>
    <x v="0"/>
    <s v="44"/>
    <m/>
    <x v="22"/>
    <x v="22"/>
    <m/>
    <m/>
    <x v="0"/>
    <m/>
    <m/>
    <x v="167"/>
    <m/>
  </r>
  <r>
    <m/>
    <x v="0"/>
    <s v="d091538c-6802-433f-af87-b2047d444f9c"/>
    <s v="completed"/>
    <x v="0"/>
    <s v="2023-03-23T20:38:23.958000+00:00"/>
    <n v="147"/>
    <n v="58"/>
    <n v="0.39455782312925169"/>
    <x v="241"/>
    <x v="0"/>
    <s v="44"/>
    <m/>
    <x v="14"/>
    <x v="14"/>
    <m/>
    <m/>
    <x v="0"/>
    <m/>
    <m/>
    <x v="167"/>
    <m/>
  </r>
  <r>
    <m/>
    <x v="0"/>
    <s v="d091538c-6802-433f-af87-b2047d444f9c"/>
    <s v="completed"/>
    <x v="0"/>
    <s v="2023-03-23T20:43:31.658000+00:00"/>
    <n v="147"/>
    <n v="59"/>
    <n v="0.40136054421768708"/>
    <x v="578"/>
    <x v="0"/>
    <s v="44"/>
    <m/>
    <x v="14"/>
    <x v="14"/>
    <m/>
    <m/>
    <x v="0"/>
    <m/>
    <m/>
    <x v="167"/>
    <m/>
  </r>
  <r>
    <m/>
    <x v="0"/>
    <s v="d091538c-6802-433f-af87-b2047d444f9c"/>
    <s v="completed"/>
    <x v="0"/>
    <s v="2023-03-23T20:48:40.418000+00:00"/>
    <n v="147"/>
    <n v="60"/>
    <n v="0.40816326530612246"/>
    <x v="579"/>
    <x v="0"/>
    <s v="44"/>
    <m/>
    <x v="14"/>
    <x v="14"/>
    <m/>
    <m/>
    <x v="0"/>
    <m/>
    <m/>
    <x v="167"/>
    <m/>
  </r>
  <r>
    <m/>
    <x v="0"/>
    <s v="d091538c-6802-433f-af87-b2047d444f9c"/>
    <s v="completed"/>
    <x v="0"/>
    <s v="2023-03-23T20:53:44.368000+00:00"/>
    <n v="147"/>
    <n v="61"/>
    <n v="0.41496598639455784"/>
    <x v="580"/>
    <x v="0"/>
    <s v="44"/>
    <m/>
    <x v="14"/>
    <x v="14"/>
    <m/>
    <m/>
    <x v="0"/>
    <m/>
    <m/>
    <x v="167"/>
    <m/>
  </r>
  <r>
    <m/>
    <x v="0"/>
    <s v="d091538c-6802-433f-af87-b2047d444f9c"/>
    <s v="completed"/>
    <x v="0"/>
    <s v="2023-03-23T20:58:57.072000+00:00"/>
    <n v="147"/>
    <n v="62"/>
    <n v="0.42176870748299322"/>
    <x v="581"/>
    <x v="0"/>
    <s v="44"/>
    <m/>
    <x v="14"/>
    <x v="14"/>
    <m/>
    <m/>
    <x v="0"/>
    <m/>
    <m/>
    <x v="167"/>
    <m/>
  </r>
  <r>
    <m/>
    <x v="0"/>
    <s v="d091538c-6802-433f-af87-b2047d444f9c"/>
    <s v="completed"/>
    <x v="0"/>
    <s v="2023-03-23T21:04:05.221000+00:00"/>
    <n v="147"/>
    <n v="63"/>
    <n v="0.42857142857142855"/>
    <x v="582"/>
    <x v="0"/>
    <s v="44"/>
    <m/>
    <x v="14"/>
    <x v="14"/>
    <m/>
    <m/>
    <x v="0"/>
    <m/>
    <m/>
    <x v="167"/>
    <m/>
  </r>
  <r>
    <m/>
    <x v="0"/>
    <s v="d091538c-6802-433f-af87-b2047d444f9c"/>
    <s v="completed"/>
    <x v="0"/>
    <s v="2023-03-23T21:13:29.292000+00:00"/>
    <n v="147"/>
    <n v="65"/>
    <n v="0.44217687074829931"/>
    <x v="583"/>
    <x v="0"/>
    <s v="44"/>
    <m/>
    <x v="14"/>
    <x v="14"/>
    <m/>
    <m/>
    <x v="0"/>
    <m/>
    <m/>
    <x v="167"/>
    <m/>
  </r>
  <r>
    <m/>
    <x v="0"/>
    <s v="d091538c-6802-433f-af87-b2047d444f9c"/>
    <s v="completed"/>
    <x v="0"/>
    <s v="2023-03-23T21:18:37.138000+00:00"/>
    <n v="147"/>
    <n v="66"/>
    <n v="0.44897959183673469"/>
    <x v="229"/>
    <x v="0"/>
    <s v="44"/>
    <m/>
    <x v="14"/>
    <x v="14"/>
    <m/>
    <m/>
    <x v="0"/>
    <m/>
    <m/>
    <x v="167"/>
    <m/>
  </r>
  <r>
    <m/>
    <x v="0"/>
    <s v="d091538c-6802-433f-af87-b2047d444f9c"/>
    <s v="completed"/>
    <x v="0"/>
    <s v="2023-03-23T21:23:46.158000+00:00"/>
    <n v="147"/>
    <n v="67"/>
    <n v="0.45578231292517007"/>
    <x v="584"/>
    <x v="0"/>
    <s v="44"/>
    <m/>
    <x v="14"/>
    <x v="14"/>
    <m/>
    <m/>
    <x v="0"/>
    <m/>
    <m/>
    <x v="167"/>
    <m/>
  </r>
  <r>
    <m/>
    <x v="0"/>
    <s v="d091538c-6802-433f-af87-b2047d444f9c"/>
    <s v="completed"/>
    <x v="0"/>
    <s v="2023-03-23T21:33:00.476000+00:00"/>
    <n v="147"/>
    <n v="69"/>
    <n v="0.46938775510204084"/>
    <x v="228"/>
    <x v="0"/>
    <s v="44"/>
    <m/>
    <x v="14"/>
    <x v="14"/>
    <m/>
    <m/>
    <x v="0"/>
    <m/>
    <m/>
    <x v="167"/>
    <m/>
  </r>
  <r>
    <m/>
    <x v="0"/>
    <s v="d091538c-6802-433f-af87-b2047d444f9c"/>
    <s v="completed"/>
    <x v="0"/>
    <s v="2023-03-23T21:38:09.616000+00:00"/>
    <n v="147"/>
    <n v="70"/>
    <n v="0.47619047619047616"/>
    <x v="585"/>
    <x v="0"/>
    <s v="44"/>
    <m/>
    <x v="14"/>
    <x v="14"/>
    <m/>
    <m/>
    <x v="0"/>
    <m/>
    <m/>
    <x v="167"/>
    <m/>
  </r>
  <r>
    <m/>
    <x v="0"/>
    <s v="d091538c-6802-433f-af87-b2047d444f9c"/>
    <s v="completed"/>
    <x v="0"/>
    <s v="2023-03-23T21:47:45.938000+00:00"/>
    <n v="147"/>
    <n v="72"/>
    <n v="0.48979591836734693"/>
    <x v="586"/>
    <x v="0"/>
    <s v="44"/>
    <m/>
    <x v="14"/>
    <x v="14"/>
    <m/>
    <m/>
    <x v="0"/>
    <m/>
    <m/>
    <x v="167"/>
    <m/>
  </r>
  <r>
    <m/>
    <x v="0"/>
    <s v="d091538c-6802-433f-af87-b2047d444f9c"/>
    <s v="completed"/>
    <x v="0"/>
    <s v="2023-03-23T21:52:41.802000+00:00"/>
    <n v="147"/>
    <n v="73"/>
    <n v="0.49659863945578231"/>
    <x v="587"/>
    <x v="0"/>
    <s v="44"/>
    <m/>
    <x v="14"/>
    <x v="14"/>
    <m/>
    <m/>
    <x v="0"/>
    <m/>
    <m/>
    <x v="167"/>
    <m/>
  </r>
  <r>
    <m/>
    <x v="0"/>
    <s v="d091538c-6802-433f-af87-b2047d444f9c"/>
    <s v="completed"/>
    <x v="0"/>
    <s v="2023-03-23T21:57:36.534000+00:00"/>
    <n v="147"/>
    <n v="74"/>
    <n v="0.50340136054421769"/>
    <x v="588"/>
    <x v="0"/>
    <s v="44"/>
    <m/>
    <x v="14"/>
    <x v="14"/>
    <m/>
    <m/>
    <x v="0"/>
    <m/>
    <m/>
    <x v="167"/>
    <m/>
  </r>
  <r>
    <m/>
    <x v="0"/>
    <s v="d091538c-6802-433f-af87-b2047d444f9c"/>
    <s v="completed"/>
    <x v="0"/>
    <s v="2023-03-23T22:02:42.273000+00:00"/>
    <n v="147"/>
    <n v="75"/>
    <n v="0.51020408163265307"/>
    <x v="589"/>
    <x v="0"/>
    <s v="44"/>
    <m/>
    <x v="14"/>
    <x v="14"/>
    <m/>
    <m/>
    <x v="0"/>
    <m/>
    <m/>
    <x v="167"/>
    <m/>
  </r>
  <r>
    <m/>
    <x v="0"/>
    <s v="d091538c-6802-433f-af87-b2047d444f9c"/>
    <s v="completed"/>
    <x v="0"/>
    <s v="2023-03-23T22:07:42.042000+00:00"/>
    <n v="147"/>
    <n v="76"/>
    <n v="0.51700680272108845"/>
    <x v="590"/>
    <x v="0"/>
    <s v="44"/>
    <m/>
    <x v="14"/>
    <x v="14"/>
    <m/>
    <m/>
    <x v="0"/>
    <m/>
    <m/>
    <x v="167"/>
    <m/>
  </r>
  <r>
    <m/>
    <x v="0"/>
    <s v="d091538c-6802-433f-af87-b2047d444f9c"/>
    <s v="completed"/>
    <x v="0"/>
    <s v="2023-03-23T22:09:39.776000+00:00"/>
    <n v="147"/>
    <n v="77"/>
    <n v="0.52380952380952384"/>
    <x v="256"/>
    <x v="0"/>
    <s v="44"/>
    <m/>
    <x v="18"/>
    <x v="18"/>
    <m/>
    <m/>
    <x v="0"/>
    <m/>
    <m/>
    <x v="167"/>
    <m/>
  </r>
  <r>
    <m/>
    <x v="0"/>
    <s v="d091538c-6802-433f-af87-b2047d444f9c"/>
    <s v="completed"/>
    <x v="0"/>
    <s v="2023-03-23T22:19:06.291000+00:00"/>
    <n v="147"/>
    <n v="79"/>
    <n v="0.5374149659863946"/>
    <x v="591"/>
    <x v="0"/>
    <s v="44"/>
    <m/>
    <x v="14"/>
    <x v="14"/>
    <m/>
    <m/>
    <x v="0"/>
    <m/>
    <m/>
    <x v="167"/>
    <m/>
  </r>
  <r>
    <m/>
    <x v="0"/>
    <s v="d091538c-6802-433f-af87-b2047d444f9c"/>
    <s v="completed"/>
    <x v="0"/>
    <s v="2023-03-23T22:24:13.170000+00:00"/>
    <n v="147"/>
    <n v="80"/>
    <n v="0.54421768707482998"/>
    <x v="592"/>
    <x v="0"/>
    <s v="44"/>
    <m/>
    <x v="14"/>
    <x v="14"/>
    <m/>
    <m/>
    <x v="0"/>
    <m/>
    <m/>
    <x v="167"/>
    <m/>
  </r>
  <r>
    <m/>
    <x v="0"/>
    <s v="d091538c-6802-433f-af87-b2047d444f9c"/>
    <s v="completed"/>
    <x v="0"/>
    <s v="2023-03-23T22:29:22.473000+00:00"/>
    <n v="147"/>
    <n v="81"/>
    <n v="0.55102040816326525"/>
    <x v="593"/>
    <x v="0"/>
    <s v="44"/>
    <m/>
    <x v="14"/>
    <x v="14"/>
    <m/>
    <m/>
    <x v="0"/>
    <m/>
    <m/>
    <x v="167"/>
    <m/>
  </r>
  <r>
    <m/>
    <x v="0"/>
    <s v="d091538c-6802-433f-af87-b2047d444f9c"/>
    <s v="completed"/>
    <x v="0"/>
    <s v="2023-03-23T22:34:27.079000+00:00"/>
    <n v="147"/>
    <n v="82"/>
    <n v="0.55782312925170063"/>
    <x v="594"/>
    <x v="0"/>
    <s v="44"/>
    <m/>
    <x v="14"/>
    <x v="14"/>
    <m/>
    <m/>
    <x v="0"/>
    <m/>
    <m/>
    <x v="167"/>
    <m/>
  </r>
  <r>
    <m/>
    <x v="0"/>
    <s v="d091538c-6802-433f-af87-b2047d444f9c"/>
    <s v="completed"/>
    <x v="0"/>
    <s v="2023-03-23T22:39:42.122000+00:00"/>
    <n v="147"/>
    <n v="83"/>
    <n v="0.56462585034013602"/>
    <x v="595"/>
    <x v="0"/>
    <s v="44"/>
    <m/>
    <x v="14"/>
    <x v="14"/>
    <m/>
    <m/>
    <x v="0"/>
    <m/>
    <m/>
    <x v="167"/>
    <m/>
  </r>
  <r>
    <m/>
    <x v="0"/>
    <s v="d091538c-6802-433f-af87-b2047d444f9c"/>
    <s v="completed"/>
    <x v="0"/>
    <s v="2023-03-23T22:44:36.196000+00:00"/>
    <n v="147"/>
    <n v="84"/>
    <n v="0.5714285714285714"/>
    <x v="124"/>
    <x v="0"/>
    <s v="44"/>
    <m/>
    <x v="14"/>
    <x v="14"/>
    <m/>
    <m/>
    <x v="0"/>
    <m/>
    <m/>
    <x v="167"/>
    <m/>
  </r>
  <r>
    <m/>
    <x v="0"/>
    <s v="d091538c-6802-433f-af87-b2047d444f9c"/>
    <s v="completed"/>
    <x v="0"/>
    <s v="2023-03-23T22:54:24.018000+00:00"/>
    <n v="147"/>
    <n v="86"/>
    <n v="0.58503401360544216"/>
    <x v="596"/>
    <x v="0"/>
    <s v="44"/>
    <m/>
    <x v="14"/>
    <x v="14"/>
    <m/>
    <m/>
    <x v="0"/>
    <m/>
    <m/>
    <x v="167"/>
    <m/>
  </r>
  <r>
    <m/>
    <x v="0"/>
    <s v="d091538c-6802-433f-af87-b2047d444f9c"/>
    <s v="completed"/>
    <x v="0"/>
    <s v="2023-03-23T22:59:30.199000+00:00"/>
    <n v="147"/>
    <n v="87"/>
    <n v="0.59183673469387754"/>
    <x v="597"/>
    <x v="0"/>
    <s v="44"/>
    <m/>
    <x v="14"/>
    <x v="14"/>
    <m/>
    <m/>
    <x v="0"/>
    <m/>
    <m/>
    <x v="167"/>
    <m/>
  </r>
  <r>
    <m/>
    <x v="0"/>
    <s v="d091538c-6802-433f-af87-b2047d444f9c"/>
    <s v="completed"/>
    <x v="0"/>
    <s v="2023-03-23T23:04:23.489000+00:00"/>
    <n v="147"/>
    <n v="88"/>
    <n v="0.59863945578231292"/>
    <x v="598"/>
    <x v="0"/>
    <s v="44"/>
    <m/>
    <x v="14"/>
    <x v="14"/>
    <m/>
    <m/>
    <x v="0"/>
    <m/>
    <m/>
    <x v="167"/>
    <m/>
  </r>
  <r>
    <m/>
    <x v="0"/>
    <s v="d091538c-6802-433f-af87-b2047d444f9c"/>
    <s v="completed"/>
    <x v="0"/>
    <s v="2023-03-23T23:09:26.416000+00:00"/>
    <n v="147"/>
    <n v="89"/>
    <n v="0.60544217687074831"/>
    <x v="599"/>
    <x v="0"/>
    <s v="44"/>
    <m/>
    <x v="14"/>
    <x v="14"/>
    <m/>
    <m/>
    <x v="0"/>
    <m/>
    <m/>
    <x v="167"/>
    <m/>
  </r>
  <r>
    <m/>
    <x v="0"/>
    <s v="d091538c-6802-433f-af87-b2047d444f9c"/>
    <s v="completed"/>
    <x v="0"/>
    <s v="2023-03-23T23:14:26.286000+00:00"/>
    <n v="147"/>
    <n v="90"/>
    <n v="0.61224489795918369"/>
    <x v="600"/>
    <x v="0"/>
    <s v="44"/>
    <m/>
    <x v="14"/>
    <x v="14"/>
    <m/>
    <m/>
    <x v="0"/>
    <m/>
    <m/>
    <x v="167"/>
    <m/>
  </r>
  <r>
    <m/>
    <x v="0"/>
    <s v="d091538c-6802-433f-af87-b2047d444f9c"/>
    <s v="completed"/>
    <x v="0"/>
    <s v="2023-03-23T23:19:30.796000+00:00"/>
    <n v="147"/>
    <n v="91"/>
    <n v="0.61904761904761907"/>
    <x v="601"/>
    <x v="0"/>
    <s v="44"/>
    <m/>
    <x v="14"/>
    <x v="14"/>
    <m/>
    <m/>
    <x v="0"/>
    <m/>
    <m/>
    <x v="167"/>
    <m/>
  </r>
  <r>
    <m/>
    <x v="0"/>
    <s v="d091538c-6802-433f-af87-b2047d444f9c"/>
    <s v="completed"/>
    <x v="0"/>
    <s v="2023-03-23T23:29:03.521000+00:00"/>
    <n v="147"/>
    <n v="93"/>
    <n v="0.63265306122448983"/>
    <x v="602"/>
    <x v="0"/>
    <s v="44"/>
    <m/>
    <x v="14"/>
    <x v="14"/>
    <m/>
    <m/>
    <x v="0"/>
    <m/>
    <m/>
    <x v="167"/>
    <m/>
  </r>
  <r>
    <m/>
    <x v="0"/>
    <s v="d091538c-6802-433f-af87-b2047d444f9c"/>
    <s v="completed"/>
    <x v="0"/>
    <s v="2023-03-23T23:33:58.103000+00:00"/>
    <n v="147"/>
    <n v="94"/>
    <n v="0.63945578231292521"/>
    <x v="603"/>
    <x v="0"/>
    <s v="44"/>
    <m/>
    <x v="14"/>
    <x v="14"/>
    <m/>
    <m/>
    <x v="0"/>
    <m/>
    <m/>
    <x v="167"/>
    <m/>
  </r>
  <r>
    <m/>
    <x v="0"/>
    <s v="d091538c-6802-433f-af87-b2047d444f9c"/>
    <s v="completed"/>
    <x v="0"/>
    <s v="2023-03-23T23:39:02.092000+00:00"/>
    <n v="147"/>
    <n v="95"/>
    <n v="0.6462585034013606"/>
    <x v="604"/>
    <x v="0"/>
    <s v="44"/>
    <m/>
    <x v="14"/>
    <x v="14"/>
    <m/>
    <m/>
    <x v="0"/>
    <m/>
    <m/>
    <x v="167"/>
    <m/>
  </r>
  <r>
    <m/>
    <x v="0"/>
    <s v="d091538c-6802-433f-af87-b2047d444f9c"/>
    <s v="completed"/>
    <x v="0"/>
    <s v="2023-03-23T23:44:05.452000+00:00"/>
    <n v="147"/>
    <n v="96"/>
    <n v="0.65306122448979587"/>
    <x v="605"/>
    <x v="0"/>
    <s v="44"/>
    <m/>
    <x v="14"/>
    <x v="14"/>
    <m/>
    <m/>
    <x v="0"/>
    <m/>
    <m/>
    <x v="167"/>
    <m/>
  </r>
  <r>
    <m/>
    <x v="0"/>
    <s v="d091538c-6802-433f-af87-b2047d444f9c"/>
    <s v="completed"/>
    <x v="0"/>
    <s v="2023-03-23T23:49:02.859000+00:00"/>
    <n v="147"/>
    <n v="97"/>
    <n v="0.65986394557823125"/>
    <x v="606"/>
    <x v="0"/>
    <s v="44"/>
    <m/>
    <x v="14"/>
    <x v="14"/>
    <m/>
    <m/>
    <x v="0"/>
    <m/>
    <m/>
    <x v="167"/>
    <m/>
  </r>
  <r>
    <m/>
    <x v="0"/>
    <s v="d091538c-6802-433f-af87-b2047d444f9c"/>
    <s v="completed"/>
    <x v="0"/>
    <s v="2023-03-23T23:53:54.076000+00:00"/>
    <n v="147"/>
    <n v="98"/>
    <n v="0.66666666666666663"/>
    <x v="607"/>
    <x v="0"/>
    <s v="44"/>
    <m/>
    <x v="14"/>
    <x v="14"/>
    <m/>
    <m/>
    <x v="0"/>
    <m/>
    <m/>
    <x v="167"/>
    <m/>
  </r>
  <r>
    <m/>
    <x v="0"/>
    <s v="d091538c-6802-433f-af87-b2047d444f9c"/>
    <s v="completed"/>
    <x v="0"/>
    <s v="2023-03-24T00:03:39.614000+00:00"/>
    <n v="147"/>
    <n v="100"/>
    <n v="0.68027210884353739"/>
    <x v="608"/>
    <x v="0"/>
    <s v="44"/>
    <m/>
    <x v="14"/>
    <x v="14"/>
    <m/>
    <m/>
    <x v="0"/>
    <m/>
    <m/>
    <x v="166"/>
    <m/>
  </r>
  <r>
    <m/>
    <x v="0"/>
    <s v="d091538c-6802-433f-af87-b2047d444f9c"/>
    <s v="completed"/>
    <x v="0"/>
    <s v="2023-03-24T00:08:43.954000+00:00"/>
    <n v="147"/>
    <n v="101"/>
    <n v="0.68707482993197277"/>
    <x v="609"/>
    <x v="0"/>
    <s v="44"/>
    <m/>
    <x v="14"/>
    <x v="14"/>
    <m/>
    <m/>
    <x v="0"/>
    <m/>
    <m/>
    <x v="166"/>
    <m/>
  </r>
  <r>
    <m/>
    <x v="0"/>
    <s v="d091538c-6802-433f-af87-b2047d444f9c"/>
    <s v="completed"/>
    <x v="0"/>
    <s v="2023-03-24T00:13:47.493000+00:00"/>
    <n v="147"/>
    <n v="102"/>
    <n v="0.69387755102040816"/>
    <x v="610"/>
    <x v="0"/>
    <s v="44"/>
    <m/>
    <x v="14"/>
    <x v="14"/>
    <m/>
    <m/>
    <x v="0"/>
    <m/>
    <m/>
    <x v="166"/>
    <m/>
  </r>
  <r>
    <m/>
    <x v="0"/>
    <s v="d091538c-6802-433f-af87-b2047d444f9c"/>
    <s v="completed"/>
    <x v="0"/>
    <s v="2023-03-24T00:23:26.408000+00:00"/>
    <n v="147"/>
    <n v="104"/>
    <n v="0.70748299319727892"/>
    <x v="611"/>
    <x v="0"/>
    <s v="44"/>
    <m/>
    <x v="14"/>
    <x v="14"/>
    <m/>
    <m/>
    <x v="0"/>
    <m/>
    <m/>
    <x v="166"/>
    <m/>
  </r>
  <r>
    <m/>
    <x v="0"/>
    <s v="d091538c-6802-433f-af87-b2047d444f9c"/>
    <s v="completed"/>
    <x v="0"/>
    <s v="2023-03-24T00:28:30.825000+00:00"/>
    <n v="147"/>
    <n v="105"/>
    <n v="0.7142857142857143"/>
    <x v="612"/>
    <x v="0"/>
    <s v="44"/>
    <m/>
    <x v="14"/>
    <x v="14"/>
    <m/>
    <m/>
    <x v="0"/>
    <m/>
    <m/>
    <x v="166"/>
    <m/>
  </r>
  <r>
    <m/>
    <x v="0"/>
    <s v="d091538c-6802-433f-af87-b2047d444f9c"/>
    <s v="completed"/>
    <x v="0"/>
    <s v="2023-03-24T00:38:05.029000+00:00"/>
    <n v="147"/>
    <n v="107"/>
    <n v="0.72789115646258506"/>
    <x v="613"/>
    <x v="0"/>
    <s v="44"/>
    <m/>
    <x v="14"/>
    <x v="14"/>
    <m/>
    <m/>
    <x v="0"/>
    <m/>
    <m/>
    <x v="166"/>
    <m/>
  </r>
  <r>
    <m/>
    <x v="0"/>
    <s v="d091538c-6802-433f-af87-b2047d444f9c"/>
    <s v="completed"/>
    <x v="0"/>
    <s v="2023-03-24T00:40:07.576000+00:00"/>
    <n v="147"/>
    <n v="108"/>
    <n v="0.73469387755102045"/>
    <x v="243"/>
    <x v="0"/>
    <s v="44"/>
    <m/>
    <x v="22"/>
    <x v="22"/>
    <m/>
    <m/>
    <x v="0"/>
    <m/>
    <m/>
    <x v="166"/>
    <m/>
  </r>
  <r>
    <m/>
    <x v="0"/>
    <s v="d091538c-6802-433f-af87-b2047d444f9c"/>
    <s v="completed"/>
    <x v="0"/>
    <s v="2023-03-24T00:44:50.672000+00:00"/>
    <n v="147"/>
    <n v="109"/>
    <n v="0.74149659863945583"/>
    <x v="614"/>
    <x v="0"/>
    <s v="44"/>
    <m/>
    <x v="14"/>
    <x v="14"/>
    <m/>
    <m/>
    <x v="0"/>
    <m/>
    <m/>
    <x v="166"/>
    <m/>
  </r>
  <r>
    <m/>
    <x v="0"/>
    <s v="d091538c-6802-433f-af87-b2047d444f9c"/>
    <s v="completed"/>
    <x v="0"/>
    <s v="2023-03-24T00:49:52.110000+00:00"/>
    <n v="147"/>
    <n v="110"/>
    <n v="0.74829931972789121"/>
    <x v="615"/>
    <x v="0"/>
    <s v="44"/>
    <m/>
    <x v="14"/>
    <x v="14"/>
    <m/>
    <m/>
    <x v="0"/>
    <m/>
    <m/>
    <x v="166"/>
    <m/>
  </r>
  <r>
    <m/>
    <x v="0"/>
    <s v="d091538c-6802-433f-af87-b2047d444f9c"/>
    <s v="completed"/>
    <x v="0"/>
    <s v="2023-03-24T00:55:03.453000+00:00"/>
    <n v="147"/>
    <n v="111"/>
    <n v="0.75510204081632648"/>
    <x v="616"/>
    <x v="0"/>
    <s v="44"/>
    <m/>
    <x v="9"/>
    <x v="9"/>
    <m/>
    <m/>
    <x v="0"/>
    <m/>
    <m/>
    <x v="166"/>
    <m/>
  </r>
  <r>
    <m/>
    <x v="0"/>
    <s v="d091538c-6802-433f-af87-b2047d444f9c"/>
    <s v="completed"/>
    <x v="0"/>
    <s v="2023-03-24T01:00:07.585000+00:00"/>
    <n v="147"/>
    <n v="112"/>
    <n v="0.76190476190476186"/>
    <x v="617"/>
    <x v="0"/>
    <s v="44"/>
    <m/>
    <x v="14"/>
    <x v="14"/>
    <m/>
    <m/>
    <x v="0"/>
    <m/>
    <m/>
    <x v="166"/>
    <m/>
  </r>
  <r>
    <m/>
    <x v="0"/>
    <s v="d091538c-6802-433f-af87-b2047d444f9c"/>
    <s v="completed"/>
    <x v="0"/>
    <s v="2023-03-24T01:09:27.123000+00:00"/>
    <n v="147"/>
    <n v="114"/>
    <n v="0.77551020408163263"/>
    <x v="618"/>
    <x v="0"/>
    <s v="44"/>
    <m/>
    <x v="14"/>
    <x v="14"/>
    <m/>
    <m/>
    <x v="0"/>
    <m/>
    <m/>
    <x v="166"/>
    <m/>
  </r>
  <r>
    <m/>
    <x v="0"/>
    <s v="d091538c-6802-433f-af87-b2047d444f9c"/>
    <s v="completed"/>
    <x v="0"/>
    <s v="2023-03-24T01:14:19.909000+00:00"/>
    <n v="147"/>
    <n v="115"/>
    <n v="0.78231292517006801"/>
    <x v="619"/>
    <x v="0"/>
    <s v="44"/>
    <m/>
    <x v="14"/>
    <x v="14"/>
    <m/>
    <m/>
    <x v="0"/>
    <m/>
    <m/>
    <x v="166"/>
    <m/>
  </r>
  <r>
    <m/>
    <x v="0"/>
    <s v="d091538c-6802-433f-af87-b2047d444f9c"/>
    <s v="completed"/>
    <x v="0"/>
    <s v="2023-03-24T01:19:23.501000+00:00"/>
    <n v="147"/>
    <n v="116"/>
    <n v="0.78911564625850339"/>
    <x v="620"/>
    <x v="0"/>
    <s v="44"/>
    <m/>
    <x v="14"/>
    <x v="14"/>
    <m/>
    <m/>
    <x v="0"/>
    <m/>
    <m/>
    <x v="166"/>
    <m/>
  </r>
  <r>
    <m/>
    <x v="0"/>
    <s v="d091538c-6802-433f-af87-b2047d444f9c"/>
    <s v="completed"/>
    <x v="0"/>
    <s v="2023-03-24T01:24:25.813000+00:00"/>
    <n v="147"/>
    <n v="117"/>
    <n v="0.79591836734693877"/>
    <x v="621"/>
    <x v="0"/>
    <s v="44"/>
    <m/>
    <x v="14"/>
    <x v="14"/>
    <m/>
    <m/>
    <x v="0"/>
    <m/>
    <m/>
    <x v="166"/>
    <m/>
  </r>
  <r>
    <m/>
    <x v="0"/>
    <s v="d091538c-6802-433f-af87-b2047d444f9c"/>
    <s v="completed"/>
    <x v="0"/>
    <s v="2023-03-24T01:29:33.877000+00:00"/>
    <n v="147"/>
    <n v="118"/>
    <n v="0.80272108843537415"/>
    <x v="622"/>
    <x v="0"/>
    <s v="44"/>
    <m/>
    <x v="14"/>
    <x v="14"/>
    <m/>
    <m/>
    <x v="0"/>
    <m/>
    <m/>
    <x v="166"/>
    <m/>
  </r>
  <r>
    <m/>
    <x v="0"/>
    <s v="d091538c-6802-433f-af87-b2047d444f9c"/>
    <s v="completed"/>
    <x v="0"/>
    <s v="2023-03-24T01:34:23.144000+00:00"/>
    <n v="147"/>
    <n v="119"/>
    <n v="0.80952380952380953"/>
    <x v="623"/>
    <x v="0"/>
    <s v="44"/>
    <m/>
    <x v="14"/>
    <x v="14"/>
    <m/>
    <m/>
    <x v="0"/>
    <m/>
    <m/>
    <x v="166"/>
    <m/>
  </r>
  <r>
    <m/>
    <x v="0"/>
    <s v="d091538c-6802-433f-af87-b2047d444f9c"/>
    <s v="completed"/>
    <x v="0"/>
    <s v="2023-03-24T01:44:04.276000+00:00"/>
    <n v="147"/>
    <n v="121"/>
    <n v="0.8231292517006803"/>
    <x v="624"/>
    <x v="0"/>
    <s v="44"/>
    <m/>
    <x v="14"/>
    <x v="14"/>
    <m/>
    <m/>
    <x v="0"/>
    <m/>
    <m/>
    <x v="166"/>
    <m/>
  </r>
  <r>
    <m/>
    <x v="0"/>
    <s v="d091538c-6802-433f-af87-b2047d444f9c"/>
    <s v="completed"/>
    <x v="0"/>
    <s v="2023-03-24T01:48:53.388000+00:00"/>
    <n v="147"/>
    <n v="122"/>
    <n v="0.82993197278911568"/>
    <x v="625"/>
    <x v="0"/>
    <s v="44"/>
    <m/>
    <x v="14"/>
    <x v="14"/>
    <m/>
    <m/>
    <x v="0"/>
    <m/>
    <m/>
    <x v="166"/>
    <m/>
  </r>
  <r>
    <m/>
    <x v="0"/>
    <s v="d091538c-6802-433f-af87-b2047d444f9c"/>
    <s v="completed"/>
    <x v="0"/>
    <s v="2023-03-24T01:53:57.133000+00:00"/>
    <n v="147"/>
    <n v="123"/>
    <n v="0.83673469387755106"/>
    <x v="626"/>
    <x v="0"/>
    <s v="44"/>
    <m/>
    <x v="14"/>
    <x v="14"/>
    <m/>
    <m/>
    <x v="0"/>
    <m/>
    <m/>
    <x v="166"/>
    <m/>
  </r>
  <r>
    <m/>
    <x v="0"/>
    <s v="d091538c-6802-433f-af87-b2047d444f9c"/>
    <s v="completed"/>
    <x v="0"/>
    <s v="2023-03-24T01:58:45.866000+00:00"/>
    <n v="147"/>
    <n v="124"/>
    <n v="0.84353741496598644"/>
    <x v="627"/>
    <x v="0"/>
    <s v="44"/>
    <m/>
    <x v="14"/>
    <x v="14"/>
    <m/>
    <m/>
    <x v="0"/>
    <m/>
    <m/>
    <x v="166"/>
    <m/>
  </r>
  <r>
    <m/>
    <x v="0"/>
    <s v="d091538c-6802-433f-af87-b2047d444f9c"/>
    <s v="completed"/>
    <x v="0"/>
    <s v="2023-03-24T02:03:53.288000+00:00"/>
    <n v="147"/>
    <n v="125"/>
    <n v="0.85034013605442171"/>
    <x v="628"/>
    <x v="0"/>
    <s v="44"/>
    <m/>
    <x v="14"/>
    <x v="14"/>
    <m/>
    <m/>
    <x v="0"/>
    <m/>
    <m/>
    <x v="166"/>
    <m/>
  </r>
  <r>
    <m/>
    <x v="0"/>
    <s v="d091538c-6802-433f-af87-b2047d444f9c"/>
    <s v="completed"/>
    <x v="0"/>
    <s v="2023-03-24T02:08:42.482000+00:00"/>
    <n v="147"/>
    <n v="126"/>
    <n v="0.8571428571428571"/>
    <x v="629"/>
    <x v="0"/>
    <s v="44"/>
    <m/>
    <x v="14"/>
    <x v="14"/>
    <m/>
    <m/>
    <x v="0"/>
    <m/>
    <m/>
    <x v="166"/>
    <m/>
  </r>
  <r>
    <m/>
    <x v="0"/>
    <s v="d091538c-6802-433f-af87-b2047d444f9c"/>
    <s v="completed"/>
    <x v="0"/>
    <s v="2023-03-24T02:18:16.221000+00:00"/>
    <n v="147"/>
    <n v="128"/>
    <n v="0.87074829931972786"/>
    <x v="630"/>
    <x v="0"/>
    <s v="44"/>
    <m/>
    <x v="14"/>
    <x v="14"/>
    <m/>
    <m/>
    <x v="0"/>
    <m/>
    <m/>
    <x v="166"/>
    <m/>
  </r>
  <r>
    <m/>
    <x v="0"/>
    <s v="d091538c-6802-433f-af87-b2047d444f9c"/>
    <s v="completed"/>
    <x v="0"/>
    <s v="2023-03-24T02:23:04.226000+00:00"/>
    <n v="147"/>
    <n v="129"/>
    <n v="0.87755102040816324"/>
    <x v="631"/>
    <x v="0"/>
    <s v="44"/>
    <m/>
    <x v="14"/>
    <x v="14"/>
    <m/>
    <m/>
    <x v="0"/>
    <m/>
    <m/>
    <x v="166"/>
    <m/>
  </r>
  <r>
    <m/>
    <x v="0"/>
    <s v="d091538c-6802-433f-af87-b2047d444f9c"/>
    <s v="completed"/>
    <x v="0"/>
    <s v="2023-03-24T02:28:04.306000+00:00"/>
    <n v="147"/>
    <n v="130"/>
    <n v="0.88435374149659862"/>
    <x v="632"/>
    <x v="0"/>
    <s v="44"/>
    <m/>
    <x v="14"/>
    <x v="14"/>
    <m/>
    <m/>
    <x v="0"/>
    <m/>
    <m/>
    <x v="166"/>
    <m/>
  </r>
  <r>
    <m/>
    <x v="0"/>
    <s v="d091538c-6802-433f-af87-b2047d444f9c"/>
    <s v="completed"/>
    <x v="0"/>
    <s v="2023-03-24T02:33:02.678000+00:00"/>
    <n v="147"/>
    <n v="131"/>
    <n v="0.891156462585034"/>
    <x v="633"/>
    <x v="0"/>
    <s v="44"/>
    <m/>
    <x v="14"/>
    <x v="14"/>
    <m/>
    <m/>
    <x v="0"/>
    <m/>
    <m/>
    <x v="166"/>
    <m/>
  </r>
  <r>
    <m/>
    <x v="0"/>
    <s v="d091538c-6802-433f-af87-b2047d444f9c"/>
    <s v="completed"/>
    <x v="0"/>
    <s v="2023-03-24T02:38:09.345000+00:00"/>
    <n v="147"/>
    <n v="132"/>
    <n v="0.89795918367346939"/>
    <x v="634"/>
    <x v="0"/>
    <s v="44"/>
    <m/>
    <x v="14"/>
    <x v="14"/>
    <m/>
    <m/>
    <x v="0"/>
    <m/>
    <m/>
    <x v="166"/>
    <m/>
  </r>
  <r>
    <m/>
    <x v="0"/>
    <s v="d091538c-6802-433f-af87-b2047d444f9c"/>
    <s v="completed"/>
    <x v="0"/>
    <s v="2023-03-24T02:43:12.748000+00:00"/>
    <n v="147"/>
    <n v="133"/>
    <n v="0.90476190476190477"/>
    <x v="635"/>
    <x v="0"/>
    <s v="44"/>
    <m/>
    <x v="14"/>
    <x v="14"/>
    <m/>
    <m/>
    <x v="0"/>
    <m/>
    <m/>
    <x v="166"/>
    <m/>
  </r>
  <r>
    <m/>
    <x v="0"/>
    <s v="d091538c-6802-433f-af87-b2047d444f9c"/>
    <s v="completed"/>
    <x v="0"/>
    <s v="2023-03-24T02:52:39.005000+00:00"/>
    <n v="147"/>
    <n v="135"/>
    <n v="0.91836734693877553"/>
    <x v="636"/>
    <x v="0"/>
    <s v="44"/>
    <m/>
    <x v="14"/>
    <x v="14"/>
    <m/>
    <m/>
    <x v="0"/>
    <m/>
    <m/>
    <x v="166"/>
    <m/>
  </r>
  <r>
    <m/>
    <x v="0"/>
    <s v="d091538c-6802-433f-af87-b2047d444f9c"/>
    <s v="completed"/>
    <x v="0"/>
    <s v="2023-03-24T02:57:41.263000+00:00"/>
    <n v="147"/>
    <n v="136"/>
    <n v="0.92517006802721091"/>
    <x v="637"/>
    <x v="0"/>
    <s v="44"/>
    <m/>
    <x v="14"/>
    <x v="14"/>
    <m/>
    <m/>
    <x v="0"/>
    <m/>
    <m/>
    <x v="166"/>
    <m/>
  </r>
  <r>
    <m/>
    <x v="0"/>
    <s v="d091538c-6802-433f-af87-b2047d444f9c"/>
    <s v="completed"/>
    <x v="0"/>
    <s v="2023-03-24T03:02:41.798000+00:00"/>
    <n v="147"/>
    <n v="137"/>
    <n v="0.93197278911564629"/>
    <x v="638"/>
    <x v="0"/>
    <s v="44"/>
    <m/>
    <x v="14"/>
    <x v="14"/>
    <m/>
    <m/>
    <x v="0"/>
    <m/>
    <m/>
    <x v="166"/>
    <m/>
  </r>
  <r>
    <m/>
    <x v="0"/>
    <s v="d091538c-6802-433f-af87-b2047d444f9c"/>
    <s v="completed"/>
    <x v="0"/>
    <s v="2023-03-24T03:07:27.638000+00:00"/>
    <n v="147"/>
    <n v="138"/>
    <n v="0.93877551020408168"/>
    <x v="639"/>
    <x v="0"/>
    <s v="44"/>
    <m/>
    <x v="14"/>
    <x v="14"/>
    <m/>
    <m/>
    <x v="0"/>
    <m/>
    <m/>
    <x v="166"/>
    <m/>
  </r>
  <r>
    <m/>
    <x v="0"/>
    <s v="d091538c-6802-433f-af87-b2047d444f9c"/>
    <s v="completed"/>
    <x v="0"/>
    <s v="2023-03-24T03:12:33.352000+00:00"/>
    <n v="147"/>
    <n v="139"/>
    <n v="0.94557823129251706"/>
    <x v="640"/>
    <x v="0"/>
    <s v="44"/>
    <m/>
    <x v="14"/>
    <x v="14"/>
    <m/>
    <m/>
    <x v="0"/>
    <m/>
    <m/>
    <x v="166"/>
    <m/>
  </r>
  <r>
    <m/>
    <x v="0"/>
    <s v="d091538c-6802-433f-af87-b2047d444f9c"/>
    <s v="completed"/>
    <x v="0"/>
    <s v="2023-03-24T03:17:20.841000+00:00"/>
    <n v="147"/>
    <n v="140"/>
    <n v="0.95238095238095233"/>
    <x v="641"/>
    <x v="0"/>
    <s v="44"/>
    <m/>
    <x v="14"/>
    <x v="14"/>
    <m/>
    <m/>
    <x v="0"/>
    <m/>
    <m/>
    <x v="166"/>
    <m/>
  </r>
  <r>
    <m/>
    <x v="0"/>
    <s v="d091538c-6802-433f-af87-b2047d444f9c"/>
    <s v="completed"/>
    <x v="0"/>
    <s v="2023-03-24T03:22:17.772000+00:00"/>
    <n v="147"/>
    <n v="141"/>
    <n v="0.95918367346938771"/>
    <x v="642"/>
    <x v="0"/>
    <s v="44"/>
    <m/>
    <x v="14"/>
    <x v="14"/>
    <m/>
    <m/>
    <x v="0"/>
    <m/>
    <m/>
    <x v="166"/>
    <m/>
  </r>
  <r>
    <m/>
    <x v="0"/>
    <s v="d091538c-6802-433f-af87-b2047d444f9c"/>
    <s v="completed"/>
    <x v="0"/>
    <s v="2023-03-24T03:27:04.539000+00:00"/>
    <n v="147"/>
    <n v="142"/>
    <n v="0.96598639455782309"/>
    <x v="643"/>
    <x v="0"/>
    <s v="44"/>
    <m/>
    <x v="14"/>
    <x v="14"/>
    <m/>
    <m/>
    <x v="0"/>
    <m/>
    <m/>
    <x v="166"/>
    <m/>
  </r>
  <r>
    <m/>
    <x v="0"/>
    <s v="d091538c-6802-433f-af87-b2047d444f9c"/>
    <s v="completed"/>
    <x v="0"/>
    <s v="2023-03-24T03:32:03.449000+00:00"/>
    <n v="147"/>
    <n v="143"/>
    <n v="0.97278911564625847"/>
    <x v="244"/>
    <x v="0"/>
    <s v="44"/>
    <m/>
    <x v="14"/>
    <x v="14"/>
    <m/>
    <m/>
    <x v="0"/>
    <m/>
    <m/>
    <x v="166"/>
    <m/>
  </r>
  <r>
    <m/>
    <x v="0"/>
    <s v="d091538c-6802-433f-af87-b2047d444f9c"/>
    <s v="completed"/>
    <x v="0"/>
    <s v="2023-03-24T03:37:00.891000+00:00"/>
    <n v="147"/>
    <n v="144"/>
    <n v="0.97959183673469385"/>
    <x v="644"/>
    <x v="0"/>
    <s v="44"/>
    <m/>
    <x v="14"/>
    <x v="14"/>
    <m/>
    <m/>
    <x v="0"/>
    <m/>
    <m/>
    <x v="166"/>
    <m/>
  </r>
  <r>
    <m/>
    <x v="0"/>
    <s v="d091538c-6802-433f-af87-b2047d444f9c"/>
    <s v="completed"/>
    <x v="3"/>
    <s v="2023-03-24T03:42:18.985000+00:00"/>
    <n v="147"/>
    <n v="39"/>
    <n v="0.26530612244897961"/>
    <x v="4"/>
    <x v="0"/>
    <s v="44"/>
    <m/>
    <x v="2"/>
    <x v="2"/>
    <m/>
    <m/>
    <x v="0"/>
    <m/>
    <m/>
    <x v="166"/>
    <m/>
  </r>
  <r>
    <s v="44591bcc-cfc3-4f2d-a374-4a285f003222"/>
    <x v="0"/>
    <s v="7a28e75e-0a7f-49a0-bae4-cb07f2c27795"/>
    <s v="failed"/>
    <x v="0"/>
    <s v="2023-03-24T18:30:04.906000+00:00"/>
    <n v="215"/>
    <n v="32"/>
    <n v="0.14883720930232558"/>
    <x v="124"/>
    <x v="0"/>
    <s v="43"/>
    <s v="URL"/>
    <x v="18"/>
    <x v="18"/>
    <m/>
    <m/>
    <x v="0"/>
    <m/>
    <m/>
    <x v="166"/>
    <m/>
  </r>
  <r>
    <s v="1de7fa91-c980-48c2-88cc-6f5e91c1c07b"/>
    <x v="0"/>
    <s v="7a28e75e-0a7f-49a0-bae4-cb07f2c27795"/>
    <s v="failed"/>
    <x v="63"/>
    <s v="2023-03-24T19:50:25.545000+00:00"/>
    <n v="215"/>
    <n v="43"/>
    <n v="0.2"/>
    <x v="645"/>
    <x v="0"/>
    <s v="43"/>
    <s v="URL"/>
    <x v="38"/>
    <x v="26"/>
    <m/>
    <m/>
    <x v="0"/>
    <m/>
    <m/>
    <x v="166"/>
    <m/>
  </r>
  <r>
    <m/>
    <x v="0"/>
    <s v="7bea4189-c390-4c89-a8aa-389d3ff768c1"/>
    <s v="stopped"/>
    <x v="3"/>
    <s v="2023-03-25T07:47:39.664000+00:00"/>
    <n v="48"/>
    <n v="25"/>
    <n v="0.52083333333333337"/>
    <x v="4"/>
    <x v="0"/>
    <s v="43"/>
    <m/>
    <x v="2"/>
    <x v="2"/>
    <m/>
    <m/>
    <x v="0"/>
    <m/>
    <m/>
    <x v="165"/>
    <m/>
  </r>
  <r>
    <s v="5b7367d9-b2a7-4581-9788-0c6770cc77de"/>
    <x v="0"/>
    <s v="94436e79-9ec7-4246-945b-82b7aa2a3d06"/>
    <s v="failed"/>
    <x v="63"/>
    <s v="2023-03-25T19:13:31.710000+00:00"/>
    <n v="148"/>
    <n v="10"/>
    <n v="6.7567567567567571E-2"/>
    <x v="646"/>
    <x v="0"/>
    <s v="43"/>
    <s v="URL"/>
    <x v="38"/>
    <x v="26"/>
    <m/>
    <m/>
    <x v="0"/>
    <m/>
    <m/>
    <x v="165"/>
    <m/>
  </r>
  <r>
    <m/>
    <x v="0"/>
    <s v="72482e73-cd61-420d-8306-5abca2ec7c6b"/>
    <m/>
    <x v="0"/>
    <s v="2023-03-25T20:53:00.009000+00:00"/>
    <n v="145"/>
    <n v="52"/>
    <n v="0.35862068965517241"/>
    <x v="432"/>
    <x v="0"/>
    <s v="58"/>
    <m/>
    <x v="3"/>
    <x v="3"/>
    <m/>
    <m/>
    <x v="0"/>
    <m/>
    <m/>
    <x v="165"/>
    <m/>
  </r>
  <r>
    <m/>
    <x v="0"/>
    <s v="72482e73-cd61-420d-8306-5abca2ec7c6b"/>
    <m/>
    <x v="0"/>
    <s v="2023-03-25T20:53:00.009000+00:00"/>
    <n v="145"/>
    <n v="57"/>
    <n v="0.39310344827586208"/>
    <x v="647"/>
    <x v="0"/>
    <s v="58"/>
    <m/>
    <x v="3"/>
    <x v="3"/>
    <m/>
    <m/>
    <x v="0"/>
    <m/>
    <m/>
    <x v="165"/>
    <m/>
  </r>
  <r>
    <m/>
    <x v="0"/>
    <s v="72482e73-cd61-420d-8306-5abca2ec7c6b"/>
    <m/>
    <x v="0"/>
    <s v="2023-03-25T20:53:00.009000+00:00"/>
    <n v="145"/>
    <n v="62"/>
    <n v="0.42758620689655175"/>
    <x v="648"/>
    <x v="0"/>
    <s v="58"/>
    <m/>
    <x v="3"/>
    <x v="3"/>
    <m/>
    <m/>
    <x v="0"/>
    <m/>
    <m/>
    <x v="165"/>
    <m/>
  </r>
  <r>
    <m/>
    <x v="0"/>
    <s v="72482e73-cd61-420d-8306-5abca2ec7c6b"/>
    <m/>
    <x v="0"/>
    <s v="2023-03-25T20:53:00.009000+00:00"/>
    <n v="145"/>
    <n v="63"/>
    <n v="0.43448275862068964"/>
    <x v="495"/>
    <x v="0"/>
    <s v="58"/>
    <m/>
    <x v="3"/>
    <x v="3"/>
    <m/>
    <m/>
    <x v="0"/>
    <m/>
    <m/>
    <x v="165"/>
    <m/>
  </r>
  <r>
    <m/>
    <x v="0"/>
    <s v="72482e73-cd61-420d-8306-5abca2ec7c6b"/>
    <m/>
    <x v="0"/>
    <s v="2023-03-25T20:53:00.009000+00:00"/>
    <n v="145"/>
    <n v="65"/>
    <n v="0.44827586206896552"/>
    <x v="649"/>
    <x v="0"/>
    <s v="58"/>
    <m/>
    <x v="3"/>
    <x v="3"/>
    <m/>
    <m/>
    <x v="0"/>
    <m/>
    <m/>
    <x v="165"/>
    <m/>
  </r>
  <r>
    <m/>
    <x v="0"/>
    <s v="72482e73-cd61-420d-8306-5abca2ec7c6b"/>
    <m/>
    <x v="0"/>
    <s v="2023-03-25T20:53:00.009000+00:00"/>
    <n v="145"/>
    <n v="68"/>
    <n v="0.4689655172413793"/>
    <x v="650"/>
    <x v="0"/>
    <s v="58"/>
    <m/>
    <x v="3"/>
    <x v="3"/>
    <m/>
    <m/>
    <x v="0"/>
    <m/>
    <m/>
    <x v="165"/>
    <m/>
  </r>
  <r>
    <m/>
    <x v="0"/>
    <s v="72482e73-cd61-420d-8306-5abca2ec7c6b"/>
    <m/>
    <x v="0"/>
    <s v="2023-03-25T20:53:00.009000+00:00"/>
    <n v="145"/>
    <n v="69"/>
    <n v="0.47586206896551725"/>
    <x v="503"/>
    <x v="0"/>
    <s v="58"/>
    <m/>
    <x v="3"/>
    <x v="3"/>
    <m/>
    <m/>
    <x v="0"/>
    <m/>
    <m/>
    <x v="165"/>
    <m/>
  </r>
  <r>
    <m/>
    <x v="0"/>
    <s v="72482e73-cd61-420d-8306-5abca2ec7c6b"/>
    <m/>
    <x v="0"/>
    <s v="2023-03-25T20:53:00.009000+00:00"/>
    <n v="145"/>
    <n v="71"/>
    <n v="0.48965517241379308"/>
    <x v="496"/>
    <x v="0"/>
    <s v="58"/>
    <m/>
    <x v="3"/>
    <x v="3"/>
    <m/>
    <m/>
    <x v="0"/>
    <m/>
    <m/>
    <x v="165"/>
    <m/>
  </r>
  <r>
    <m/>
    <x v="0"/>
    <s v="72482e73-cd61-420d-8306-5abca2ec7c6b"/>
    <m/>
    <x v="0"/>
    <s v="2023-03-25T20:53:00.009000+00:00"/>
    <n v="145"/>
    <n v="74"/>
    <n v="0.51034482758620692"/>
    <x v="504"/>
    <x v="0"/>
    <s v="58"/>
    <m/>
    <x v="3"/>
    <x v="3"/>
    <m/>
    <m/>
    <x v="0"/>
    <m/>
    <m/>
    <x v="165"/>
    <m/>
  </r>
  <r>
    <m/>
    <x v="0"/>
    <s v="72482e73-cd61-420d-8306-5abca2ec7c6b"/>
    <m/>
    <x v="0"/>
    <s v="2023-03-25T20:53:00.009000+00:00"/>
    <n v="145"/>
    <n v="75"/>
    <n v="0.51724137931034486"/>
    <x v="651"/>
    <x v="0"/>
    <s v="58"/>
    <m/>
    <x v="3"/>
    <x v="3"/>
    <m/>
    <m/>
    <x v="0"/>
    <m/>
    <m/>
    <x v="165"/>
    <m/>
  </r>
  <r>
    <m/>
    <x v="0"/>
    <s v="72482e73-cd61-420d-8306-5abca2ec7c6b"/>
    <m/>
    <x v="0"/>
    <s v="2023-03-25T20:53:00.009000+00:00"/>
    <n v="145"/>
    <n v="76"/>
    <n v="0.52413793103448281"/>
    <x v="506"/>
    <x v="0"/>
    <s v="58"/>
    <m/>
    <x v="3"/>
    <x v="3"/>
    <m/>
    <m/>
    <x v="0"/>
    <m/>
    <m/>
    <x v="165"/>
    <m/>
  </r>
  <r>
    <m/>
    <x v="0"/>
    <s v="72482e73-cd61-420d-8306-5abca2ec7c6b"/>
    <m/>
    <x v="0"/>
    <s v="2023-03-25T20:53:00.009000+00:00"/>
    <n v="145"/>
    <n v="77"/>
    <n v="0.53103448275862064"/>
    <x v="652"/>
    <x v="0"/>
    <s v="58"/>
    <m/>
    <x v="3"/>
    <x v="3"/>
    <m/>
    <m/>
    <x v="0"/>
    <m/>
    <m/>
    <x v="165"/>
    <m/>
  </r>
  <r>
    <m/>
    <x v="0"/>
    <s v="72482e73-cd61-420d-8306-5abca2ec7c6b"/>
    <m/>
    <x v="0"/>
    <s v="2023-03-25T20:53:00.009000+00:00"/>
    <n v="145"/>
    <n v="78"/>
    <n v="0.53793103448275859"/>
    <x v="653"/>
    <x v="0"/>
    <s v="58"/>
    <m/>
    <x v="3"/>
    <x v="3"/>
    <m/>
    <m/>
    <x v="0"/>
    <m/>
    <m/>
    <x v="165"/>
    <m/>
  </r>
  <r>
    <m/>
    <x v="0"/>
    <s v="72482e73-cd61-420d-8306-5abca2ec7c6b"/>
    <m/>
    <x v="0"/>
    <s v="2023-03-25T20:53:00.009000+00:00"/>
    <n v="145"/>
    <n v="80"/>
    <n v="0.55172413793103448"/>
    <x v="654"/>
    <x v="0"/>
    <s v="58"/>
    <m/>
    <x v="3"/>
    <x v="3"/>
    <m/>
    <m/>
    <x v="0"/>
    <m/>
    <m/>
    <x v="165"/>
    <m/>
  </r>
  <r>
    <m/>
    <x v="0"/>
    <s v="72482e73-cd61-420d-8306-5abca2ec7c6b"/>
    <m/>
    <x v="0"/>
    <s v="2023-03-25T20:53:00.009000+00:00"/>
    <n v="145"/>
    <n v="81"/>
    <n v="0.55862068965517242"/>
    <x v="655"/>
    <x v="0"/>
    <s v="58"/>
    <m/>
    <x v="3"/>
    <x v="3"/>
    <m/>
    <m/>
    <x v="0"/>
    <m/>
    <m/>
    <x v="165"/>
    <m/>
  </r>
  <r>
    <m/>
    <x v="0"/>
    <s v="72482e73-cd61-420d-8306-5abca2ec7c6b"/>
    <m/>
    <x v="0"/>
    <s v="2023-03-25T20:53:00.009000+00:00"/>
    <n v="145"/>
    <n v="84"/>
    <n v="0.57931034482758625"/>
    <x v="656"/>
    <x v="0"/>
    <s v="58"/>
    <m/>
    <x v="3"/>
    <x v="3"/>
    <m/>
    <m/>
    <x v="0"/>
    <m/>
    <m/>
    <x v="165"/>
    <m/>
  </r>
  <r>
    <m/>
    <x v="0"/>
    <s v="72482e73-cd61-420d-8306-5abca2ec7c6b"/>
    <m/>
    <x v="0"/>
    <s v="2023-03-25T20:53:00.009000+00:00"/>
    <n v="145"/>
    <n v="85"/>
    <n v="0.58620689655172409"/>
    <x v="657"/>
    <x v="0"/>
    <s v="58"/>
    <m/>
    <x v="3"/>
    <x v="3"/>
    <m/>
    <m/>
    <x v="0"/>
    <m/>
    <m/>
    <x v="165"/>
    <m/>
  </r>
  <r>
    <m/>
    <x v="0"/>
    <s v="72482e73-cd61-420d-8306-5abca2ec7c6b"/>
    <m/>
    <x v="0"/>
    <s v="2023-03-25T20:53:00.009000+00:00"/>
    <n v="145"/>
    <n v="86"/>
    <n v="0.59310344827586203"/>
    <x v="658"/>
    <x v="0"/>
    <s v="58"/>
    <m/>
    <x v="3"/>
    <x v="3"/>
    <m/>
    <m/>
    <x v="0"/>
    <m/>
    <m/>
    <x v="165"/>
    <m/>
  </r>
  <r>
    <s v="eb425a3f-c780-49d4-bd33-b9de8ff206b8"/>
    <x v="0"/>
    <s v="72482e73-cd61-420d-8306-5abca2ec7c6b"/>
    <m/>
    <x v="0"/>
    <s v="2023-03-25T20:55:27.317000+00:00"/>
    <n v="145"/>
    <n v="0"/>
    <n v="0"/>
    <x v="487"/>
    <x v="0"/>
    <s v="58"/>
    <s v="URL"/>
    <x v="3"/>
    <x v="3"/>
    <m/>
    <m/>
    <x v="0"/>
    <m/>
    <m/>
    <x v="165"/>
    <m/>
  </r>
  <r>
    <s v="29b75944-ed98-4a7c-98b9-3056713872d8"/>
    <x v="0"/>
    <s v="72482e73-cd61-420d-8306-5abca2ec7c6b"/>
    <m/>
    <x v="0"/>
    <s v="2023-03-25T21:03:31.324000+00:00"/>
    <n v="145"/>
    <n v="1"/>
    <n v="6.8965517241379309E-3"/>
    <x v="659"/>
    <x v="0"/>
    <s v="58"/>
    <s v="URL"/>
    <x v="3"/>
    <x v="3"/>
    <m/>
    <m/>
    <x v="0"/>
    <m/>
    <m/>
    <x v="165"/>
    <m/>
  </r>
  <r>
    <s v="6fc9a762-0eca-40a5-bf8e-4244880d8092"/>
    <x v="0"/>
    <s v="72482e73-cd61-420d-8306-5abca2ec7c6b"/>
    <m/>
    <x v="0"/>
    <s v="2023-03-25T21:11:34.159000+00:00"/>
    <n v="145"/>
    <n v="2"/>
    <n v="1.3793103448275862E-2"/>
    <x v="660"/>
    <x v="0"/>
    <s v="58"/>
    <s v="URL"/>
    <x v="3"/>
    <x v="3"/>
    <m/>
    <m/>
    <x v="0"/>
    <m/>
    <m/>
    <x v="165"/>
    <m/>
  </r>
  <r>
    <s v="366e5f2e-d9db-4e99-9074-631df7b5d655"/>
    <x v="0"/>
    <s v="72482e73-cd61-420d-8306-5abca2ec7c6b"/>
    <m/>
    <x v="0"/>
    <s v="2023-03-25T21:19:47.627000+00:00"/>
    <n v="145"/>
    <n v="3"/>
    <n v="2.0689655172413793E-2"/>
    <x v="661"/>
    <x v="0"/>
    <s v="58"/>
    <s v="URL"/>
    <x v="3"/>
    <x v="3"/>
    <m/>
    <m/>
    <x v="0"/>
    <m/>
    <m/>
    <x v="165"/>
    <m/>
  </r>
  <r>
    <s v="cdcff032-f9da-415d-8083-8d53b76719f9"/>
    <x v="0"/>
    <s v="72482e73-cd61-420d-8306-5abca2ec7c6b"/>
    <m/>
    <x v="0"/>
    <s v="2023-03-25T21:27:50.270000+00:00"/>
    <n v="145"/>
    <n v="4"/>
    <n v="2.7586206896551724E-2"/>
    <x v="340"/>
    <x v="0"/>
    <s v="58"/>
    <s v="URL"/>
    <x v="3"/>
    <x v="3"/>
    <m/>
    <m/>
    <x v="0"/>
    <m/>
    <m/>
    <x v="165"/>
    <m/>
  </r>
  <r>
    <s v="28388b33-c214-4fc6-aaf9-0a411aecb0b4"/>
    <x v="0"/>
    <s v="72482e73-cd61-420d-8306-5abca2ec7c6b"/>
    <m/>
    <x v="0"/>
    <s v="2023-03-25T21:35:56.386000+00:00"/>
    <n v="145"/>
    <n v="5"/>
    <n v="3.4482758620689655E-2"/>
    <x v="341"/>
    <x v="0"/>
    <s v="58"/>
    <s v="URL"/>
    <x v="3"/>
    <x v="3"/>
    <m/>
    <m/>
    <x v="0"/>
    <m/>
    <m/>
    <x v="165"/>
    <m/>
  </r>
  <r>
    <s v="de12abdb-8898-4d25-bcc0-d8752b336713"/>
    <x v="0"/>
    <s v="72482e73-cd61-420d-8306-5abca2ec7c6b"/>
    <m/>
    <x v="0"/>
    <s v="2023-03-25T21:44:09.860000+00:00"/>
    <n v="145"/>
    <n v="6"/>
    <n v="4.1379310344827586E-2"/>
    <x v="342"/>
    <x v="0"/>
    <s v="58"/>
    <s v="URL"/>
    <x v="3"/>
    <x v="3"/>
    <m/>
    <m/>
    <x v="0"/>
    <m/>
    <m/>
    <x v="165"/>
    <m/>
  </r>
  <r>
    <s v="fcbc2506-8b07-4e7f-a357-c14f9ded3be9"/>
    <x v="0"/>
    <s v="72482e73-cd61-420d-8306-5abca2ec7c6b"/>
    <m/>
    <x v="0"/>
    <s v="2023-03-25T21:52:11.533000+00:00"/>
    <n v="145"/>
    <n v="7"/>
    <n v="4.8275862068965517E-2"/>
    <x v="662"/>
    <x v="0"/>
    <s v="58"/>
    <s v="URL"/>
    <x v="3"/>
    <x v="3"/>
    <m/>
    <m/>
    <x v="0"/>
    <m/>
    <m/>
    <x v="165"/>
    <m/>
  </r>
  <r>
    <s v="303d0e21-b754-4b5d-93e1-63b602ca8616"/>
    <x v="0"/>
    <s v="72482e73-cd61-420d-8306-5abca2ec7c6b"/>
    <m/>
    <x v="0"/>
    <s v="2023-03-25T22:00:14.661000+00:00"/>
    <n v="145"/>
    <n v="8"/>
    <n v="5.5172413793103448E-2"/>
    <x v="663"/>
    <x v="0"/>
    <s v="58"/>
    <s v="URL"/>
    <x v="3"/>
    <x v="3"/>
    <m/>
    <m/>
    <x v="0"/>
    <m/>
    <m/>
    <x v="165"/>
    <m/>
  </r>
  <r>
    <s v="6f829d68-e44f-43da-bc0b-ddc3454fa552"/>
    <x v="0"/>
    <s v="72482e73-cd61-420d-8306-5abca2ec7c6b"/>
    <m/>
    <x v="0"/>
    <s v="2023-03-25T22:08:18.975000+00:00"/>
    <n v="145"/>
    <n v="9"/>
    <n v="6.2068965517241378E-2"/>
    <x v="664"/>
    <x v="0"/>
    <s v="58"/>
    <s v="URL"/>
    <x v="3"/>
    <x v="3"/>
    <m/>
    <m/>
    <x v="0"/>
    <m/>
    <m/>
    <x v="165"/>
    <m/>
  </r>
  <r>
    <s v="a19420e0-6cfd-42ea-839e-3ca359f7cf03"/>
    <x v="0"/>
    <s v="72482e73-cd61-420d-8306-5abca2ec7c6b"/>
    <m/>
    <x v="0"/>
    <s v="2023-03-25T22:16:23.159000+00:00"/>
    <n v="145"/>
    <n v="10"/>
    <n v="6.8965517241379309E-2"/>
    <x v="665"/>
    <x v="0"/>
    <s v="58"/>
    <s v="URL"/>
    <x v="3"/>
    <x v="3"/>
    <m/>
    <m/>
    <x v="0"/>
    <m/>
    <m/>
    <x v="165"/>
    <m/>
  </r>
  <r>
    <s v="2683b6d9-2898-49da-a091-7768b92ce253"/>
    <x v="0"/>
    <s v="72482e73-cd61-420d-8306-5abca2ec7c6b"/>
    <m/>
    <x v="0"/>
    <s v="2023-03-25T22:24:25.195000+00:00"/>
    <n v="145"/>
    <n v="11"/>
    <n v="7.586206896551724E-2"/>
    <x v="414"/>
    <x v="0"/>
    <s v="58"/>
    <s v="URL"/>
    <x v="3"/>
    <x v="3"/>
    <m/>
    <m/>
    <x v="0"/>
    <m/>
    <m/>
    <x v="165"/>
    <m/>
  </r>
  <r>
    <s v="8bfb3707-4adb-4edd-ac38-f9efa0177a76"/>
    <x v="0"/>
    <s v="72482e73-cd61-420d-8306-5abca2ec7c6b"/>
    <m/>
    <x v="0"/>
    <s v="2023-03-25T22:32:27.945000+00:00"/>
    <n v="145"/>
    <n v="12"/>
    <n v="8.2758620689655171E-2"/>
    <x v="666"/>
    <x v="0"/>
    <s v="58"/>
    <s v="URL"/>
    <x v="3"/>
    <x v="3"/>
    <m/>
    <m/>
    <x v="0"/>
    <m/>
    <m/>
    <x v="165"/>
    <m/>
  </r>
  <r>
    <s v="397b3c9a-c089-461e-8897-a4c40d4912d4"/>
    <x v="0"/>
    <s v="72482e73-cd61-420d-8306-5abca2ec7c6b"/>
    <m/>
    <x v="0"/>
    <s v="2023-03-25T22:40:38.126000+00:00"/>
    <n v="145"/>
    <n v="13"/>
    <n v="8.9655172413793102E-2"/>
    <x v="667"/>
    <x v="0"/>
    <s v="58"/>
    <s v="URL"/>
    <x v="3"/>
    <x v="3"/>
    <m/>
    <m/>
    <x v="0"/>
    <m/>
    <m/>
    <x v="165"/>
    <m/>
  </r>
  <r>
    <s v="e34943a8-84c5-4874-9780-25f9324b4bc6"/>
    <x v="0"/>
    <s v="72482e73-cd61-420d-8306-5abca2ec7c6b"/>
    <m/>
    <x v="0"/>
    <s v="2023-03-25T22:48:43.066000+00:00"/>
    <n v="145"/>
    <n v="14"/>
    <n v="9.6551724137931033E-2"/>
    <x v="668"/>
    <x v="0"/>
    <s v="58"/>
    <s v="URL"/>
    <x v="3"/>
    <x v="3"/>
    <m/>
    <m/>
    <x v="0"/>
    <m/>
    <m/>
    <x v="165"/>
    <m/>
  </r>
  <r>
    <s v="0640df65-3ee7-4f5d-a890-11fa240f00fc"/>
    <x v="0"/>
    <s v="72482e73-cd61-420d-8306-5abca2ec7c6b"/>
    <m/>
    <x v="0"/>
    <s v="2023-03-25T22:56:48.890000+00:00"/>
    <n v="145"/>
    <n v="15"/>
    <n v="0.10344827586206896"/>
    <x v="669"/>
    <x v="0"/>
    <s v="58"/>
    <s v="URL"/>
    <x v="3"/>
    <x v="3"/>
    <m/>
    <m/>
    <x v="0"/>
    <m/>
    <m/>
    <x v="165"/>
    <m/>
  </r>
  <r>
    <s v="cdb2f608-7aa8-4cdd-9a7f-a3f376e61bc0"/>
    <x v="0"/>
    <s v="72482e73-cd61-420d-8306-5abca2ec7c6b"/>
    <m/>
    <x v="0"/>
    <s v="2023-03-25T23:04:51.162000+00:00"/>
    <n v="145"/>
    <n v="16"/>
    <n v="0.1103448275862069"/>
    <x v="670"/>
    <x v="0"/>
    <s v="58"/>
    <s v="URL"/>
    <x v="3"/>
    <x v="3"/>
    <m/>
    <m/>
    <x v="0"/>
    <m/>
    <m/>
    <x v="165"/>
    <m/>
  </r>
  <r>
    <s v="df48f3dc-b791-439c-b357-895b2a6c97f9"/>
    <x v="0"/>
    <s v="72482e73-cd61-420d-8306-5abca2ec7c6b"/>
    <m/>
    <x v="0"/>
    <s v="2023-03-25T23:12:53.541000+00:00"/>
    <n v="145"/>
    <n v="17"/>
    <n v="0.11724137931034483"/>
    <x v="671"/>
    <x v="0"/>
    <s v="58"/>
    <s v="URL"/>
    <x v="3"/>
    <x v="3"/>
    <m/>
    <m/>
    <x v="0"/>
    <m/>
    <m/>
    <x v="165"/>
    <m/>
  </r>
  <r>
    <s v="dcfa3805-94aa-408b-b695-2d4c0908b30e"/>
    <x v="0"/>
    <s v="72482e73-cd61-420d-8306-5abca2ec7c6b"/>
    <m/>
    <x v="0"/>
    <s v="2023-03-25T23:20:55.435000+00:00"/>
    <n v="145"/>
    <n v="18"/>
    <n v="0.12413793103448276"/>
    <x v="672"/>
    <x v="0"/>
    <s v="58"/>
    <s v="URL"/>
    <x v="3"/>
    <x v="3"/>
    <m/>
    <m/>
    <x v="0"/>
    <m/>
    <m/>
    <x v="165"/>
    <m/>
  </r>
  <r>
    <s v="d616dacc-1917-4fca-816b-8ac63ac4fe3a"/>
    <x v="0"/>
    <s v="72482e73-cd61-420d-8306-5abca2ec7c6b"/>
    <m/>
    <x v="0"/>
    <s v="2023-03-25T23:29:00.431000+00:00"/>
    <n v="145"/>
    <n v="19"/>
    <n v="0.1310344827586207"/>
    <x v="673"/>
    <x v="0"/>
    <s v="58"/>
    <s v="URL"/>
    <x v="3"/>
    <x v="3"/>
    <m/>
    <m/>
    <x v="0"/>
    <m/>
    <m/>
    <x v="165"/>
    <m/>
  </r>
  <r>
    <s v="10a03c28-605c-4cd0-b1df-1e19ff44cc02"/>
    <x v="0"/>
    <s v="72482e73-cd61-420d-8306-5abca2ec7c6b"/>
    <m/>
    <x v="0"/>
    <s v="2023-03-25T23:37:11.343000+00:00"/>
    <n v="145"/>
    <n v="20"/>
    <n v="0.13793103448275862"/>
    <x v="674"/>
    <x v="0"/>
    <s v="58"/>
    <s v="URL"/>
    <x v="3"/>
    <x v="3"/>
    <m/>
    <m/>
    <x v="0"/>
    <m/>
    <m/>
    <x v="165"/>
    <m/>
  </r>
  <r>
    <s v="35b42c08-816e-4fb2-96d5-e74520f00439"/>
    <x v="0"/>
    <s v="72482e73-cd61-420d-8306-5abca2ec7c6b"/>
    <m/>
    <x v="0"/>
    <s v="2023-03-25T23:45:15.105000+00:00"/>
    <n v="145"/>
    <n v="21"/>
    <n v="0.14482758620689656"/>
    <x v="675"/>
    <x v="0"/>
    <s v="58"/>
    <s v="URL"/>
    <x v="3"/>
    <x v="3"/>
    <m/>
    <m/>
    <x v="0"/>
    <m/>
    <m/>
    <x v="165"/>
    <m/>
  </r>
  <r>
    <s v="274e9815-cca9-4305-a371-3e610d5f5f7c"/>
    <x v="0"/>
    <s v="72482e73-cd61-420d-8306-5abca2ec7c6b"/>
    <m/>
    <x v="0"/>
    <s v="2023-03-25T23:53:16.467000+00:00"/>
    <n v="145"/>
    <n v="22"/>
    <n v="0.15172413793103448"/>
    <x v="676"/>
    <x v="0"/>
    <s v="58"/>
    <s v="URL"/>
    <x v="3"/>
    <x v="3"/>
    <m/>
    <m/>
    <x v="0"/>
    <m/>
    <m/>
    <x v="165"/>
    <m/>
  </r>
  <r>
    <s v="e1c4e68d-fa61-4f4b-8da4-bcbc201a6ee2"/>
    <x v="0"/>
    <s v="72482e73-cd61-420d-8306-5abca2ec7c6b"/>
    <m/>
    <x v="0"/>
    <s v="2023-03-26T00:01:22.678000+00:00"/>
    <n v="145"/>
    <n v="23"/>
    <n v="0.15862068965517243"/>
    <x v="677"/>
    <x v="0"/>
    <s v="58"/>
    <s v="URL"/>
    <x v="3"/>
    <x v="3"/>
    <m/>
    <m/>
    <x v="0"/>
    <m/>
    <m/>
    <x v="164"/>
    <m/>
  </r>
  <r>
    <s v="b7d79a6b-d45b-4b01-8229-e842e6452d15"/>
    <x v="0"/>
    <s v="72482e73-cd61-420d-8306-5abca2ec7c6b"/>
    <m/>
    <x v="0"/>
    <s v="2023-03-26T00:09:35.064000+00:00"/>
    <n v="145"/>
    <n v="24"/>
    <n v="0.16551724137931034"/>
    <x v="678"/>
    <x v="0"/>
    <s v="58"/>
    <s v="URL"/>
    <x v="3"/>
    <x v="3"/>
    <m/>
    <m/>
    <x v="0"/>
    <m/>
    <m/>
    <x v="164"/>
    <m/>
  </r>
  <r>
    <s v="1512d21d-e1aa-4828-843b-b1cf7af567b5"/>
    <x v="0"/>
    <s v="72482e73-cd61-420d-8306-5abca2ec7c6b"/>
    <m/>
    <x v="0"/>
    <s v="2023-03-26T00:17:38.092000+00:00"/>
    <n v="145"/>
    <n v="25"/>
    <n v="0.17241379310344829"/>
    <x v="425"/>
    <x v="0"/>
    <s v="58"/>
    <s v="URL"/>
    <x v="3"/>
    <x v="3"/>
    <m/>
    <m/>
    <x v="0"/>
    <m/>
    <m/>
    <x v="164"/>
    <m/>
  </r>
  <r>
    <s v="30eebcca-96e0-48d9-8cb0-456b6bddffbf"/>
    <x v="0"/>
    <s v="72482e73-cd61-420d-8306-5abca2ec7c6b"/>
    <m/>
    <x v="0"/>
    <s v="2023-03-26T00:25:42.152000+00:00"/>
    <n v="145"/>
    <n v="26"/>
    <n v="0.1793103448275862"/>
    <x v="419"/>
    <x v="0"/>
    <s v="58"/>
    <s v="URL"/>
    <x v="3"/>
    <x v="3"/>
    <m/>
    <m/>
    <x v="0"/>
    <m/>
    <m/>
    <x v="164"/>
    <m/>
  </r>
  <r>
    <s v="a304e7b7-5d08-45ac-8b58-67b3ab58e8f5"/>
    <x v="0"/>
    <s v="72482e73-cd61-420d-8306-5abca2ec7c6b"/>
    <m/>
    <x v="0"/>
    <s v="2023-03-26T00:33:49.025000+00:00"/>
    <n v="145"/>
    <n v="27"/>
    <n v="0.18620689655172415"/>
    <x v="679"/>
    <x v="0"/>
    <s v="58"/>
    <s v="URL"/>
    <x v="3"/>
    <x v="3"/>
    <m/>
    <m/>
    <x v="0"/>
    <m/>
    <m/>
    <x v="164"/>
    <m/>
  </r>
  <r>
    <s v="a40032a6-9d07-4b60-9672-bc27c851de14"/>
    <x v="0"/>
    <s v="72482e73-cd61-420d-8306-5abca2ec7c6b"/>
    <m/>
    <x v="0"/>
    <s v="2023-03-26T00:41:53.375000+00:00"/>
    <n v="145"/>
    <n v="28"/>
    <n v="0.19310344827586207"/>
    <x v="383"/>
    <x v="0"/>
    <s v="58"/>
    <s v="URL"/>
    <x v="3"/>
    <x v="3"/>
    <m/>
    <m/>
    <x v="0"/>
    <m/>
    <m/>
    <x v="164"/>
    <m/>
  </r>
  <r>
    <s v="6d7811cf-d562-4dea-9221-6f2afe7da2d6"/>
    <x v="0"/>
    <s v="72482e73-cd61-420d-8306-5abca2ec7c6b"/>
    <m/>
    <x v="0"/>
    <s v="2023-03-26T00:49:56.370000+00:00"/>
    <n v="145"/>
    <n v="29"/>
    <n v="0.2"/>
    <x v="680"/>
    <x v="0"/>
    <s v="58"/>
    <s v="URL"/>
    <x v="3"/>
    <x v="3"/>
    <m/>
    <m/>
    <x v="0"/>
    <m/>
    <m/>
    <x v="164"/>
    <m/>
  </r>
  <r>
    <s v="28bb39a6-610c-47dd-a057-78edaa9415ad"/>
    <x v="0"/>
    <s v="72482e73-cd61-420d-8306-5abca2ec7c6b"/>
    <m/>
    <x v="0"/>
    <s v="2023-03-26T00:57:58.944000+00:00"/>
    <n v="145"/>
    <n v="30"/>
    <n v="0.20689655172413793"/>
    <x v="681"/>
    <x v="0"/>
    <s v="58"/>
    <s v="URL"/>
    <x v="3"/>
    <x v="3"/>
    <m/>
    <m/>
    <x v="0"/>
    <m/>
    <m/>
    <x v="164"/>
    <m/>
  </r>
  <r>
    <s v="96ceed52-de36-4e37-ae29-434bd0380118"/>
    <x v="0"/>
    <s v="72482e73-cd61-420d-8306-5abca2ec7c6b"/>
    <m/>
    <x v="0"/>
    <s v="2023-03-26T01:06:02.029000+00:00"/>
    <n v="145"/>
    <n v="31"/>
    <n v="0.21379310344827587"/>
    <x v="682"/>
    <x v="0"/>
    <s v="58"/>
    <s v="URL"/>
    <x v="3"/>
    <x v="3"/>
    <m/>
    <m/>
    <x v="0"/>
    <m/>
    <m/>
    <x v="164"/>
    <m/>
  </r>
  <r>
    <s v="d88bef20-8051-4723-a238-b87d6829f07d"/>
    <x v="0"/>
    <s v="72482e73-cd61-420d-8306-5abca2ec7c6b"/>
    <m/>
    <x v="0"/>
    <s v="2023-03-26T01:14:02.990000+00:00"/>
    <n v="145"/>
    <n v="32"/>
    <n v="0.22068965517241379"/>
    <x v="489"/>
    <x v="0"/>
    <s v="58"/>
    <s v="URL"/>
    <x v="3"/>
    <x v="3"/>
    <m/>
    <m/>
    <x v="0"/>
    <m/>
    <m/>
    <x v="164"/>
    <m/>
  </r>
  <r>
    <s v="2ee9c506-425d-4686-ba83-86845ed5aee8"/>
    <x v="0"/>
    <s v="72482e73-cd61-420d-8306-5abca2ec7c6b"/>
    <m/>
    <x v="0"/>
    <s v="2023-03-26T01:22:00.329000+00:00"/>
    <n v="145"/>
    <n v="33"/>
    <n v="0.22758620689655173"/>
    <x v="683"/>
    <x v="0"/>
    <s v="58"/>
    <s v="URL"/>
    <x v="3"/>
    <x v="3"/>
    <m/>
    <m/>
    <x v="0"/>
    <m/>
    <m/>
    <x v="164"/>
    <m/>
  </r>
  <r>
    <s v="5a62258f-ff2f-456f-a8b1-82100a99feb8"/>
    <x v="0"/>
    <s v="72482e73-cd61-420d-8306-5abca2ec7c6b"/>
    <m/>
    <x v="0"/>
    <s v="2023-03-26T01:30:11.033000+00:00"/>
    <n v="145"/>
    <n v="34"/>
    <n v="0.23448275862068965"/>
    <x v="684"/>
    <x v="0"/>
    <s v="58"/>
    <s v="URL"/>
    <x v="3"/>
    <x v="3"/>
    <m/>
    <m/>
    <x v="0"/>
    <m/>
    <m/>
    <x v="164"/>
    <m/>
  </r>
  <r>
    <s v="ff1138e0-9e24-4c66-8494-42979f18aa03"/>
    <x v="0"/>
    <s v="72482e73-cd61-420d-8306-5abca2ec7c6b"/>
    <m/>
    <x v="0"/>
    <s v="2023-03-26T01:38:13.809000+00:00"/>
    <n v="145"/>
    <n v="35"/>
    <n v="0.2413793103448276"/>
    <x v="685"/>
    <x v="0"/>
    <s v="58"/>
    <s v="URL"/>
    <x v="3"/>
    <x v="3"/>
    <m/>
    <m/>
    <x v="0"/>
    <m/>
    <m/>
    <x v="164"/>
    <m/>
  </r>
  <r>
    <s v="228054bd-e939-4687-a5dd-f2f553aa5904"/>
    <x v="0"/>
    <s v="72482e73-cd61-420d-8306-5abca2ec7c6b"/>
    <m/>
    <x v="0"/>
    <s v="2023-03-26T01:46:14.811000+00:00"/>
    <n v="145"/>
    <n v="36"/>
    <n v="0.24827586206896551"/>
    <x v="686"/>
    <x v="0"/>
    <s v="58"/>
    <s v="URL"/>
    <x v="3"/>
    <x v="3"/>
    <m/>
    <m/>
    <x v="0"/>
    <m/>
    <m/>
    <x v="164"/>
    <m/>
  </r>
  <r>
    <s v="eaa4309b-71bc-4aae-8506-daf791c4bd7e"/>
    <x v="0"/>
    <s v="72482e73-cd61-420d-8306-5abca2ec7c6b"/>
    <m/>
    <x v="0"/>
    <s v="2023-03-26T01:54:27.735000+00:00"/>
    <n v="145"/>
    <n v="37"/>
    <n v="0.25517241379310346"/>
    <x v="687"/>
    <x v="0"/>
    <s v="58"/>
    <s v="URL"/>
    <x v="3"/>
    <x v="3"/>
    <m/>
    <m/>
    <x v="0"/>
    <m/>
    <m/>
    <x v="164"/>
    <m/>
  </r>
  <r>
    <s v="651ac244-dcc7-4b21-b4c3-58e445aa27b1"/>
    <x v="0"/>
    <s v="72482e73-cd61-420d-8306-5abca2ec7c6b"/>
    <m/>
    <x v="0"/>
    <s v="2023-03-26T02:02:30.007000+00:00"/>
    <n v="145"/>
    <n v="38"/>
    <n v="0.2620689655172414"/>
    <x v="688"/>
    <x v="0"/>
    <s v="58"/>
    <s v="URL"/>
    <x v="3"/>
    <x v="3"/>
    <m/>
    <m/>
    <x v="0"/>
    <m/>
    <m/>
    <x v="164"/>
    <m/>
  </r>
  <r>
    <s v="54ce9bfa-49e0-4a57-b6dd-9de17c16ae56"/>
    <x v="0"/>
    <s v="72482e73-cd61-420d-8306-5abca2ec7c6b"/>
    <m/>
    <x v="0"/>
    <s v="2023-03-26T02:10:31.894000+00:00"/>
    <n v="145"/>
    <n v="39"/>
    <n v="0.26896551724137929"/>
    <x v="430"/>
    <x v="0"/>
    <s v="58"/>
    <s v="URL"/>
    <x v="3"/>
    <x v="3"/>
    <m/>
    <m/>
    <x v="0"/>
    <m/>
    <m/>
    <x v="164"/>
    <m/>
  </r>
  <r>
    <s v="774b7d98-6a36-43a9-be76-cf6665b18f98"/>
    <x v="0"/>
    <s v="72482e73-cd61-420d-8306-5abca2ec7c6b"/>
    <m/>
    <x v="0"/>
    <s v="2023-03-26T02:18:33.789000+00:00"/>
    <n v="145"/>
    <n v="40"/>
    <n v="0.27586206896551724"/>
    <x v="431"/>
    <x v="0"/>
    <s v="58"/>
    <s v="URL"/>
    <x v="3"/>
    <x v="3"/>
    <m/>
    <m/>
    <x v="0"/>
    <m/>
    <m/>
    <x v="164"/>
    <m/>
  </r>
  <r>
    <s v="4a85b8eb-39bd-461e-8f2c-7c293e12fafe"/>
    <x v="0"/>
    <s v="72482e73-cd61-420d-8306-5abca2ec7c6b"/>
    <m/>
    <x v="0"/>
    <s v="2023-03-26T02:26:45.777000+00:00"/>
    <n v="145"/>
    <n v="41"/>
    <n v="0.28275862068965518"/>
    <x v="689"/>
    <x v="0"/>
    <s v="58"/>
    <s v="URL"/>
    <x v="3"/>
    <x v="3"/>
    <m/>
    <m/>
    <x v="0"/>
    <m/>
    <m/>
    <x v="164"/>
    <m/>
  </r>
  <r>
    <s v="577b520f-3b25-48df-8bf8-4f325a844345"/>
    <x v="0"/>
    <s v="72482e73-cd61-420d-8306-5abca2ec7c6b"/>
    <m/>
    <x v="0"/>
    <s v="2023-03-26T02:34:49.154000+00:00"/>
    <n v="145"/>
    <n v="42"/>
    <n v="0.28965517241379313"/>
    <x v="690"/>
    <x v="0"/>
    <s v="58"/>
    <s v="URL"/>
    <x v="3"/>
    <x v="3"/>
    <m/>
    <m/>
    <x v="0"/>
    <m/>
    <m/>
    <x v="164"/>
    <m/>
  </r>
  <r>
    <s v="cef6e8fb-eb42-4942-8a89-2e0a62ad0505"/>
    <x v="0"/>
    <s v="72482e73-cd61-420d-8306-5abca2ec7c6b"/>
    <m/>
    <x v="0"/>
    <s v="2023-03-26T02:42:51.426000+00:00"/>
    <n v="145"/>
    <n v="43"/>
    <n v="0.29655172413793102"/>
    <x v="691"/>
    <x v="0"/>
    <s v="58"/>
    <s v="URL"/>
    <x v="3"/>
    <x v="3"/>
    <m/>
    <m/>
    <x v="0"/>
    <m/>
    <m/>
    <x v="164"/>
    <m/>
  </r>
  <r>
    <s v="3332e04b-5167-48bd-bfdd-e711f8acbe79"/>
    <x v="0"/>
    <s v="72482e73-cd61-420d-8306-5abca2ec7c6b"/>
    <m/>
    <x v="0"/>
    <s v="2023-03-26T02:50:49.355000+00:00"/>
    <n v="145"/>
    <n v="44"/>
    <n v="0.30344827586206896"/>
    <x v="692"/>
    <x v="0"/>
    <s v="58"/>
    <s v="URL"/>
    <x v="3"/>
    <x v="3"/>
    <m/>
    <m/>
    <x v="0"/>
    <m/>
    <m/>
    <x v="164"/>
    <m/>
  </r>
  <r>
    <s v="ae9234b4-f587-4894-99b3-22b4ba6c91e3"/>
    <x v="0"/>
    <s v="72482e73-cd61-420d-8306-5abca2ec7c6b"/>
    <m/>
    <x v="0"/>
    <s v="2023-03-26T02:58:51.998000+00:00"/>
    <n v="145"/>
    <n v="45"/>
    <n v="0.31034482758620691"/>
    <x v="693"/>
    <x v="0"/>
    <s v="58"/>
    <s v="URL"/>
    <x v="3"/>
    <x v="3"/>
    <m/>
    <m/>
    <x v="0"/>
    <m/>
    <m/>
    <x v="164"/>
    <m/>
  </r>
  <r>
    <s v="7a08f760-7168-40fb-a888-18b583b97d54"/>
    <x v="0"/>
    <s v="72482e73-cd61-420d-8306-5abca2ec7c6b"/>
    <m/>
    <x v="0"/>
    <s v="2023-03-26T03:06:52.831000+00:00"/>
    <n v="145"/>
    <n v="46"/>
    <n v="0.31724137931034485"/>
    <x v="694"/>
    <x v="0"/>
    <s v="58"/>
    <s v="URL"/>
    <x v="3"/>
    <x v="3"/>
    <m/>
    <m/>
    <x v="0"/>
    <m/>
    <m/>
    <x v="164"/>
    <m/>
  </r>
  <r>
    <s v="eeab035f-cd79-4891-9c8c-db523b5f68f2"/>
    <x v="0"/>
    <s v="72482e73-cd61-420d-8306-5abca2ec7c6b"/>
    <m/>
    <x v="0"/>
    <s v="2023-03-26T03:14:55.591000+00:00"/>
    <n v="145"/>
    <n v="47"/>
    <n v="0.32413793103448274"/>
    <x v="695"/>
    <x v="0"/>
    <s v="58"/>
    <s v="URL"/>
    <x v="3"/>
    <x v="3"/>
    <m/>
    <m/>
    <x v="0"/>
    <m/>
    <m/>
    <x v="164"/>
    <m/>
  </r>
  <r>
    <s v="9cd58d85-ed93-4e64-8177-572788a8609f"/>
    <x v="0"/>
    <s v="72482e73-cd61-420d-8306-5abca2ec7c6b"/>
    <m/>
    <x v="0"/>
    <s v="2023-03-26T03:23:05.600000+00:00"/>
    <n v="145"/>
    <n v="48"/>
    <n v="0.33103448275862069"/>
    <x v="491"/>
    <x v="0"/>
    <s v="58"/>
    <s v="URL"/>
    <x v="3"/>
    <x v="3"/>
    <m/>
    <m/>
    <x v="0"/>
    <m/>
    <m/>
    <x v="164"/>
    <m/>
  </r>
  <r>
    <s v="fe3bf169-d82a-4354-9916-4c84bd85bf96"/>
    <x v="0"/>
    <s v="72482e73-cd61-420d-8306-5abca2ec7c6b"/>
    <m/>
    <x v="0"/>
    <s v="2023-03-26T03:31:07.510000+00:00"/>
    <n v="145"/>
    <n v="49"/>
    <n v="0.33793103448275863"/>
    <x v="492"/>
    <x v="0"/>
    <s v="58"/>
    <s v="URL"/>
    <x v="3"/>
    <x v="3"/>
    <m/>
    <m/>
    <x v="0"/>
    <m/>
    <m/>
    <x v="164"/>
    <m/>
  </r>
  <r>
    <s v="b6edecc0-01e8-4202-adb7-a6205185d935"/>
    <x v="0"/>
    <s v="72482e73-cd61-420d-8306-5abca2ec7c6b"/>
    <m/>
    <x v="0"/>
    <s v="2023-03-26T03:39:19.997000+00:00"/>
    <n v="145"/>
    <n v="50"/>
    <n v="0.34482758620689657"/>
    <x v="696"/>
    <x v="0"/>
    <s v="58"/>
    <s v="URL"/>
    <x v="3"/>
    <x v="3"/>
    <m/>
    <m/>
    <x v="0"/>
    <m/>
    <m/>
    <x v="164"/>
    <m/>
  </r>
  <r>
    <s v="ae0eec25-7e2e-4855-867f-14e8412e5f4f"/>
    <x v="0"/>
    <s v="72482e73-cd61-420d-8306-5abca2ec7c6b"/>
    <m/>
    <x v="0"/>
    <s v="2023-03-26T03:47:22.806000+00:00"/>
    <n v="145"/>
    <n v="51"/>
    <n v="0.35172413793103446"/>
    <x v="462"/>
    <x v="0"/>
    <s v="58"/>
    <s v="URL"/>
    <x v="3"/>
    <x v="3"/>
    <m/>
    <m/>
    <x v="0"/>
    <m/>
    <m/>
    <x v="164"/>
    <m/>
  </r>
  <r>
    <s v="6177cd63-e8da-423d-8121-af3109b46fd8"/>
    <x v="0"/>
    <s v="72482e73-cd61-420d-8306-5abca2ec7c6b"/>
    <m/>
    <x v="0"/>
    <s v="2023-03-26T04:03:20.097000+00:00"/>
    <n v="145"/>
    <n v="53"/>
    <n v="0.36551724137931035"/>
    <x v="461"/>
    <x v="0"/>
    <s v="58"/>
    <s v="URL"/>
    <x v="3"/>
    <x v="3"/>
    <m/>
    <m/>
    <x v="0"/>
    <m/>
    <m/>
    <x v="164"/>
    <m/>
  </r>
  <r>
    <s v="4554f44b-8ed5-4a11-9b46-a1df7e4a3137"/>
    <x v="0"/>
    <s v="72482e73-cd61-420d-8306-5abca2ec7c6b"/>
    <m/>
    <x v="0"/>
    <s v="2023-03-26T04:11:23.234000+00:00"/>
    <n v="145"/>
    <n v="54"/>
    <n v="0.3724137931034483"/>
    <x v="493"/>
    <x v="0"/>
    <s v="58"/>
    <s v="URL"/>
    <x v="3"/>
    <x v="3"/>
    <m/>
    <m/>
    <x v="0"/>
    <m/>
    <m/>
    <x v="164"/>
    <m/>
  </r>
  <r>
    <s v="d63387e0-ec05-4798-8bca-54af315ca92e"/>
    <x v="0"/>
    <s v="72482e73-cd61-420d-8306-5abca2ec7c6b"/>
    <m/>
    <x v="0"/>
    <s v="2023-03-26T04:19:31.751000+00:00"/>
    <n v="145"/>
    <n v="55"/>
    <n v="0.37931034482758619"/>
    <x v="697"/>
    <x v="0"/>
    <s v="58"/>
    <s v="URL"/>
    <x v="3"/>
    <x v="3"/>
    <m/>
    <m/>
    <x v="0"/>
    <m/>
    <m/>
    <x v="164"/>
    <m/>
  </r>
  <r>
    <s v="88e191fa-e62f-46d2-a128-323bbb36a3ed"/>
    <x v="0"/>
    <s v="72482e73-cd61-420d-8306-5abca2ec7c6b"/>
    <m/>
    <x v="0"/>
    <s v="2023-03-26T04:27:35.175000+00:00"/>
    <n v="145"/>
    <n v="56"/>
    <n v="0.38620689655172413"/>
    <x v="698"/>
    <x v="0"/>
    <s v="58"/>
    <s v="URL"/>
    <x v="3"/>
    <x v="3"/>
    <m/>
    <m/>
    <x v="0"/>
    <m/>
    <m/>
    <x v="164"/>
    <m/>
  </r>
  <r>
    <s v="c74b00c2-93eb-4419-9843-0b618e3766d1"/>
    <x v="0"/>
    <s v="72482e73-cd61-420d-8306-5abca2ec7c6b"/>
    <m/>
    <x v="0"/>
    <s v="2023-03-26T04:51:37.859000+00:00"/>
    <n v="145"/>
    <n v="58"/>
    <n v="0.4"/>
    <x v="483"/>
    <x v="0"/>
    <s v="58"/>
    <s v="URL"/>
    <x v="3"/>
    <x v="3"/>
    <m/>
    <m/>
    <x v="0"/>
    <m/>
    <m/>
    <x v="164"/>
    <m/>
  </r>
  <r>
    <s v="c74b00c2-93eb-4419-9843-0b618e3766d1"/>
    <x v="0"/>
    <s v="72482e73-cd61-420d-8306-5abca2ec7c6b"/>
    <m/>
    <x v="0"/>
    <s v="2023-03-26T04:51:37.859000+00:00"/>
    <n v="145"/>
    <n v="59"/>
    <n v="0.40689655172413791"/>
    <x v="699"/>
    <x v="0"/>
    <s v="58"/>
    <s v="URL"/>
    <x v="3"/>
    <x v="3"/>
    <m/>
    <m/>
    <x v="0"/>
    <m/>
    <m/>
    <x v="164"/>
    <m/>
  </r>
  <r>
    <s v="0824b4ca-7d95-4817-8abe-450381786ca3"/>
    <x v="0"/>
    <s v="72482e73-cd61-420d-8306-5abca2ec7c6b"/>
    <m/>
    <x v="0"/>
    <s v="2023-03-26T05:07:41.814000+00:00"/>
    <n v="145"/>
    <n v="60"/>
    <n v="0.41379310344827586"/>
    <x v="700"/>
    <x v="0"/>
    <s v="58"/>
    <s v="URL"/>
    <x v="3"/>
    <x v="3"/>
    <m/>
    <m/>
    <x v="0"/>
    <m/>
    <m/>
    <x v="164"/>
    <m/>
  </r>
  <r>
    <s v="0824b4ca-7d95-4817-8abe-450381786ca3"/>
    <x v="0"/>
    <s v="72482e73-cd61-420d-8306-5abca2ec7c6b"/>
    <m/>
    <x v="0"/>
    <s v="2023-03-26T05:07:41.814000+00:00"/>
    <n v="145"/>
    <n v="61"/>
    <n v="0.4206896551724138"/>
    <x v="701"/>
    <x v="0"/>
    <s v="58"/>
    <s v="URL"/>
    <x v="3"/>
    <x v="3"/>
    <m/>
    <m/>
    <x v="0"/>
    <m/>
    <m/>
    <x v="164"/>
    <m/>
  </r>
  <r>
    <s v="31fd5e06-7acb-4409-9ee3-7ccecebe487e"/>
    <x v="0"/>
    <s v="72482e73-cd61-420d-8306-5abca2ec7c6b"/>
    <m/>
    <x v="0"/>
    <s v="2023-03-26T05:23:51.552000+00:00"/>
    <n v="145"/>
    <n v="64"/>
    <n v="0.44137931034482758"/>
    <x v="399"/>
    <x v="0"/>
    <s v="58"/>
    <s v="URL"/>
    <x v="3"/>
    <x v="3"/>
    <m/>
    <m/>
    <x v="0"/>
    <m/>
    <m/>
    <x v="164"/>
    <m/>
  </r>
  <r>
    <m/>
    <x v="0"/>
    <s v="72482e73-cd61-420d-8306-5abca2ec7c6b"/>
    <m/>
    <x v="0"/>
    <s v="2023-03-26T05:47:23.226000+00:00"/>
    <n v="145"/>
    <n v="66"/>
    <n v="0.45517241379310347"/>
    <x v="702"/>
    <x v="0"/>
    <s v="58"/>
    <m/>
    <x v="3"/>
    <x v="3"/>
    <m/>
    <m/>
    <x v="0"/>
    <m/>
    <m/>
    <x v="164"/>
    <m/>
  </r>
  <r>
    <m/>
    <x v="0"/>
    <s v="72482e73-cd61-420d-8306-5abca2ec7c6b"/>
    <m/>
    <x v="0"/>
    <s v="2023-03-26T05:55:24.905000+00:00"/>
    <n v="145"/>
    <n v="67"/>
    <n v="0.46206896551724136"/>
    <x v="703"/>
    <x v="0"/>
    <s v="58"/>
    <m/>
    <x v="3"/>
    <x v="3"/>
    <m/>
    <m/>
    <x v="0"/>
    <m/>
    <m/>
    <x v="164"/>
    <m/>
  </r>
  <r>
    <s v="4312f5fa-852e-4287-ad2f-58111542fee4"/>
    <x v="0"/>
    <s v="72482e73-cd61-420d-8306-5abca2ec7c6b"/>
    <m/>
    <x v="0"/>
    <s v="2023-03-26T06:20:08.718000+00:00"/>
    <n v="145"/>
    <n v="70"/>
    <n v="0.48275862068965519"/>
    <x v="704"/>
    <x v="0"/>
    <s v="58"/>
    <s v="URL"/>
    <x v="3"/>
    <x v="3"/>
    <m/>
    <m/>
    <x v="0"/>
    <m/>
    <m/>
    <x v="164"/>
    <m/>
  </r>
  <r>
    <s v="9d5810e8-cfb3-4db0-a5df-908c5536a053"/>
    <x v="0"/>
    <s v="72482e73-cd61-420d-8306-5abca2ec7c6b"/>
    <m/>
    <x v="0"/>
    <s v="2023-03-26T06:36:20.994000+00:00"/>
    <n v="145"/>
    <n v="72"/>
    <n v="0.49655172413793103"/>
    <x v="502"/>
    <x v="0"/>
    <s v="58"/>
    <s v="URL"/>
    <x v="3"/>
    <x v="3"/>
    <m/>
    <m/>
    <x v="0"/>
    <m/>
    <m/>
    <x v="164"/>
    <m/>
  </r>
  <r>
    <s v="9d5810e8-cfb3-4db0-a5df-908c5536a053"/>
    <x v="0"/>
    <s v="72482e73-cd61-420d-8306-5abca2ec7c6b"/>
    <m/>
    <x v="0"/>
    <s v="2023-03-26T06:36:20.994000+00:00"/>
    <n v="145"/>
    <n v="73"/>
    <n v="0.50344827586206897"/>
    <x v="382"/>
    <x v="0"/>
    <s v="58"/>
    <s v="URL"/>
    <x v="3"/>
    <x v="3"/>
    <m/>
    <m/>
    <x v="0"/>
    <m/>
    <m/>
    <x v="164"/>
    <m/>
  </r>
  <r>
    <s v="4337c0c5-301c-4a4b-847b-7f7f3873da6d"/>
    <x v="0"/>
    <s v="72482e73-cd61-420d-8306-5abca2ec7c6b"/>
    <m/>
    <x v="0"/>
    <s v="2023-03-26T07:32:27.097000+00:00"/>
    <n v="145"/>
    <n v="79"/>
    <n v="0.54482758620689653"/>
    <x v="705"/>
    <x v="0"/>
    <s v="58"/>
    <s v="URL"/>
    <x v="3"/>
    <x v="3"/>
    <m/>
    <m/>
    <x v="0"/>
    <m/>
    <m/>
    <x v="164"/>
    <m/>
  </r>
  <r>
    <s v="eee0b618-09dc-4905-994f-7ee3e6ba7933"/>
    <x v="0"/>
    <s v="72482e73-cd61-420d-8306-5abca2ec7c6b"/>
    <m/>
    <x v="0"/>
    <s v="2023-03-26T07:56:21.142000+00:00"/>
    <n v="145"/>
    <n v="82"/>
    <n v="0.56551724137931036"/>
    <x v="124"/>
    <x v="0"/>
    <s v="58"/>
    <s v="URL"/>
    <x v="3"/>
    <x v="3"/>
    <m/>
    <m/>
    <x v="0"/>
    <m/>
    <m/>
    <x v="164"/>
    <m/>
  </r>
  <r>
    <s v="f6ae0a35-26a5-4667-aee1-55b9edca67d1"/>
    <x v="0"/>
    <s v="72482e73-cd61-420d-8306-5abca2ec7c6b"/>
    <m/>
    <x v="0"/>
    <s v="2023-03-26T08:04:29.370000+00:00"/>
    <n v="145"/>
    <n v="83"/>
    <n v="0.57241379310344831"/>
    <x v="706"/>
    <x v="0"/>
    <s v="58"/>
    <s v="URL"/>
    <x v="3"/>
    <x v="3"/>
    <m/>
    <m/>
    <x v="0"/>
    <m/>
    <m/>
    <x v="164"/>
    <m/>
  </r>
  <r>
    <s v="8850312c-f797-4d5e-84de-33b09f1048c5"/>
    <x v="0"/>
    <s v="72482e73-cd61-420d-8306-5abca2ec7c6b"/>
    <m/>
    <x v="0"/>
    <s v="2023-03-26T08:36:35.115000+00:00"/>
    <n v="145"/>
    <n v="87"/>
    <n v="0.6"/>
    <x v="707"/>
    <x v="0"/>
    <s v="58"/>
    <s v="URL"/>
    <x v="9"/>
    <x v="9"/>
    <m/>
    <m/>
    <x v="0"/>
    <m/>
    <m/>
    <x v="164"/>
    <m/>
  </r>
  <r>
    <s v="5845f120-174c-42e6-bb95-62011819c58d"/>
    <x v="0"/>
    <s v="72482e73-cd61-420d-8306-5abca2ec7c6b"/>
    <m/>
    <x v="0"/>
    <s v="2023-03-26T08:44:35.358000+00:00"/>
    <n v="145"/>
    <n v="88"/>
    <n v="0.60689655172413792"/>
    <x v="465"/>
    <x v="0"/>
    <s v="58"/>
    <s v="URL"/>
    <x v="3"/>
    <x v="3"/>
    <m/>
    <m/>
    <x v="0"/>
    <m/>
    <m/>
    <x v="164"/>
    <m/>
  </r>
  <r>
    <s v="f1b98838-55d6-4408-b9c9-482f85feef52"/>
    <x v="0"/>
    <s v="72482e73-cd61-420d-8306-5abca2ec7c6b"/>
    <m/>
    <x v="0"/>
    <s v="2023-03-26T08:52:31.885000+00:00"/>
    <n v="145"/>
    <n v="89"/>
    <n v="0.61379310344827587"/>
    <x v="708"/>
    <x v="0"/>
    <s v="58"/>
    <s v="URL"/>
    <x v="3"/>
    <x v="3"/>
    <m/>
    <m/>
    <x v="0"/>
    <m/>
    <m/>
    <x v="164"/>
    <m/>
  </r>
  <r>
    <s v="3a8d99d4-6e2c-4517-8d5d-ec17478add76"/>
    <x v="0"/>
    <s v="72482e73-cd61-420d-8306-5abca2ec7c6b"/>
    <m/>
    <x v="0"/>
    <s v="2023-03-26T09:00:42.090000+00:00"/>
    <n v="145"/>
    <n v="90"/>
    <n v="0.62068965517241381"/>
    <x v="709"/>
    <x v="0"/>
    <s v="58"/>
    <s v="URL"/>
    <x v="3"/>
    <x v="3"/>
    <m/>
    <m/>
    <x v="0"/>
    <m/>
    <m/>
    <x v="164"/>
    <m/>
  </r>
  <r>
    <s v="d413817b-db5c-4019-bc2e-2cc9643da72e"/>
    <x v="0"/>
    <s v="72482e73-cd61-420d-8306-5abca2ec7c6b"/>
    <m/>
    <x v="0"/>
    <s v="2023-03-26T09:08:35.380000+00:00"/>
    <n v="145"/>
    <n v="91"/>
    <n v="0.62758620689655176"/>
    <x v="466"/>
    <x v="0"/>
    <s v="58"/>
    <s v="URL"/>
    <x v="3"/>
    <x v="3"/>
    <m/>
    <m/>
    <x v="0"/>
    <m/>
    <m/>
    <x v="164"/>
    <m/>
  </r>
  <r>
    <s v="89688c3d-8c94-41d5-a3f5-6b85b4be196e"/>
    <x v="0"/>
    <s v="72482e73-cd61-420d-8306-5abca2ec7c6b"/>
    <m/>
    <x v="0"/>
    <s v="2023-03-26T09:16:33.128000+00:00"/>
    <n v="145"/>
    <n v="92"/>
    <n v="0.6344827586206897"/>
    <x v="710"/>
    <x v="0"/>
    <s v="58"/>
    <s v="URL"/>
    <x v="3"/>
    <x v="3"/>
    <m/>
    <m/>
    <x v="0"/>
    <m/>
    <m/>
    <x v="164"/>
    <m/>
  </r>
  <r>
    <s v="d794f445-fddb-477e-baf8-2b10167b4cba"/>
    <x v="0"/>
    <s v="72482e73-cd61-420d-8306-5abca2ec7c6b"/>
    <m/>
    <x v="0"/>
    <s v="2023-03-26T09:24:31.606000+00:00"/>
    <n v="145"/>
    <n v="93"/>
    <n v="0.64137931034482754"/>
    <x v="711"/>
    <x v="0"/>
    <s v="58"/>
    <s v="URL"/>
    <x v="3"/>
    <x v="3"/>
    <m/>
    <m/>
    <x v="0"/>
    <m/>
    <m/>
    <x v="164"/>
    <m/>
  </r>
  <r>
    <s v="c908fff9-d42a-4041-97a3-818c76410083"/>
    <x v="0"/>
    <s v="72482e73-cd61-420d-8306-5abca2ec7c6b"/>
    <m/>
    <x v="0"/>
    <s v="2023-03-26T09:32:28.428000+00:00"/>
    <n v="145"/>
    <n v="94"/>
    <n v="0.64827586206896548"/>
    <x v="712"/>
    <x v="0"/>
    <s v="58"/>
    <s v="URL"/>
    <x v="3"/>
    <x v="3"/>
    <m/>
    <m/>
    <x v="0"/>
    <m/>
    <m/>
    <x v="164"/>
    <m/>
  </r>
  <r>
    <s v="9e6fbfd8-6cbf-4142-b994-ac897b035b01"/>
    <x v="0"/>
    <s v="72482e73-cd61-420d-8306-5abca2ec7c6b"/>
    <m/>
    <x v="0"/>
    <s v="2023-03-26T09:40:25.787000+00:00"/>
    <n v="145"/>
    <n v="95"/>
    <n v="0.65517241379310343"/>
    <x v="467"/>
    <x v="0"/>
    <s v="58"/>
    <s v="URL"/>
    <x v="3"/>
    <x v="3"/>
    <m/>
    <m/>
    <x v="0"/>
    <m/>
    <m/>
    <x v="164"/>
    <m/>
  </r>
  <r>
    <s v="ee8271cf-62e1-465d-b8be-2ff1c1ab11dd"/>
    <x v="0"/>
    <s v="72482e73-cd61-420d-8306-5abca2ec7c6b"/>
    <m/>
    <x v="0"/>
    <s v="2023-03-26T09:48:25.365000+00:00"/>
    <n v="145"/>
    <n v="96"/>
    <n v="0.66206896551724137"/>
    <x v="434"/>
    <x v="0"/>
    <s v="58"/>
    <s v="URL"/>
    <x v="3"/>
    <x v="3"/>
    <m/>
    <m/>
    <x v="0"/>
    <m/>
    <m/>
    <x v="164"/>
    <m/>
  </r>
  <r>
    <s v="83b435a0-abf2-4a98-ab26-dcf3f2fb9e4d"/>
    <x v="0"/>
    <s v="72482e73-cd61-420d-8306-5abca2ec7c6b"/>
    <m/>
    <x v="0"/>
    <s v="2023-03-26T09:56:32.246000+00:00"/>
    <n v="145"/>
    <n v="97"/>
    <n v="0.66896551724137931"/>
    <x v="713"/>
    <x v="0"/>
    <s v="58"/>
    <s v="URL"/>
    <x v="3"/>
    <x v="3"/>
    <m/>
    <m/>
    <x v="0"/>
    <m/>
    <m/>
    <x v="164"/>
    <m/>
  </r>
  <r>
    <s v="76592990-9548-4a01-b65a-c659eef8135c"/>
    <x v="0"/>
    <s v="72482e73-cd61-420d-8306-5abca2ec7c6b"/>
    <m/>
    <x v="3"/>
    <s v="2023-03-26T10:04:31.304000+00:00"/>
    <n v="145"/>
    <n v="98"/>
    <n v="0.67586206896551726"/>
    <x v="284"/>
    <x v="0"/>
    <s v="58"/>
    <s v="URL"/>
    <x v="3"/>
    <x v="3"/>
    <m/>
    <m/>
    <x v="0"/>
    <m/>
    <m/>
    <x v="164"/>
    <m/>
  </r>
  <r>
    <m/>
    <x v="0"/>
    <s v="65d0244b-a0e1-4b24-92ca-5eb34da30190"/>
    <s v="failed"/>
    <x v="64"/>
    <s v="2023-03-26T16:04:14.443000+00:00"/>
    <n v="176"/>
    <n v="0"/>
    <n v="0"/>
    <x v="714"/>
    <x v="0"/>
    <s v="43"/>
    <m/>
    <x v="38"/>
    <x v="26"/>
    <m/>
    <m/>
    <x v="0"/>
    <m/>
    <m/>
    <x v="164"/>
    <m/>
  </r>
  <r>
    <m/>
    <x v="0"/>
    <s v="036c159c-26ed-480c-bea4-efd8c87419b4"/>
    <s v="failed"/>
    <x v="0"/>
    <s v="2023-03-26T18:47:26.808000+00:00"/>
    <n v="176"/>
    <n v="25"/>
    <n v="0.14204545454545456"/>
    <x v="715"/>
    <x v="0"/>
    <s v="43"/>
    <m/>
    <x v="38"/>
    <x v="26"/>
    <m/>
    <m/>
    <x v="0"/>
    <m/>
    <m/>
    <x v="164"/>
    <m/>
  </r>
  <r>
    <m/>
    <x v="0"/>
    <s v="036c159c-26ed-480c-bea4-efd8c87419b4"/>
    <s v="failed"/>
    <x v="65"/>
    <s v="2023-03-26T21:16:46.658000+00:00"/>
    <n v="176"/>
    <n v="26"/>
    <n v="0.14772727272727273"/>
    <x v="715"/>
    <x v="0"/>
    <s v="43"/>
    <m/>
    <x v="13"/>
    <x v="13"/>
    <m/>
    <m/>
    <x v="0"/>
    <m/>
    <m/>
    <x v="164"/>
    <m/>
  </r>
  <r>
    <m/>
    <x v="0"/>
    <s v="1da391c8-2312-4c51-8927-3e924751788e"/>
    <s v="failed"/>
    <x v="63"/>
    <s v="2023-03-26T22:58:18.393000+00:00"/>
    <n v="150"/>
    <n v="18"/>
    <n v="0.12"/>
    <x v="716"/>
    <x v="0"/>
    <s v="43"/>
    <m/>
    <x v="38"/>
    <x v="26"/>
    <m/>
    <m/>
    <x v="0"/>
    <m/>
    <m/>
    <x v="164"/>
    <m/>
  </r>
  <r>
    <s v="cd923b6b-0854-4452-be79-393a7abe75f5"/>
    <x v="0"/>
    <s v="5e6484be-1c9c-4c6f-8bb9-92c9d8bd32e9"/>
    <s v="failed"/>
    <x v="0"/>
    <s v="2023-03-27T15:28:35.146000+00:00"/>
    <n v="219"/>
    <n v="2"/>
    <n v="9.1324200913242004E-3"/>
    <x v="124"/>
    <x v="0"/>
    <s v="58"/>
    <s v="URL"/>
    <x v="14"/>
    <x v="14"/>
    <m/>
    <m/>
    <x v="0"/>
    <m/>
    <m/>
    <x v="163"/>
    <m/>
  </r>
  <r>
    <s v="24a7c73d-642d-4b68-9d62-3c024c4e3136"/>
    <x v="0"/>
    <s v="5e6484be-1c9c-4c6f-8bb9-92c9d8bd32e9"/>
    <s v="failed"/>
    <x v="0"/>
    <s v="2023-03-27T22:46:41.535000+00:00"/>
    <n v="219"/>
    <n v="100"/>
    <n v="0.45662100456621002"/>
    <x v="419"/>
    <x v="0"/>
    <s v="58"/>
    <s v="URL"/>
    <x v="1"/>
    <x v="1"/>
    <m/>
    <m/>
    <x v="0"/>
    <m/>
    <m/>
    <x v="163"/>
    <m/>
  </r>
  <r>
    <s v="b99517b0-f0a8-4fb2-96e5-6542e1d7d0b7"/>
    <x v="0"/>
    <s v="5e6484be-1c9c-4c6f-8bb9-92c9d8bd32e9"/>
    <s v="failed"/>
    <x v="0"/>
    <s v="2023-03-28T04:34:03.663000+00:00"/>
    <n v="219"/>
    <n v="177"/>
    <n v="0.80821917808219179"/>
    <x v="410"/>
    <x v="0"/>
    <s v="58"/>
    <s v="URL"/>
    <x v="1"/>
    <x v="1"/>
    <m/>
    <m/>
    <x v="0"/>
    <m/>
    <m/>
    <x v="170"/>
    <m/>
  </r>
  <r>
    <s v="2b584b16-4009-4437-a541-ad5b17b00cff"/>
    <x v="0"/>
    <s v="5e6484be-1c9c-4c6f-8bb9-92c9d8bd32e9"/>
    <s v="failed"/>
    <x v="19"/>
    <s v="2023-03-28T05:11:03.243000+00:00"/>
    <n v="219"/>
    <n v="186"/>
    <n v="0.84931506849315064"/>
    <x v="717"/>
    <x v="0"/>
    <s v="58"/>
    <s v="URL"/>
    <x v="16"/>
    <x v="16"/>
    <m/>
    <m/>
    <x v="0"/>
    <m/>
    <m/>
    <x v="170"/>
    <m/>
  </r>
  <r>
    <s v="07b5e98f-13be-46a4-893d-0611ee6f2945"/>
    <x v="0"/>
    <s v="9b9af46d-e96f-4e78-a31e-2b33d3a9c549"/>
    <s v="failed"/>
    <x v="41"/>
    <s v="2023-03-28T07:52:37.015000+00:00"/>
    <n v="34"/>
    <n v="32"/>
    <n v="0.94117647058823528"/>
    <x v="124"/>
    <x v="0"/>
    <s v="58"/>
    <s v="URL"/>
    <x v="18"/>
    <x v="18"/>
    <m/>
    <m/>
    <x v="0"/>
    <m/>
    <m/>
    <x v="170"/>
    <m/>
  </r>
  <r>
    <s v="aff579a8-b803-4c58-80f0-bfed45bda63c"/>
    <x v="0"/>
    <s v="9715d22d-d6f5-478b-859f-eeda2957ea01"/>
    <s v="failed"/>
    <x v="0"/>
    <s v="2023-03-28T16:29:32.068000+00:00"/>
    <n v="154"/>
    <n v="7"/>
    <n v="4.5454545454545456E-2"/>
    <x v="718"/>
    <x v="2"/>
    <s v="59"/>
    <s v="URL"/>
    <x v="3"/>
    <x v="3"/>
    <m/>
    <m/>
    <x v="0"/>
    <m/>
    <m/>
    <x v="170"/>
    <m/>
  </r>
  <r>
    <s v="de6e9e3e-bcaf-4b79-a754-1990e06c3b9c"/>
    <x v="0"/>
    <s v="9715d22d-d6f5-478b-859f-eeda2957ea01"/>
    <s v="failed"/>
    <x v="0"/>
    <s v="2023-03-28T16:51:51.588000+00:00"/>
    <n v="154"/>
    <n v="11"/>
    <n v="7.1428571428571425E-2"/>
    <x v="719"/>
    <x v="2"/>
    <s v="59"/>
    <s v="URL"/>
    <x v="3"/>
    <x v="3"/>
    <m/>
    <m/>
    <x v="0"/>
    <m/>
    <m/>
    <x v="170"/>
    <m/>
  </r>
  <r>
    <s v="2afdc5b3-3c4d-462e-a33a-30d42610b19c"/>
    <x v="0"/>
    <s v="9715d22d-d6f5-478b-859f-eeda2957ea01"/>
    <s v="failed"/>
    <x v="0"/>
    <s v="2023-03-28T17:00:09.091000+00:00"/>
    <n v="154"/>
    <n v="12"/>
    <n v="7.792207792207792E-2"/>
    <x v="720"/>
    <x v="2"/>
    <s v="59"/>
    <s v="URL"/>
    <x v="3"/>
    <x v="3"/>
    <m/>
    <m/>
    <x v="0"/>
    <m/>
    <m/>
    <x v="170"/>
    <m/>
  </r>
  <r>
    <s v="e82052a5-6e19-4f22-8306-a335f2a62664"/>
    <x v="0"/>
    <s v="9715d22d-d6f5-478b-859f-eeda2957ea01"/>
    <s v="failed"/>
    <x v="0"/>
    <s v="2023-03-28T17:13:11.749000+00:00"/>
    <n v="154"/>
    <n v="14"/>
    <n v="9.0909090909090912E-2"/>
    <x v="721"/>
    <x v="2"/>
    <s v="59"/>
    <s v="URL"/>
    <x v="3"/>
    <x v="3"/>
    <m/>
    <m/>
    <x v="0"/>
    <m/>
    <m/>
    <x v="170"/>
    <m/>
  </r>
  <r>
    <s v="3e20da07-927c-4d7a-bfdb-9c4101be0368"/>
    <x v="0"/>
    <s v="9715d22d-d6f5-478b-859f-eeda2957ea01"/>
    <s v="failed"/>
    <x v="0"/>
    <s v="2023-03-28T18:30:36.728000+00:00"/>
    <n v="154"/>
    <n v="30"/>
    <n v="0.19480519480519481"/>
    <x v="358"/>
    <x v="2"/>
    <s v="59"/>
    <s v="URL"/>
    <x v="22"/>
    <x v="22"/>
    <m/>
    <m/>
    <x v="0"/>
    <m/>
    <m/>
    <x v="170"/>
    <m/>
  </r>
  <r>
    <s v="9d4c0a0a-1a8d-4c4f-911e-24cf484a3afe"/>
    <x v="0"/>
    <s v="9715d22d-d6f5-478b-859f-eeda2957ea01"/>
    <s v="failed"/>
    <x v="0"/>
    <s v="2023-03-28T18:33:46.069000+00:00"/>
    <n v="154"/>
    <n v="31"/>
    <n v="0.20129870129870131"/>
    <x v="401"/>
    <x v="2"/>
    <s v="59"/>
    <s v="URL"/>
    <x v="3"/>
    <x v="3"/>
    <m/>
    <m/>
    <x v="0"/>
    <m/>
    <m/>
    <x v="170"/>
    <m/>
  </r>
  <r>
    <s v="21880e18-d8bf-4557-ae37-452a0dff616b"/>
    <x v="0"/>
    <s v="9715d22d-d6f5-478b-859f-eeda2957ea01"/>
    <s v="failed"/>
    <x v="0"/>
    <s v="2023-03-28T19:29:23.969000+00:00"/>
    <n v="154"/>
    <n v="42"/>
    <n v="0.27272727272727271"/>
    <x v="722"/>
    <x v="2"/>
    <s v="59"/>
    <s v="URL"/>
    <x v="3"/>
    <x v="3"/>
    <m/>
    <m/>
    <x v="0"/>
    <m/>
    <m/>
    <x v="170"/>
    <m/>
  </r>
  <r>
    <s v="89403e6f-4c8d-4c83-9c3a-2aebc8e79d8d"/>
    <x v="0"/>
    <s v="9715d22d-d6f5-478b-859f-eeda2957ea01"/>
    <s v="failed"/>
    <x v="0"/>
    <s v="2023-03-28T19:52:00.513000+00:00"/>
    <n v="154"/>
    <n v="46"/>
    <n v="0.29870129870129869"/>
    <x v="360"/>
    <x v="2"/>
    <s v="59"/>
    <s v="URL"/>
    <x v="3"/>
    <x v="3"/>
    <m/>
    <m/>
    <x v="0"/>
    <m/>
    <m/>
    <x v="170"/>
    <m/>
  </r>
  <r>
    <s v="89403e6f-4c8d-4c83-9c3a-2aebc8e79d8d"/>
    <x v="0"/>
    <s v="9715d22d-d6f5-478b-859f-eeda2957ea01"/>
    <s v="failed"/>
    <x v="0"/>
    <s v="2023-03-28T19:52:00.513000+00:00"/>
    <n v="154"/>
    <n v="47"/>
    <n v="0.30519480519480519"/>
    <x v="723"/>
    <x v="2"/>
    <s v="59"/>
    <s v="URL"/>
    <x v="3"/>
    <x v="3"/>
    <m/>
    <m/>
    <x v="0"/>
    <m/>
    <m/>
    <x v="170"/>
    <m/>
  </r>
  <r>
    <s v="a05e9f2e-1a11-48d2-83f0-87c3fab8973c"/>
    <x v="0"/>
    <s v="9715d22d-d6f5-478b-859f-eeda2957ea01"/>
    <s v="failed"/>
    <x v="0"/>
    <s v="2023-03-28T20:32:25.249000+00:00"/>
    <n v="154"/>
    <n v="53"/>
    <n v="0.34415584415584416"/>
    <x v="724"/>
    <x v="2"/>
    <s v="59"/>
    <s v="URL"/>
    <x v="3"/>
    <x v="3"/>
    <m/>
    <m/>
    <x v="0"/>
    <m/>
    <m/>
    <x v="170"/>
    <m/>
  </r>
  <r>
    <s v="4dfdf824-5242-4356-8c5c-d4b3476c03a5"/>
    <x v="0"/>
    <s v="9715d22d-d6f5-478b-859f-eeda2957ea01"/>
    <s v="failed"/>
    <x v="0"/>
    <s v="2023-03-28T20:40:42.486000+00:00"/>
    <n v="154"/>
    <n v="54"/>
    <n v="0.35064935064935066"/>
    <x v="359"/>
    <x v="2"/>
    <s v="59"/>
    <s v="URL"/>
    <x v="3"/>
    <x v="3"/>
    <m/>
    <m/>
    <x v="0"/>
    <m/>
    <m/>
    <x v="170"/>
    <m/>
  </r>
  <r>
    <s v="87905fdd-754e-4315-a2ed-5e70eb74ceb6"/>
    <x v="0"/>
    <s v="9715d22d-d6f5-478b-859f-eeda2957ea01"/>
    <s v="failed"/>
    <x v="0"/>
    <s v="2023-03-28T21:17:45.203000+00:00"/>
    <n v="154"/>
    <n v="61"/>
    <n v="0.39610389610389612"/>
    <x v="370"/>
    <x v="2"/>
    <s v="59"/>
    <s v="URL"/>
    <x v="3"/>
    <x v="3"/>
    <m/>
    <m/>
    <x v="0"/>
    <m/>
    <m/>
    <x v="170"/>
    <m/>
  </r>
  <r>
    <s v="b531300f-fe18-40f6-8592-20cb16c5ad41"/>
    <x v="0"/>
    <s v="9715d22d-d6f5-478b-859f-eeda2957ea01"/>
    <s v="failed"/>
    <x v="0"/>
    <s v="2023-03-28T21:54:53.838000+00:00"/>
    <n v="154"/>
    <n v="68"/>
    <n v="0.44155844155844154"/>
    <x v="725"/>
    <x v="2"/>
    <s v="59"/>
    <s v="URL"/>
    <x v="3"/>
    <x v="3"/>
    <m/>
    <m/>
    <x v="0"/>
    <m/>
    <m/>
    <x v="170"/>
    <m/>
  </r>
  <r>
    <s v="bfb78278-0a2b-44e3-8078-ad23994dcade"/>
    <x v="0"/>
    <s v="9715d22d-d6f5-478b-859f-eeda2957ea01"/>
    <s v="failed"/>
    <x v="0"/>
    <s v="2023-03-28T22:15:52.009000+00:00"/>
    <n v="154"/>
    <n v="72"/>
    <n v="0.46753246753246752"/>
    <x v="373"/>
    <x v="2"/>
    <s v="59"/>
    <s v="URL"/>
    <x v="18"/>
    <x v="18"/>
    <m/>
    <m/>
    <x v="0"/>
    <m/>
    <m/>
    <x v="170"/>
    <m/>
  </r>
  <r>
    <s v="10cef35e-e8f2-4f38-b207-318480c482d4"/>
    <x v="0"/>
    <s v="9715d22d-d6f5-478b-859f-eeda2957ea01"/>
    <s v="failed"/>
    <x v="0"/>
    <s v="2023-03-28T22:23:39.888000+00:00"/>
    <n v="154"/>
    <n v="74"/>
    <n v="0.48051948051948051"/>
    <x v="726"/>
    <x v="2"/>
    <s v="59"/>
    <s v="URL"/>
    <x v="3"/>
    <x v="3"/>
    <m/>
    <m/>
    <x v="0"/>
    <m/>
    <m/>
    <x v="170"/>
    <m/>
  </r>
  <r>
    <s v="aa95a84b-2f1d-47aa-87ed-e0140ab7a573"/>
    <x v="0"/>
    <s v="9715d22d-d6f5-478b-859f-eeda2957ea01"/>
    <s v="failed"/>
    <x v="0"/>
    <s v="2023-03-28T22:59:59.059000+00:00"/>
    <n v="154"/>
    <n v="81"/>
    <n v="0.52597402597402598"/>
    <x v="449"/>
    <x v="2"/>
    <s v="59"/>
    <s v="URL"/>
    <x v="3"/>
    <x v="3"/>
    <m/>
    <m/>
    <x v="0"/>
    <m/>
    <m/>
    <x v="170"/>
    <m/>
  </r>
  <r>
    <s v="1271fa90-77f1-4d26-8ade-3163677a1067"/>
    <x v="0"/>
    <s v="9715d22d-d6f5-478b-859f-eeda2957ea01"/>
    <s v="failed"/>
    <x v="0"/>
    <s v="2023-03-28T23:08:10.823000+00:00"/>
    <n v="154"/>
    <n v="82"/>
    <n v="0.53246753246753242"/>
    <x v="448"/>
    <x v="2"/>
    <s v="59"/>
    <s v="URL"/>
    <x v="3"/>
    <x v="3"/>
    <m/>
    <m/>
    <x v="0"/>
    <m/>
    <m/>
    <x v="170"/>
    <m/>
  </r>
  <r>
    <s v="116c7b1f-2ee9-4325-bdde-141a8ee2288d"/>
    <x v="0"/>
    <s v="9715d22d-d6f5-478b-859f-eeda2957ea01"/>
    <s v="failed"/>
    <x v="0"/>
    <s v="2023-03-28T23:16:32.628000+00:00"/>
    <n v="154"/>
    <n v="83"/>
    <n v="0.53896103896103897"/>
    <x v="473"/>
    <x v="2"/>
    <s v="59"/>
    <s v="URL"/>
    <x v="3"/>
    <x v="3"/>
    <m/>
    <m/>
    <x v="0"/>
    <m/>
    <m/>
    <x v="170"/>
    <m/>
  </r>
  <r>
    <s v="22bb26ca-2c5d-4cda-9437-90c047f1c697"/>
    <x v="0"/>
    <s v="9715d22d-d6f5-478b-859f-eeda2957ea01"/>
    <s v="failed"/>
    <x v="0"/>
    <s v="2023-03-28T23:48:26.325000+00:00"/>
    <n v="154"/>
    <n v="89"/>
    <n v="0.57792207792207795"/>
    <x v="447"/>
    <x v="2"/>
    <s v="59"/>
    <s v="URL"/>
    <x v="3"/>
    <x v="3"/>
    <m/>
    <m/>
    <x v="0"/>
    <m/>
    <m/>
    <x v="170"/>
    <m/>
  </r>
  <r>
    <s v="a2c14857-fe90-48fc-b151-3d9a3e92bc14"/>
    <x v="0"/>
    <s v="9715d22d-d6f5-478b-859f-eeda2957ea01"/>
    <s v="failed"/>
    <x v="0"/>
    <s v="2023-03-29T00:19:50.198000+00:00"/>
    <n v="154"/>
    <n v="95"/>
    <n v="0.61688311688311692"/>
    <x v="445"/>
    <x v="2"/>
    <s v="59"/>
    <s v="URL"/>
    <x v="3"/>
    <x v="3"/>
    <m/>
    <m/>
    <x v="0"/>
    <m/>
    <m/>
    <x v="171"/>
    <m/>
  </r>
  <r>
    <s v="7389745e-7a65-4293-88c1-74edd37b8558"/>
    <x v="0"/>
    <s v="9715d22d-d6f5-478b-859f-eeda2957ea01"/>
    <s v="failed"/>
    <x v="0"/>
    <s v="2023-03-29T00:32:54.819000+00:00"/>
    <n v="154"/>
    <n v="97"/>
    <n v="0.62987012987012991"/>
    <x v="444"/>
    <x v="2"/>
    <s v="59"/>
    <s v="URL"/>
    <x v="3"/>
    <x v="3"/>
    <m/>
    <m/>
    <x v="0"/>
    <m/>
    <m/>
    <x v="171"/>
    <m/>
  </r>
  <r>
    <s v="793b2993-98b5-4db8-8191-f61cfd8799d7"/>
    <x v="0"/>
    <s v="9715d22d-d6f5-478b-859f-eeda2957ea01"/>
    <s v="failed"/>
    <x v="0"/>
    <s v="2023-03-29T01:00:00.151000+00:00"/>
    <n v="154"/>
    <n v="102"/>
    <n v="0.66233766233766234"/>
    <x v="443"/>
    <x v="2"/>
    <s v="59"/>
    <s v="URL"/>
    <x v="3"/>
    <x v="3"/>
    <m/>
    <m/>
    <x v="0"/>
    <m/>
    <m/>
    <x v="171"/>
    <m/>
  </r>
  <r>
    <s v="4b2b98f6-425f-49fb-a04d-6e41d2c5b01a"/>
    <x v="0"/>
    <s v="9715d22d-d6f5-478b-859f-eeda2957ea01"/>
    <s v="failed"/>
    <x v="0"/>
    <s v="2023-03-29T01:17:53.694000+00:00"/>
    <n v="154"/>
    <n v="105"/>
    <n v="0.68181818181818177"/>
    <x v="442"/>
    <x v="2"/>
    <s v="59"/>
    <s v="URL"/>
    <x v="3"/>
    <x v="3"/>
    <m/>
    <m/>
    <x v="0"/>
    <m/>
    <m/>
    <x v="171"/>
    <m/>
  </r>
  <r>
    <s v="93fc1b66-0eca-49cc-b43c-db668e8e9d5c"/>
    <x v="0"/>
    <s v="9715d22d-d6f5-478b-859f-eeda2957ea01"/>
    <s v="failed"/>
    <x v="0"/>
    <s v="2023-03-29T01:40:11.877000+00:00"/>
    <n v="154"/>
    <n v="109"/>
    <n v="0.70779220779220775"/>
    <x v="727"/>
    <x v="2"/>
    <s v="59"/>
    <s v="URL"/>
    <x v="3"/>
    <x v="3"/>
    <m/>
    <m/>
    <x v="0"/>
    <m/>
    <m/>
    <x v="171"/>
    <m/>
  </r>
  <r>
    <s v="b2d5b11b-d563-4e58-89fd-b532e681ccaa"/>
    <x v="0"/>
    <s v="9715d22d-d6f5-478b-859f-eeda2957ea01"/>
    <s v="failed"/>
    <x v="35"/>
    <s v="2023-03-29T01:53:00.432000+00:00"/>
    <n v="154"/>
    <n v="111"/>
    <n v="0.72077922077922074"/>
    <x v="441"/>
    <x v="2"/>
    <s v="59"/>
    <s v="URL"/>
    <x v="3"/>
    <x v="3"/>
    <m/>
    <m/>
    <x v="0"/>
    <m/>
    <m/>
    <x v="171"/>
    <m/>
  </r>
  <r>
    <s v="2a7d617c-5774-4427-9fff-62249fa5dfa9"/>
    <x v="3"/>
    <s v="47cb422d-5359-4a17-a36a-80282d5970ef"/>
    <s v="failed"/>
    <x v="19"/>
    <s v="2023-03-28T18:12:41.095000+00:00"/>
    <n v="202"/>
    <n v="1"/>
    <n v="4.9504950495049506E-3"/>
    <x v="728"/>
    <x v="21"/>
    <s v="47"/>
    <s v="URL"/>
    <x v="16"/>
    <x v="16"/>
    <m/>
    <m/>
    <x v="0"/>
    <m/>
    <m/>
    <x v="170"/>
    <m/>
  </r>
  <r>
    <s v="fcde685f-9abd-4fd1-9954-652d2a1b8123"/>
    <x v="3"/>
    <s v="8d7f7bf0-5446-4ce6-8ddb-27eddff7a084"/>
    <s v="failed"/>
    <x v="0"/>
    <s v="2023-03-27T20:05:39.012000+00:00"/>
    <n v="203"/>
    <n v="3"/>
    <n v="1.4778325123152709E-2"/>
    <x v="729"/>
    <x v="24"/>
    <s v="48"/>
    <s v="URL"/>
    <x v="18"/>
    <x v="18"/>
    <m/>
    <m/>
    <x v="0"/>
    <m/>
    <m/>
    <x v="163"/>
    <m/>
  </r>
  <r>
    <s v="511cbec2-a837-4127-8a30-907f471ca5e4"/>
    <x v="3"/>
    <s v="8d7f7bf0-5446-4ce6-8ddb-27eddff7a084"/>
    <s v="failed"/>
    <x v="31"/>
    <s v="2023-03-28T02:42:47.927000+00:00"/>
    <n v="203"/>
    <n v="49"/>
    <n v="0.2413793103448276"/>
    <x v="53"/>
    <x v="24"/>
    <s v="48"/>
    <s v="URL"/>
    <x v="19"/>
    <x v="19"/>
    <m/>
    <m/>
    <x v="0"/>
    <m/>
    <m/>
    <x v="170"/>
    <m/>
  </r>
  <r>
    <s v="50306d38-602c-4bec-bcd0-20b6b81e1102"/>
    <x v="3"/>
    <s v="e1fc5938-f131-4faa-bc3e-aa10acc97279"/>
    <s v="completed"/>
    <x v="0"/>
    <s v="2023-03-26T19:25:40.220000+00:00"/>
    <n v="105"/>
    <n v="9"/>
    <n v="8.5714285714285715E-2"/>
    <x v="185"/>
    <x v="3"/>
    <s v="47"/>
    <s v="URL"/>
    <x v="1"/>
    <x v="1"/>
    <m/>
    <m/>
    <x v="0"/>
    <m/>
    <m/>
    <x v="164"/>
    <m/>
  </r>
  <r>
    <s v="a8712757-7473-4ac1-9f09-91fc0c2d0e15"/>
    <x v="3"/>
    <s v="e1fc5938-f131-4faa-bc3e-aa10acc97279"/>
    <s v="completed"/>
    <x v="0"/>
    <s v="2023-03-26T19:34:45.459000+00:00"/>
    <n v="105"/>
    <n v="13"/>
    <n v="0.12380952380952381"/>
    <x v="730"/>
    <x v="3"/>
    <s v="47"/>
    <s v="URL"/>
    <x v="18"/>
    <x v="18"/>
    <m/>
    <m/>
    <x v="0"/>
    <m/>
    <m/>
    <x v="164"/>
    <m/>
  </r>
  <r>
    <s v="dfbec2ac-ae73-42c9-ba63-afa16e968ff2"/>
    <x v="3"/>
    <s v="e1fc5938-f131-4faa-bc3e-aa10acc97279"/>
    <s v="completed"/>
    <x v="0"/>
    <s v="2023-03-26T20:34:26.812000+00:00"/>
    <n v="105"/>
    <n v="31"/>
    <n v="0.29523809523809524"/>
    <x v="731"/>
    <x v="3"/>
    <s v="47"/>
    <s v="URL"/>
    <x v="1"/>
    <x v="1"/>
    <m/>
    <m/>
    <x v="0"/>
    <m/>
    <m/>
    <x v="164"/>
    <m/>
  </r>
  <r>
    <m/>
    <x v="3"/>
    <s v="e1fc5938-f131-4faa-bc3e-aa10acc97279"/>
    <s v="completed"/>
    <x v="3"/>
    <s v="2023-03-27T00:43:58.680000+00:00"/>
    <n v="105"/>
    <n v="102"/>
    <n v="0.97142857142857142"/>
    <x v="4"/>
    <x v="3"/>
    <s v="47"/>
    <m/>
    <x v="2"/>
    <x v="2"/>
    <m/>
    <m/>
    <x v="0"/>
    <m/>
    <m/>
    <x v="163"/>
    <m/>
  </r>
  <r>
    <s v="c9f354ee-dc90-4003-abf4-2b5f4b630e2d"/>
    <x v="3"/>
    <s v="126950c2-124d-4bad-82af-b4811ebafdfe"/>
    <s v="failed"/>
    <x v="0"/>
    <s v="2023-03-24T20:36:15.476000+00:00"/>
    <n v="104"/>
    <n v="18"/>
    <n v="0.17307692307692307"/>
    <x v="732"/>
    <x v="1"/>
    <s v="48"/>
    <s v="URL"/>
    <x v="1"/>
    <x v="1"/>
    <m/>
    <m/>
    <x v="0"/>
    <m/>
    <m/>
    <x v="166"/>
    <m/>
  </r>
  <r>
    <s v="a1819627-dc10-41d3-bcbe-ea83276a32e7"/>
    <x v="3"/>
    <s v="126950c2-124d-4bad-82af-b4811ebafdfe"/>
    <s v="failed"/>
    <x v="0"/>
    <s v="2023-03-24T20:40:13.388000+00:00"/>
    <n v="104"/>
    <n v="20"/>
    <n v="0.19230769230769232"/>
    <x v="733"/>
    <x v="1"/>
    <s v="48"/>
    <s v="URL"/>
    <x v="1"/>
    <x v="1"/>
    <m/>
    <m/>
    <x v="0"/>
    <m/>
    <m/>
    <x v="166"/>
    <m/>
  </r>
  <r>
    <s v="43816322-3a28-48db-95a9-f82dcbef4eee"/>
    <x v="3"/>
    <s v="126950c2-124d-4bad-82af-b4811ebafdfe"/>
    <s v="failed"/>
    <x v="0"/>
    <s v="2023-03-24T21:48:09.093000+00:00"/>
    <n v="104"/>
    <n v="41"/>
    <n v="0.39423076923076922"/>
    <x v="734"/>
    <x v="1"/>
    <s v="48"/>
    <s v="URL"/>
    <x v="1"/>
    <x v="1"/>
    <m/>
    <m/>
    <x v="0"/>
    <m/>
    <m/>
    <x v="166"/>
    <m/>
  </r>
  <r>
    <m/>
    <x v="3"/>
    <s v="126950c2-124d-4bad-82af-b4811ebafdfe"/>
    <s v="failed"/>
    <x v="29"/>
    <s v="2023-03-25T01:30:54.872000+00:00"/>
    <n v="104"/>
    <n v="50"/>
    <n v="0.48076923076923078"/>
    <x v="53"/>
    <x v="1"/>
    <s v="48"/>
    <m/>
    <x v="0"/>
    <x v="0"/>
    <m/>
    <m/>
    <x v="0"/>
    <m/>
    <m/>
    <x v="165"/>
    <m/>
  </r>
  <r>
    <s v="0fd1e4de-c8ac-44e9-a533-4f3fcf53ca66"/>
    <x v="3"/>
    <s v="96994c55-61e3-42b5-b83e-28f425dd127e"/>
    <s v="failed"/>
    <x v="0"/>
    <s v="2023-03-21T20:32:57.410000+00:00"/>
    <n v="205"/>
    <n v="10"/>
    <n v="4.878048780487805E-2"/>
    <x v="222"/>
    <x v="19"/>
    <s v="47"/>
    <s v="URL"/>
    <x v="1"/>
    <x v="1"/>
    <m/>
    <m/>
    <x v="0"/>
    <m/>
    <m/>
    <x v="168"/>
    <m/>
  </r>
  <r>
    <s v="e28b154e-01d9-45b6-ba52-93be2968f72b"/>
    <x v="3"/>
    <s v="96994c55-61e3-42b5-b83e-28f425dd127e"/>
    <s v="failed"/>
    <x v="0"/>
    <s v="2023-03-21T21:57:32.269000+00:00"/>
    <n v="205"/>
    <n v="35"/>
    <n v="0.17073170731707318"/>
    <x v="735"/>
    <x v="19"/>
    <s v="47"/>
    <s v="URL"/>
    <x v="1"/>
    <x v="1"/>
    <m/>
    <m/>
    <x v="0"/>
    <m/>
    <m/>
    <x v="168"/>
    <m/>
  </r>
  <r>
    <s v="8ce08fa5-135c-4a90-b68d-59437fd92fb7"/>
    <x v="3"/>
    <s v="96994c55-61e3-42b5-b83e-28f425dd127e"/>
    <s v="failed"/>
    <x v="0"/>
    <s v="2023-03-21T22:35:46.573000+00:00"/>
    <n v="205"/>
    <n v="47"/>
    <n v="0.22926829268292684"/>
    <x v="516"/>
    <x v="19"/>
    <s v="47"/>
    <s v="URL"/>
    <x v="1"/>
    <x v="1"/>
    <m/>
    <m/>
    <x v="0"/>
    <m/>
    <m/>
    <x v="168"/>
    <m/>
  </r>
  <r>
    <s v="92e3d006-9e86-4410-9183-2ab91c7bca4d"/>
    <x v="3"/>
    <s v="96994c55-61e3-42b5-b83e-28f425dd127e"/>
    <s v="failed"/>
    <x v="49"/>
    <s v="2023-03-21T23:19:52.050000+00:00"/>
    <n v="205"/>
    <n v="60"/>
    <n v="0.29268292682926828"/>
    <x v="736"/>
    <x v="19"/>
    <s v="47"/>
    <s v="URL"/>
    <x v="1"/>
    <x v="1"/>
    <m/>
    <m/>
    <x v="0"/>
    <m/>
    <m/>
    <x v="168"/>
    <m/>
  </r>
  <r>
    <s v="b6774ece-8f3f-4612-91f2-56f6fbe3586f"/>
    <x v="3"/>
    <s v="49b884e6-9ec9-4b22-b725-94f970d18d6d"/>
    <s v="failed"/>
    <x v="0"/>
    <s v="2023-03-20T22:42:19.119000+00:00"/>
    <n v="202"/>
    <n v="43"/>
    <n v="0.21287128712871287"/>
    <x v="737"/>
    <x v="19"/>
    <s v="47"/>
    <s v="URL"/>
    <x v="1"/>
    <x v="1"/>
    <m/>
    <m/>
    <x v="0"/>
    <m/>
    <m/>
    <x v="162"/>
    <m/>
  </r>
  <r>
    <s v="2f93bf3a-0413-42f0-93d8-023889613e58"/>
    <x v="3"/>
    <s v="49b884e6-9ec9-4b22-b725-94f970d18d6d"/>
    <s v="failed"/>
    <x v="49"/>
    <s v="2023-03-20T23:29:32.393000+00:00"/>
    <n v="202"/>
    <n v="57"/>
    <n v="0.28217821782178215"/>
    <x v="736"/>
    <x v="19"/>
    <s v="47"/>
    <s v="URL"/>
    <x v="1"/>
    <x v="1"/>
    <m/>
    <m/>
    <x v="0"/>
    <m/>
    <m/>
    <x v="162"/>
    <m/>
  </r>
  <r>
    <s v="2e8174a4-3492-49f5-bfa6-84b39745805d"/>
    <x v="1"/>
    <s v="2296b4f5-4bd7-4fb0-83ea-f2475693a4f7"/>
    <s v="failed"/>
    <x v="28"/>
    <s v="2023-03-28T23:41:48.067000+00:00"/>
    <n v="202"/>
    <n v="67"/>
    <n v="0.3316831683168317"/>
    <x v="738"/>
    <x v="24"/>
    <s v="48"/>
    <s v="URL"/>
    <x v="10"/>
    <x v="10"/>
    <m/>
    <m/>
    <x v="0"/>
    <m/>
    <m/>
    <x v="170"/>
    <m/>
  </r>
  <r>
    <s v="29bd7196-882c-4702-9a47-140371f5f3c6"/>
    <x v="1"/>
    <s v="1cc96481-9091-47b4-b0bd-5ed3ce34c0cc"/>
    <s v="failed"/>
    <x v="0"/>
    <s v="2023-03-27T23:33:39.434000+00:00"/>
    <n v="206"/>
    <n v="60"/>
    <n v="0.29126213592233008"/>
    <x v="739"/>
    <x v="21"/>
    <s v="47"/>
    <s v="URL"/>
    <x v="22"/>
    <x v="22"/>
    <m/>
    <m/>
    <x v="0"/>
    <m/>
    <m/>
    <x v="163"/>
    <m/>
  </r>
  <r>
    <s v="8c031f56-3d39-4c91-a30a-2a1712ad0a97"/>
    <x v="1"/>
    <s v="1cc96481-9091-47b4-b0bd-5ed3ce34c0cc"/>
    <s v="failed"/>
    <x v="0"/>
    <s v="2023-03-28T04:32:41.699000+00:00"/>
    <n v="206"/>
    <n v="67"/>
    <n v="0.32524271844660196"/>
    <x v="175"/>
    <x v="21"/>
    <s v="47"/>
    <s v="URL"/>
    <x v="18"/>
    <x v="18"/>
    <m/>
    <m/>
    <x v="0"/>
    <m/>
    <m/>
    <x v="170"/>
    <m/>
  </r>
  <r>
    <s v="3bff5e1b-6234-4bf4-9a31-3b5a2a57eb13"/>
    <x v="1"/>
    <s v="1cc96481-9091-47b4-b0bd-5ed3ce34c0cc"/>
    <s v="failed"/>
    <x v="0"/>
    <s v="2023-03-28T04:57:47.764000+00:00"/>
    <n v="206"/>
    <n v="75"/>
    <n v="0.36407766990291263"/>
    <x v="740"/>
    <x v="21"/>
    <s v="47"/>
    <s v="URL"/>
    <x v="18"/>
    <x v="18"/>
    <m/>
    <m/>
    <x v="0"/>
    <m/>
    <m/>
    <x v="170"/>
    <m/>
  </r>
  <r>
    <s v="c0fe1872-fe49-4e9d-8c49-85227fb68421"/>
    <x v="1"/>
    <s v="1cc96481-9091-47b4-b0bd-5ed3ce34c0cc"/>
    <s v="failed"/>
    <x v="0"/>
    <s v="2023-03-28T05:40:43.647000+00:00"/>
    <n v="206"/>
    <n v="87"/>
    <n v="0.42233009708737862"/>
    <x v="741"/>
    <x v="21"/>
    <s v="47"/>
    <s v="URL"/>
    <x v="0"/>
    <x v="0"/>
    <m/>
    <m/>
    <x v="0"/>
    <m/>
    <m/>
    <x v="170"/>
    <m/>
  </r>
  <r>
    <s v="06ea4c31-2b68-4f4b-8a22-ab604e843241"/>
    <x v="1"/>
    <s v="1cc96481-9091-47b4-b0bd-5ed3ce34c0cc"/>
    <s v="failed"/>
    <x v="29"/>
    <s v="2023-03-28T05:45:12.411000+00:00"/>
    <n v="206"/>
    <n v="89"/>
    <n v="0.43203883495145629"/>
    <x v="742"/>
    <x v="21"/>
    <s v="47"/>
    <s v="URL"/>
    <x v="0"/>
    <x v="0"/>
    <m/>
    <m/>
    <x v="0"/>
    <m/>
    <m/>
    <x v="170"/>
    <m/>
  </r>
  <r>
    <s v="bba7316a-d22e-4071-9c0b-20a6c6cf9d80"/>
    <x v="1"/>
    <s v="87df7281-4ccb-4698-9c60-d2f01cb8ef8a"/>
    <s v="completed"/>
    <x v="0"/>
    <s v="2023-03-26T18:59:21.993000+00:00"/>
    <n v="103"/>
    <n v="4"/>
    <n v="3.8834951456310676E-2"/>
    <x v="743"/>
    <x v="3"/>
    <s v="48"/>
    <s v="URL"/>
    <x v="18"/>
    <x v="18"/>
    <m/>
    <m/>
    <x v="0"/>
    <m/>
    <m/>
    <x v="164"/>
    <m/>
  </r>
  <r>
    <m/>
    <x v="1"/>
    <s v="87df7281-4ccb-4698-9c60-d2f01cb8ef8a"/>
    <s v="completed"/>
    <x v="3"/>
    <s v="2023-03-27T00:30:56.747000+00:00"/>
    <n v="103"/>
    <n v="102"/>
    <n v="0.99029126213592233"/>
    <x v="4"/>
    <x v="3"/>
    <s v="48"/>
    <m/>
    <x v="2"/>
    <x v="2"/>
    <m/>
    <m/>
    <x v="0"/>
    <m/>
    <m/>
    <x v="163"/>
    <m/>
  </r>
  <r>
    <m/>
    <x v="1"/>
    <s v="e6e1b4ce-dba8-4bf7-a798-7ebcd345bb55"/>
    <s v="stopped"/>
    <x v="0"/>
    <s v="2023-03-25T09:53:51.022000+00:00"/>
    <n v="204"/>
    <n v="55"/>
    <n v="0.26960784313725489"/>
    <x v="188"/>
    <x v="21"/>
    <s v="47"/>
    <m/>
    <x v="18"/>
    <x v="18"/>
    <m/>
    <m/>
    <x v="0"/>
    <m/>
    <m/>
    <x v="165"/>
    <m/>
  </r>
  <r>
    <s v="043486d4-0aa6-45cc-8475-2e6ff871e49f"/>
    <x v="1"/>
    <s v="e6e1b4ce-dba8-4bf7-a798-7ebcd345bb55"/>
    <s v="stopped"/>
    <x v="0"/>
    <s v="2023-03-25T04:32:54.376000+00:00"/>
    <n v="204"/>
    <n v="60"/>
    <n v="0.29411764705882354"/>
    <x v="739"/>
    <x v="21"/>
    <s v="47"/>
    <s v="URL"/>
    <x v="18"/>
    <x v="18"/>
    <m/>
    <m/>
    <x v="0"/>
    <m/>
    <m/>
    <x v="165"/>
    <m/>
  </r>
  <r>
    <s v="ee3384a1-9b72-4a0d-83f1-9eea5ad084ee"/>
    <x v="1"/>
    <s v="e6e1b4ce-dba8-4bf7-a798-7ebcd345bb55"/>
    <s v="stopped"/>
    <x v="0"/>
    <s v="2023-03-25T04:53:06.235000+00:00"/>
    <n v="204"/>
    <n v="67"/>
    <n v="0.32843137254901961"/>
    <x v="175"/>
    <x v="21"/>
    <s v="47"/>
    <s v="URL"/>
    <x v="1"/>
    <x v="1"/>
    <m/>
    <m/>
    <x v="0"/>
    <m/>
    <m/>
    <x v="165"/>
    <m/>
  </r>
  <r>
    <m/>
    <x v="1"/>
    <s v="f214be1d-dce1-4069-b28a-a200ef470370"/>
    <s v="stopped"/>
    <x v="3"/>
    <s v="2023-03-24T14:54:32.008000+00:00"/>
    <n v="202"/>
    <n v="1"/>
    <n v="4.9504950495049506E-3"/>
    <x v="4"/>
    <x v="21"/>
    <s v="47"/>
    <m/>
    <x v="2"/>
    <x v="2"/>
    <m/>
    <m/>
    <x v="0"/>
    <m/>
    <m/>
    <x v="166"/>
    <m/>
  </r>
  <r>
    <s v="480a8d67-f257-46cf-a0c0-2a77bc1b03e3"/>
    <x v="1"/>
    <s v="a71c6cde-bae0-419d-9930-8f0b8517bff7"/>
    <s v="completed"/>
    <x v="0"/>
    <s v="2023-03-24T05:25:37.275000+00:00"/>
    <n v="206"/>
    <n v="159"/>
    <n v="0.77184466019417475"/>
    <x v="744"/>
    <x v="21"/>
    <s v="47"/>
    <s v="URL"/>
    <x v="1"/>
    <x v="1"/>
    <m/>
    <m/>
    <x v="0"/>
    <m/>
    <m/>
    <x v="166"/>
    <m/>
  </r>
  <r>
    <s v="bd63b3cc-220d-480b-8045-034256860c96"/>
    <x v="1"/>
    <s v="a71c6cde-bae0-419d-9930-8f0b8517bff7"/>
    <s v="completed"/>
    <x v="0"/>
    <s v="2023-03-24T05:45:45.074000+00:00"/>
    <n v="206"/>
    <n v="166"/>
    <n v="0.80582524271844658"/>
    <x v="745"/>
    <x v="21"/>
    <s v="47"/>
    <s v="URL"/>
    <x v="1"/>
    <x v="1"/>
    <m/>
    <m/>
    <x v="0"/>
    <m/>
    <m/>
    <x v="166"/>
    <m/>
  </r>
  <r>
    <s v="14279cc8-d796-4f82-9923-9d3619755192"/>
    <x v="1"/>
    <s v="a71c6cde-bae0-419d-9930-8f0b8517bff7"/>
    <s v="completed"/>
    <x v="0"/>
    <s v="2023-03-24T05:49:28.996000+00:00"/>
    <n v="206"/>
    <n v="168"/>
    <n v="0.81553398058252424"/>
    <x v="746"/>
    <x v="21"/>
    <s v="47"/>
    <s v="URL"/>
    <x v="1"/>
    <x v="1"/>
    <m/>
    <m/>
    <x v="0"/>
    <m/>
    <m/>
    <x v="166"/>
    <m/>
  </r>
  <r>
    <m/>
    <x v="1"/>
    <s v="a71c6cde-bae0-419d-9930-8f0b8517bff7"/>
    <s v="completed"/>
    <x v="0"/>
    <s v="2023-03-24T07:46:04.633000+00:00"/>
    <n v="206"/>
    <n v="192"/>
    <n v="0.93203883495145634"/>
    <x v="730"/>
    <x v="21"/>
    <s v="47"/>
    <m/>
    <x v="18"/>
    <x v="18"/>
    <m/>
    <m/>
    <x v="0"/>
    <m/>
    <m/>
    <x v="166"/>
    <m/>
  </r>
  <r>
    <m/>
    <x v="1"/>
    <s v="a71c6cde-bae0-419d-9930-8f0b8517bff7"/>
    <s v="completed"/>
    <x v="3"/>
    <s v="2023-03-24T07:46:04.633000+00:00"/>
    <n v="206"/>
    <n v="202"/>
    <n v="0.98058252427184467"/>
    <x v="4"/>
    <x v="21"/>
    <s v="47"/>
    <m/>
    <x v="2"/>
    <x v="2"/>
    <m/>
    <m/>
    <x v="0"/>
    <m/>
    <m/>
    <x v="166"/>
    <m/>
  </r>
  <r>
    <s v="a6b695a6-88f8-4953-8833-1b4a125a58f2"/>
    <x v="1"/>
    <s v="05e7fe1d-7b70-4d93-bf57-b4f6249c5cd3"/>
    <s v="failed"/>
    <x v="0"/>
    <s v="2023-03-21T23:48:51.971000+00:00"/>
    <n v="203"/>
    <n v="66"/>
    <n v="0.3251231527093596"/>
    <x v="175"/>
    <x v="21"/>
    <s v="47"/>
    <s v="URL"/>
    <x v="18"/>
    <x v="18"/>
    <m/>
    <m/>
    <x v="0"/>
    <m/>
    <m/>
    <x v="168"/>
    <m/>
  </r>
  <r>
    <s v="c875ad08-94b0-4ed5-b03e-a6633bf7a45f"/>
    <x v="1"/>
    <s v="05e7fe1d-7b70-4d93-bf57-b4f6249c5cd3"/>
    <s v="failed"/>
    <x v="49"/>
    <s v="2023-03-22T00:36:08.235000+00:00"/>
    <n v="203"/>
    <n v="81"/>
    <n v="0.39901477832512317"/>
    <x v="747"/>
    <x v="21"/>
    <s v="47"/>
    <s v="URL"/>
    <x v="1"/>
    <x v="1"/>
    <m/>
    <m/>
    <x v="0"/>
    <m/>
    <m/>
    <x v="169"/>
    <m/>
  </r>
  <r>
    <s v="1994adb1-ebd2-4f18-8352-47a7303ef7db"/>
    <x v="1"/>
    <s v="e9dc01b9-29f0-4535-a433-9c76a2e563da"/>
    <s v="failed"/>
    <x v="0"/>
    <s v="2023-03-21T00:02:52.810000+00:00"/>
    <n v="202"/>
    <n v="65"/>
    <n v="0.32178217821782179"/>
    <x v="175"/>
    <x v="21"/>
    <s v="47"/>
    <s v="URL"/>
    <x v="18"/>
    <x v="18"/>
    <m/>
    <m/>
    <x v="0"/>
    <m/>
    <m/>
    <x v="168"/>
    <m/>
  </r>
  <r>
    <s v="eb3ea2ae-486d-40c3-9af0-c910b1f6694b"/>
    <x v="1"/>
    <s v="e9dc01b9-29f0-4535-a433-9c76a2e563da"/>
    <s v="failed"/>
    <x v="61"/>
    <s v="2023-03-21T02:09:49.823000+00:00"/>
    <n v="202"/>
    <n v="101"/>
    <n v="0.5"/>
    <x v="512"/>
    <x v="21"/>
    <s v="47"/>
    <s v="URL"/>
    <x v="13"/>
    <x v="13"/>
    <m/>
    <m/>
    <x v="0"/>
    <m/>
    <m/>
    <x v="168"/>
    <m/>
  </r>
  <r>
    <s v="a5ff5bf9-20af-4d5e-a1e5-2bb239b5d93c"/>
    <x v="5"/>
    <s v="c5793a91-c1b9-4ead-a057-8229a8858c97"/>
    <s v="completed"/>
    <x v="0"/>
    <s v="2023-03-27T18:11:40.588000+00:00"/>
    <n v="37"/>
    <n v="4"/>
    <n v="0.10810810810810811"/>
    <x v="295"/>
    <x v="5"/>
    <s v="61"/>
    <s v="URL"/>
    <x v="18"/>
    <x v="18"/>
    <m/>
    <m/>
    <x v="0"/>
    <m/>
    <m/>
    <x v="163"/>
    <m/>
  </r>
  <r>
    <s v="e9f92ee1-8a61-49cf-9238-34cfc5ba2737"/>
    <x v="5"/>
    <s v="c5793a91-c1b9-4ead-a057-8229a8858c97"/>
    <s v="completed"/>
    <x v="0"/>
    <s v="2023-03-27T18:34:32.340000+00:00"/>
    <n v="37"/>
    <n v="11"/>
    <n v="0.29729729729729731"/>
    <x v="365"/>
    <x v="5"/>
    <s v="61"/>
    <s v="URL"/>
    <x v="18"/>
    <x v="18"/>
    <m/>
    <m/>
    <x v="0"/>
    <m/>
    <m/>
    <x v="163"/>
    <m/>
  </r>
  <r>
    <s v="433ff9fa-dbac-4656-af84-46797aae0dfa"/>
    <x v="5"/>
    <s v="c5793a91-c1b9-4ead-a057-8229a8858c97"/>
    <s v="completed"/>
    <x v="0"/>
    <s v="2023-03-27T19:05:24.329000+00:00"/>
    <n v="37"/>
    <n v="19"/>
    <n v="0.51351351351351349"/>
    <x v="748"/>
    <x v="5"/>
    <s v="61"/>
    <s v="URL"/>
    <x v="1"/>
    <x v="1"/>
    <m/>
    <m/>
    <x v="0"/>
    <m/>
    <m/>
    <x v="163"/>
    <m/>
  </r>
  <r>
    <m/>
    <x v="5"/>
    <s v="c5793a91-c1b9-4ead-a057-8229a8858c97"/>
    <s v="completed"/>
    <x v="3"/>
    <s v="2023-03-27T20:02:37.127000+00:00"/>
    <n v="37"/>
    <n v="34"/>
    <n v="0.91891891891891897"/>
    <x v="4"/>
    <x v="5"/>
    <s v="61"/>
    <m/>
    <x v="2"/>
    <x v="2"/>
    <m/>
    <m/>
    <x v="0"/>
    <m/>
    <m/>
    <x v="163"/>
    <m/>
  </r>
  <r>
    <m/>
    <x v="5"/>
    <s v="94180264-6481-4abf-a2ef-ff7026ba7508"/>
    <m/>
    <x v="0"/>
    <s v="2023-03-24T17:42:42.639000+00:00"/>
    <n v="43"/>
    <n v="1"/>
    <n v="2.3255813953488372E-2"/>
    <x v="291"/>
    <x v="5"/>
    <s v="62"/>
    <m/>
    <x v="1"/>
    <x v="1"/>
    <m/>
    <m/>
    <x v="0"/>
    <m/>
    <m/>
    <x v="166"/>
    <m/>
  </r>
  <r>
    <m/>
    <x v="5"/>
    <s v="94180264-6481-4abf-a2ef-ff7026ba7508"/>
    <m/>
    <x v="3"/>
    <s v="2023-03-24T20:02:04.869000+00:00"/>
    <n v="43"/>
    <n v="42"/>
    <n v="0.97674418604651159"/>
    <x v="287"/>
    <x v="5"/>
    <s v="62"/>
    <m/>
    <x v="1"/>
    <x v="1"/>
    <m/>
    <m/>
    <x v="0"/>
    <m/>
    <m/>
    <x v="166"/>
    <m/>
  </r>
  <r>
    <s v="f220a1c0-6784-4dea-957c-e75bdc8633da"/>
    <x v="5"/>
    <s v="eb19bd5b-dfcc-4d11-b2c6-5889629fc6f8"/>
    <s v="failed"/>
    <x v="0"/>
    <s v="2023-03-20T17:42:01.954000+00:00"/>
    <n v="37"/>
    <n v="4"/>
    <n v="0.10810810810810811"/>
    <x v="295"/>
    <x v="5"/>
    <s v="61"/>
    <s v="URL"/>
    <x v="18"/>
    <x v="18"/>
    <m/>
    <m/>
    <x v="0"/>
    <m/>
    <m/>
    <x v="162"/>
    <m/>
  </r>
  <r>
    <s v="88711984-8559-4df2-84a1-20cb3546a0de"/>
    <x v="5"/>
    <s v="eb19bd5b-dfcc-4d11-b2c6-5889629fc6f8"/>
    <s v="failed"/>
    <x v="42"/>
    <s v="2023-03-20T18:51:52.827000+00:00"/>
    <n v="37"/>
    <n v="25"/>
    <n v="0.67567567567567566"/>
    <x v="309"/>
    <x v="5"/>
    <s v="61"/>
    <s v="URL"/>
    <x v="7"/>
    <x v="7"/>
    <m/>
    <m/>
    <x v="0"/>
    <m/>
    <m/>
    <x v="162"/>
    <m/>
  </r>
  <r>
    <m/>
    <x v="6"/>
    <s v="992defeb-f203-47ef-a9c1-61902bf98073"/>
    <s v="completed"/>
    <x v="3"/>
    <s v="2023-03-28T19:00:45.891000+00:00"/>
    <n v="11"/>
    <n v="11"/>
    <n v="1"/>
    <x v="4"/>
    <x v="5"/>
    <s v="53"/>
    <m/>
    <x v="2"/>
    <x v="2"/>
    <m/>
    <m/>
    <x v="0"/>
    <m/>
    <m/>
    <x v="170"/>
    <m/>
  </r>
  <r>
    <m/>
    <x v="6"/>
    <s v="992defeb-f203-47ef-a9c1-61902bf98073"/>
    <s v="completed"/>
    <x v="3"/>
    <s v="2023-03-28T19:00:45.891000+00:00"/>
    <n v="11"/>
    <n v="11"/>
    <n v="1"/>
    <x v="4"/>
    <x v="5"/>
    <s v="53"/>
    <m/>
    <x v="2"/>
    <x v="2"/>
    <m/>
    <m/>
    <x v="0"/>
    <m/>
    <m/>
    <x v="170"/>
    <m/>
  </r>
  <r>
    <m/>
    <x v="6"/>
    <s v="9754b839-7e29-415c-9bee-9e7db688c402"/>
    <s v="stopped"/>
    <x v="3"/>
    <s v="2023-03-28T13:36:34.614000+00:00"/>
    <n v="10"/>
    <n v="0"/>
    <n v="0"/>
    <x v="4"/>
    <x v="5"/>
    <s v="53"/>
    <m/>
    <x v="2"/>
    <x v="2"/>
    <m/>
    <m/>
    <x v="0"/>
    <m/>
    <m/>
    <x v="170"/>
    <m/>
  </r>
  <r>
    <m/>
    <x v="6"/>
    <s v="d1a3d362-24f6-4673-bf40-96162209a440"/>
    <s v="completed"/>
    <x v="3"/>
    <s v="2023-03-27T19:51:36.302000+00:00"/>
    <n v="11"/>
    <n v="11"/>
    <n v="1"/>
    <x v="4"/>
    <x v="5"/>
    <s v="54"/>
    <m/>
    <x v="2"/>
    <x v="2"/>
    <m/>
    <m/>
    <x v="0"/>
    <m/>
    <m/>
    <x v="163"/>
    <m/>
  </r>
  <r>
    <m/>
    <x v="6"/>
    <s v="d1a3d362-24f6-4673-bf40-96162209a440"/>
    <s v="completed"/>
    <x v="3"/>
    <s v="2023-03-27T19:51:36.302000+00:00"/>
    <n v="11"/>
    <n v="11"/>
    <n v="1"/>
    <x v="4"/>
    <x v="5"/>
    <s v="54"/>
    <m/>
    <x v="2"/>
    <x v="2"/>
    <m/>
    <m/>
    <x v="0"/>
    <m/>
    <m/>
    <x v="163"/>
    <m/>
  </r>
  <r>
    <s v="c0893b93-ff53-4fda-ac22-46fd21d7a4d8"/>
    <x v="6"/>
    <s v="cbd2938f-3b51-42a4-a946-dbaa1a31292a"/>
    <s v="failed"/>
    <x v="25"/>
    <s v="2023-03-26T19:16:49.666000+00:00"/>
    <n v="11"/>
    <n v="2"/>
    <n v="0.18181818181818182"/>
    <x v="281"/>
    <x v="5"/>
    <s v="53"/>
    <s v="URL"/>
    <x v="5"/>
    <x v="5"/>
    <m/>
    <m/>
    <x v="0"/>
    <m/>
    <m/>
    <x v="164"/>
    <m/>
  </r>
  <r>
    <s v="dce343ef-d7e8-4321-a80d-b2140609a8f6"/>
    <x v="6"/>
    <s v="0736be7d-35ad-440b-9d28-5d6ccfb45e82"/>
    <s v="completed"/>
    <x v="0"/>
    <s v="2023-03-24T19:43:58.198000+00:00"/>
    <n v="11"/>
    <n v="7"/>
    <n v="0.63636363636363635"/>
    <x v="322"/>
    <x v="5"/>
    <s v="53"/>
    <s v="URL"/>
    <x v="3"/>
    <x v="3"/>
    <m/>
    <m/>
    <x v="0"/>
    <m/>
    <m/>
    <x v="166"/>
    <m/>
  </r>
  <r>
    <m/>
    <x v="6"/>
    <s v="0736be7d-35ad-440b-9d28-5d6ccfb45e82"/>
    <s v="completed"/>
    <x v="3"/>
    <s v="2023-03-24T19:50:24.377000+00:00"/>
    <n v="11"/>
    <n v="10"/>
    <n v="0.90909090909090906"/>
    <x v="4"/>
    <x v="5"/>
    <s v="53"/>
    <m/>
    <x v="2"/>
    <x v="2"/>
    <m/>
    <m/>
    <x v="0"/>
    <m/>
    <m/>
    <x v="166"/>
    <m/>
  </r>
  <r>
    <s v="a1c6f1da-9ba0-4d5b-b669-95d1cce23155"/>
    <x v="6"/>
    <s v="dfad04dd-a41f-49cf-9c36-f85dbe3f86c2"/>
    <s v="completed"/>
    <x v="0"/>
    <s v="2023-03-23T19:53:35.784000+00:00"/>
    <n v="22"/>
    <n v="14"/>
    <n v="0.63636363636363635"/>
    <x v="511"/>
    <x v="5"/>
    <s v="51"/>
    <s v="URL"/>
    <x v="3"/>
    <x v="3"/>
    <m/>
    <m/>
    <x v="0"/>
    <m/>
    <m/>
    <x v="167"/>
    <m/>
  </r>
  <r>
    <s v="f797e9e3-ea04-4258-a2c9-1d8a6560cb6f"/>
    <x v="6"/>
    <s v="dfad04dd-a41f-49cf-9c36-f85dbe3f86c2"/>
    <s v="completed"/>
    <x v="0"/>
    <s v="2023-03-23T19:59:49.773000+00:00"/>
    <n v="22"/>
    <n v="17"/>
    <n v="0.77272727272727271"/>
    <x v="275"/>
    <x v="5"/>
    <s v="51"/>
    <s v="URL"/>
    <x v="3"/>
    <x v="3"/>
    <m/>
    <m/>
    <x v="0"/>
    <m/>
    <m/>
    <x v="167"/>
    <m/>
  </r>
  <r>
    <m/>
    <x v="6"/>
    <s v="dfad04dd-a41f-49cf-9c36-f85dbe3f86c2"/>
    <s v="completed"/>
    <x v="3"/>
    <s v="2023-03-23T20:08:23.823000+00:00"/>
    <n v="22"/>
    <n v="20"/>
    <n v="0.90909090909090906"/>
    <x v="4"/>
    <x v="5"/>
    <s v="51"/>
    <m/>
    <x v="2"/>
    <x v="2"/>
    <m/>
    <m/>
    <x v="0"/>
    <m/>
    <m/>
    <x v="167"/>
    <m/>
  </r>
  <r>
    <m/>
    <x v="6"/>
    <s v="e479bc7c-e03d-4c00-bcbe-d25fe933f58a"/>
    <s v="completed"/>
    <x v="3"/>
    <s v="2023-03-22T19:21:49.276000+00:00"/>
    <n v="11"/>
    <n v="11"/>
    <n v="1"/>
    <x v="4"/>
    <x v="5"/>
    <s v="54"/>
    <m/>
    <x v="2"/>
    <x v="2"/>
    <m/>
    <m/>
    <x v="0"/>
    <m/>
    <m/>
    <x v="169"/>
    <m/>
  </r>
  <r>
    <m/>
    <x v="6"/>
    <s v="e479bc7c-e03d-4c00-bcbe-d25fe933f58a"/>
    <s v="completed"/>
    <x v="3"/>
    <s v="2023-03-22T19:21:49.276000+00:00"/>
    <n v="11"/>
    <n v="11"/>
    <n v="1"/>
    <x v="4"/>
    <x v="5"/>
    <s v="54"/>
    <m/>
    <x v="2"/>
    <x v="2"/>
    <m/>
    <m/>
    <x v="0"/>
    <m/>
    <m/>
    <x v="169"/>
    <m/>
  </r>
  <r>
    <m/>
    <x v="6"/>
    <s v="8084a62d-ce06-4891-8acd-7852d191db5d"/>
    <s v="completed"/>
    <x v="3"/>
    <s v="2023-03-21T19:21:02.054000+00:00"/>
    <n v="11"/>
    <n v="11"/>
    <n v="1"/>
    <x v="4"/>
    <x v="5"/>
    <s v="53"/>
    <m/>
    <x v="2"/>
    <x v="2"/>
    <m/>
    <m/>
    <x v="0"/>
    <m/>
    <m/>
    <x v="168"/>
    <m/>
  </r>
  <r>
    <m/>
    <x v="6"/>
    <s v="8084a62d-ce06-4891-8acd-7852d191db5d"/>
    <s v="completed"/>
    <x v="3"/>
    <s v="2023-03-21T19:21:02.054000+00:00"/>
    <n v="11"/>
    <n v="11"/>
    <n v="1"/>
    <x v="4"/>
    <x v="5"/>
    <s v="53"/>
    <m/>
    <x v="2"/>
    <x v="2"/>
    <m/>
    <m/>
    <x v="0"/>
    <m/>
    <m/>
    <x v="168"/>
    <m/>
  </r>
  <r>
    <s v="c4c5f9f1-0a95-4a1a-83bc-44ee0df007b0"/>
    <x v="6"/>
    <s v="715a6e45-0f75-4c93-9124-5cfff01ad532"/>
    <m/>
    <x v="0"/>
    <s v="2023-03-20T19:37:59.046000+00:00"/>
    <n v="20"/>
    <n v="4"/>
    <n v="0.2"/>
    <x v="315"/>
    <x v="5"/>
    <s v="52"/>
    <s v="URL"/>
    <x v="3"/>
    <x v="3"/>
    <m/>
    <m/>
    <x v="0"/>
    <m/>
    <m/>
    <x v="162"/>
    <m/>
  </r>
  <r>
    <s v="7bacd616-2284-41ec-a137-5478c8bcdc2e"/>
    <x v="6"/>
    <s v="715a6e45-0f75-4c93-9124-5cfff01ad532"/>
    <m/>
    <x v="3"/>
    <s v="2023-03-20T20:10:20.336000+00:00"/>
    <n v="20"/>
    <n v="19"/>
    <n v="0.95"/>
    <x v="301"/>
    <x v="5"/>
    <s v="52"/>
    <s v="URL"/>
    <x v="1"/>
    <x v="1"/>
    <m/>
    <m/>
    <x v="0"/>
    <m/>
    <m/>
    <x v="162"/>
    <m/>
  </r>
  <r>
    <m/>
    <x v="4"/>
    <s v="82946b37-aa15-40bb-8bcc-bf9ad86fd312"/>
    <s v="completed"/>
    <x v="3"/>
    <s v="2023-03-27T23:38:50.617000+00:00"/>
    <n v="125"/>
    <n v="125"/>
    <n v="1"/>
    <x v="4"/>
    <x v="5"/>
    <s v="14"/>
    <m/>
    <x v="2"/>
    <x v="2"/>
    <m/>
    <m/>
    <x v="0"/>
    <m/>
    <m/>
    <x v="163"/>
    <m/>
  </r>
  <r>
    <m/>
    <x v="4"/>
    <s v="82946b37-aa15-40bb-8bcc-bf9ad86fd312"/>
    <s v="completed"/>
    <x v="3"/>
    <s v="2023-03-27T23:38:50.617000+00:00"/>
    <n v="125"/>
    <n v="125"/>
    <n v="1"/>
    <x v="4"/>
    <x v="5"/>
    <s v="14"/>
    <m/>
    <x v="2"/>
    <x v="2"/>
    <m/>
    <m/>
    <x v="0"/>
    <m/>
    <m/>
    <x v="163"/>
    <m/>
  </r>
  <r>
    <m/>
    <x v="4"/>
    <s v="586c8f94-3beb-4e52-bc95-96ada40e5f3b"/>
    <s v="failed"/>
    <x v="33"/>
    <s v="2023-03-26T21:08:23.122000+00:00"/>
    <n v="152"/>
    <n v="28"/>
    <n v="0.18421052631578946"/>
    <x v="245"/>
    <x v="5"/>
    <s v="14"/>
    <m/>
    <x v="31"/>
    <x v="26"/>
    <m/>
    <m/>
    <x v="0"/>
    <m/>
    <m/>
    <x v="164"/>
    <m/>
  </r>
  <r>
    <m/>
    <x v="7"/>
    <s v="38110ce5-add6-4b6f-b30c-d65ef3bfb45c"/>
    <s v="completed"/>
    <x v="3"/>
    <s v="2023-03-29T01:34:24.426000+00:00"/>
    <n v="120"/>
    <n v="120"/>
    <n v="1"/>
    <x v="4"/>
    <x v="0"/>
    <s v="10"/>
    <m/>
    <x v="2"/>
    <x v="2"/>
    <m/>
    <m/>
    <x v="0"/>
    <m/>
    <m/>
    <x v="171"/>
    <m/>
  </r>
  <r>
    <m/>
    <x v="7"/>
    <s v="38110ce5-add6-4b6f-b30c-d65ef3bfb45c"/>
    <s v="completed"/>
    <x v="3"/>
    <s v="2023-03-29T01:34:24.426000+00:00"/>
    <n v="120"/>
    <n v="120"/>
    <n v="1"/>
    <x v="4"/>
    <x v="0"/>
    <s v="10"/>
    <m/>
    <x v="2"/>
    <x v="2"/>
    <m/>
    <m/>
    <x v="0"/>
    <m/>
    <m/>
    <x v="171"/>
    <m/>
  </r>
  <r>
    <m/>
    <x v="7"/>
    <s v="bedf28dc-a985-4593-a0d1-d3424038d94b"/>
    <s v="failed"/>
    <x v="0"/>
    <s v="2023-03-25T21:45:26.378000+00:00"/>
    <n v="129"/>
    <n v="47"/>
    <n v="0.36434108527131781"/>
    <x v="749"/>
    <x v="0"/>
    <s v="10"/>
    <m/>
    <x v="24"/>
    <x v="24"/>
    <m/>
    <m/>
    <x v="0"/>
    <m/>
    <m/>
    <x v="165"/>
    <m/>
  </r>
  <r>
    <m/>
    <x v="7"/>
    <s v="bedf28dc-a985-4593-a0d1-d3424038d94b"/>
    <s v="failed"/>
    <x v="0"/>
    <s v="2023-03-25T21:50:04.070000+00:00"/>
    <n v="129"/>
    <n v="49"/>
    <n v="0.37984496124031009"/>
    <x v="750"/>
    <x v="0"/>
    <s v="10"/>
    <m/>
    <x v="20"/>
    <x v="20"/>
    <m/>
    <m/>
    <x v="0"/>
    <m/>
    <m/>
    <x v="165"/>
    <m/>
  </r>
  <r>
    <m/>
    <x v="7"/>
    <s v="bedf28dc-a985-4593-a0d1-d3424038d94b"/>
    <s v="failed"/>
    <x v="0"/>
    <s v="2023-03-25T21:51:36.305000+00:00"/>
    <n v="129"/>
    <n v="51"/>
    <n v="0.39534883720930231"/>
    <x v="751"/>
    <x v="0"/>
    <s v="10"/>
    <m/>
    <x v="20"/>
    <x v="20"/>
    <m/>
    <m/>
    <x v="0"/>
    <m/>
    <m/>
    <x v="165"/>
    <m/>
  </r>
  <r>
    <m/>
    <x v="7"/>
    <s v="bedf28dc-a985-4593-a0d1-d3424038d94b"/>
    <s v="failed"/>
    <x v="0"/>
    <s v="2023-03-25T21:53:24.793000+00:00"/>
    <n v="129"/>
    <n v="53"/>
    <n v="0.41085271317829458"/>
    <x v="752"/>
    <x v="0"/>
    <s v="10"/>
    <m/>
    <x v="20"/>
    <x v="20"/>
    <m/>
    <m/>
    <x v="0"/>
    <m/>
    <m/>
    <x v="165"/>
    <m/>
  </r>
  <r>
    <m/>
    <x v="7"/>
    <s v="bedf28dc-a985-4593-a0d1-d3424038d94b"/>
    <s v="failed"/>
    <x v="0"/>
    <s v="2023-03-25T21:54:01.197000+00:00"/>
    <n v="129"/>
    <n v="55"/>
    <n v="0.4263565891472868"/>
    <x v="459"/>
    <x v="0"/>
    <s v="10"/>
    <m/>
    <x v="20"/>
    <x v="20"/>
    <m/>
    <m/>
    <x v="0"/>
    <m/>
    <m/>
    <x v="165"/>
    <m/>
  </r>
  <r>
    <m/>
    <x v="7"/>
    <s v="bedf28dc-a985-4593-a0d1-d3424038d94b"/>
    <s v="failed"/>
    <x v="0"/>
    <s v="2023-03-25T21:55:35.168000+00:00"/>
    <n v="129"/>
    <n v="57"/>
    <n v="0.44186046511627908"/>
    <x v="753"/>
    <x v="0"/>
    <s v="10"/>
    <m/>
    <x v="20"/>
    <x v="20"/>
    <m/>
    <m/>
    <x v="0"/>
    <m/>
    <m/>
    <x v="165"/>
    <m/>
  </r>
  <r>
    <m/>
    <x v="7"/>
    <s v="bedf28dc-a985-4593-a0d1-d3424038d94b"/>
    <s v="failed"/>
    <x v="0"/>
    <s v="2023-03-25T21:57:08.123000+00:00"/>
    <n v="129"/>
    <n v="59"/>
    <n v="0.4573643410852713"/>
    <x v="754"/>
    <x v="0"/>
    <s v="10"/>
    <m/>
    <x v="20"/>
    <x v="20"/>
    <m/>
    <m/>
    <x v="0"/>
    <m/>
    <m/>
    <x v="165"/>
    <m/>
  </r>
  <r>
    <m/>
    <x v="7"/>
    <s v="bedf28dc-a985-4593-a0d1-d3424038d94b"/>
    <s v="failed"/>
    <x v="0"/>
    <s v="2023-03-25T21:58:39.101000+00:00"/>
    <n v="129"/>
    <n v="61"/>
    <n v="0.47286821705426357"/>
    <x v="755"/>
    <x v="0"/>
    <s v="10"/>
    <m/>
    <x v="20"/>
    <x v="20"/>
    <m/>
    <m/>
    <x v="0"/>
    <m/>
    <m/>
    <x v="165"/>
    <m/>
  </r>
  <r>
    <m/>
    <x v="7"/>
    <s v="bedf28dc-a985-4593-a0d1-d3424038d94b"/>
    <s v="failed"/>
    <x v="0"/>
    <s v="2023-03-25T22:00:11.506000+00:00"/>
    <n v="129"/>
    <n v="63"/>
    <n v="0.48837209302325579"/>
    <x v="756"/>
    <x v="0"/>
    <s v="10"/>
    <m/>
    <x v="20"/>
    <x v="20"/>
    <m/>
    <m/>
    <x v="0"/>
    <m/>
    <m/>
    <x v="165"/>
    <m/>
  </r>
  <r>
    <m/>
    <x v="7"/>
    <s v="bedf28dc-a985-4593-a0d1-d3424038d94b"/>
    <s v="failed"/>
    <x v="34"/>
    <s v="2023-03-25T22:01:42.203000+00:00"/>
    <n v="129"/>
    <n v="65"/>
    <n v="0.50387596899224807"/>
    <x v="757"/>
    <x v="0"/>
    <s v="10"/>
    <m/>
    <x v="20"/>
    <x v="20"/>
    <m/>
    <m/>
    <x v="0"/>
    <m/>
    <m/>
    <x v="165"/>
    <m/>
  </r>
  <r>
    <m/>
    <x v="7"/>
    <s v="635f25d0-1e1d-473b-b4ca-24da738a5080"/>
    <s v="completed"/>
    <x v="0"/>
    <s v="2023-03-25T01:52:36.895000+00:00"/>
    <n v="121"/>
    <n v="108"/>
    <n v="0.8925619834710744"/>
    <x v="758"/>
    <x v="2"/>
    <s v="10"/>
    <m/>
    <x v="0"/>
    <x v="0"/>
    <m/>
    <m/>
    <x v="0"/>
    <m/>
    <m/>
    <x v="165"/>
    <m/>
  </r>
  <r>
    <m/>
    <x v="7"/>
    <s v="635f25d0-1e1d-473b-b4ca-24da738a5080"/>
    <s v="completed"/>
    <x v="3"/>
    <s v="2023-03-25T02:38:09.777000+00:00"/>
    <n v="121"/>
    <n v="120"/>
    <n v="0.99173553719008267"/>
    <x v="4"/>
    <x v="2"/>
    <s v="10"/>
    <m/>
    <x v="2"/>
    <x v="2"/>
    <m/>
    <m/>
    <x v="0"/>
    <m/>
    <m/>
    <x v="165"/>
    <m/>
  </r>
  <r>
    <m/>
    <x v="7"/>
    <s v="8cfb94d2-6298-4047-a5c9-47b9a4c9f949"/>
    <s v="completed"/>
    <x v="3"/>
    <s v="2023-03-24T03:21:19.727000+00:00"/>
    <n v="68"/>
    <n v="68"/>
    <n v="1"/>
    <x v="4"/>
    <x v="0"/>
    <s v="10"/>
    <m/>
    <x v="2"/>
    <x v="2"/>
    <m/>
    <m/>
    <x v="0"/>
    <m/>
    <m/>
    <x v="166"/>
    <m/>
  </r>
  <r>
    <m/>
    <x v="7"/>
    <s v="8cfb94d2-6298-4047-a5c9-47b9a4c9f949"/>
    <s v="completed"/>
    <x v="3"/>
    <s v="2023-03-24T03:21:19.727000+00:00"/>
    <n v="68"/>
    <n v="68"/>
    <n v="1"/>
    <x v="4"/>
    <x v="0"/>
    <s v="10"/>
    <m/>
    <x v="2"/>
    <x v="2"/>
    <m/>
    <m/>
    <x v="0"/>
    <m/>
    <m/>
    <x v="166"/>
    <m/>
  </r>
  <r>
    <m/>
    <x v="7"/>
    <s v="1390cd39-123f-47af-b569-1235fb9145ff"/>
    <s v="failed"/>
    <x v="26"/>
    <s v="2023-03-23T21:59:46.852000+00:00"/>
    <n v="120"/>
    <n v="53"/>
    <n v="0.44166666666666665"/>
    <x v="754"/>
    <x v="0"/>
    <s v="10"/>
    <m/>
    <x v="18"/>
    <x v="18"/>
    <m/>
    <m/>
    <x v="0"/>
    <m/>
    <m/>
    <x v="167"/>
    <m/>
  </r>
  <r>
    <s v="4722ecbb-5336-4983-9972-6872f7ea45aa"/>
    <x v="7"/>
    <s v="c39aebf0-73a3-4306-8cdb-c045d445e2f9"/>
    <s v="completed"/>
    <x v="0"/>
    <s v="2023-03-23T00:21:51.805000+00:00"/>
    <n v="121"/>
    <n v="87"/>
    <n v="0.71900826446280997"/>
    <x v="759"/>
    <x v="2"/>
    <s v="10"/>
    <s v="URL"/>
    <x v="1"/>
    <x v="1"/>
    <m/>
    <m/>
    <x v="0"/>
    <m/>
    <m/>
    <x v="167"/>
    <m/>
  </r>
  <r>
    <m/>
    <x v="7"/>
    <s v="c39aebf0-73a3-4306-8cdb-c045d445e2f9"/>
    <s v="completed"/>
    <x v="3"/>
    <s v="2023-03-23T02:31:54.832000+00:00"/>
    <n v="121"/>
    <n v="120"/>
    <n v="0.99173553719008267"/>
    <x v="4"/>
    <x v="2"/>
    <s v="10"/>
    <m/>
    <x v="2"/>
    <x v="2"/>
    <m/>
    <m/>
    <x v="0"/>
    <m/>
    <m/>
    <x v="167"/>
    <m/>
  </r>
  <r>
    <s v="217fbf34-f0b5-4bed-bad9-8f722e15aefc"/>
    <x v="7"/>
    <s v="c24999dc-a5d3-4af2-a62a-a7e15096f62c"/>
    <s v="failed"/>
    <x v="21"/>
    <s v="2023-03-21T23:06:12.455000+00:00"/>
    <n v="86"/>
    <n v="16"/>
    <n v="0.18604651162790697"/>
    <x v="485"/>
    <x v="2"/>
    <s v="10"/>
    <s v="URL"/>
    <x v="3"/>
    <x v="3"/>
    <m/>
    <m/>
    <x v="0"/>
    <m/>
    <m/>
    <x v="168"/>
    <m/>
  </r>
  <r>
    <s v="f8ddfa04-94bf-4933-8f40-ad78db4cf999"/>
    <x v="7"/>
    <s v="13080f20-90b3-406a-a6ab-dc448757c6f6"/>
    <s v="failed"/>
    <x v="42"/>
    <s v="2023-03-21T21:35:14.274000+00:00"/>
    <n v="87"/>
    <n v="2"/>
    <n v="2.2988505747126436E-2"/>
    <x v="760"/>
    <x v="2"/>
    <s v="10"/>
    <s v="URL"/>
    <x v="7"/>
    <x v="7"/>
    <m/>
    <m/>
    <x v="0"/>
    <m/>
    <m/>
    <x v="168"/>
    <m/>
  </r>
  <r>
    <s v="195b44df-9551-4bde-84a3-714456e3744c"/>
    <x v="7"/>
    <s v="f02eb6d8-af69-4513-bf5e-7ed82b547e8c"/>
    <s v="failed"/>
    <x v="42"/>
    <s v="2023-03-21T20:44:38.837000+00:00"/>
    <n v="120"/>
    <n v="34"/>
    <n v="0.28333333333333333"/>
    <x v="761"/>
    <x v="2"/>
    <s v="10"/>
    <s v="URL"/>
    <x v="7"/>
    <x v="7"/>
    <m/>
    <m/>
    <x v="0"/>
    <m/>
    <m/>
    <x v="168"/>
    <m/>
  </r>
  <r>
    <m/>
    <x v="7"/>
    <s v="9a744aa6-acdb-4181-aa3a-f056d37524ed"/>
    <s v="completed"/>
    <x v="3"/>
    <s v="2023-03-21T02:38:46.282000+00:00"/>
    <n v="120"/>
    <n v="120"/>
    <n v="1"/>
    <x v="4"/>
    <x v="0"/>
    <s v="10"/>
    <m/>
    <x v="2"/>
    <x v="2"/>
    <m/>
    <m/>
    <x v="0"/>
    <m/>
    <m/>
    <x v="168"/>
    <m/>
  </r>
  <r>
    <m/>
    <x v="7"/>
    <s v="9a744aa6-acdb-4181-aa3a-f056d37524ed"/>
    <s v="completed"/>
    <x v="3"/>
    <s v="2023-03-21T02:38:46.282000+00:00"/>
    <n v="120"/>
    <n v="120"/>
    <n v="1"/>
    <x v="4"/>
    <x v="0"/>
    <s v="10"/>
    <m/>
    <x v="2"/>
    <x v="2"/>
    <m/>
    <m/>
    <x v="0"/>
    <m/>
    <m/>
    <x v="168"/>
    <m/>
  </r>
  <r>
    <m/>
    <x v="7"/>
    <s v="84256fb4-6480-4a9e-b92b-013f2b2a9c4a"/>
    <s v="stopped"/>
    <x v="3"/>
    <s v="2023-03-20T15:42:13.668000+00:00"/>
    <n v="119"/>
    <n v="3"/>
    <n v="2.5210084033613446E-2"/>
    <x v="4"/>
    <x v="2"/>
    <s v="10"/>
    <m/>
    <x v="2"/>
    <x v="2"/>
    <m/>
    <m/>
    <x v="0"/>
    <m/>
    <m/>
    <x v="162"/>
    <m/>
  </r>
  <r>
    <m/>
    <x v="7"/>
    <s v="b14627e0-a07d-43d3-bae0-c71cafa96a05"/>
    <s v="paused"/>
    <x v="3"/>
    <s v="2023-03-20T13:58:49.150000+00:00"/>
    <n v="2"/>
    <n v="2"/>
    <n v="1"/>
    <x v="4"/>
    <x v="2"/>
    <s v="10"/>
    <m/>
    <x v="2"/>
    <x v="2"/>
    <m/>
    <m/>
    <x v="0"/>
    <m/>
    <m/>
    <x v="162"/>
    <m/>
  </r>
  <r>
    <s v="3eba749b-c040-4355-93da-4c8de532e1d7"/>
    <x v="9"/>
    <s v="2fdf6220-25ef-4e52-a296-16c9b4d573d6"/>
    <s v="failed"/>
    <x v="66"/>
    <s v="2023-03-29T03:10:06.303000+00:00"/>
    <n v="82"/>
    <n v="6"/>
    <n v="7.3170731707317069E-2"/>
    <x v="762"/>
    <x v="14"/>
    <s v="22"/>
    <s v="URL"/>
    <x v="1"/>
    <x v="1"/>
    <m/>
    <m/>
    <x v="0"/>
    <m/>
    <m/>
    <x v="171"/>
    <m/>
  </r>
  <r>
    <s v="22316612-9243-4a17-97e4-ea684e0de833"/>
    <x v="9"/>
    <s v="60f76a7c-3c1f-4460-93e9-51aca4a5d3fc"/>
    <s v="failed"/>
    <x v="36"/>
    <s v="2023-03-28T06:59:33.155000+00:00"/>
    <n v="80"/>
    <n v="28"/>
    <n v="0.35"/>
    <x v="763"/>
    <x v="13"/>
    <s v="22"/>
    <s v="URL"/>
    <x v="25"/>
    <x v="25"/>
    <m/>
    <m/>
    <x v="0"/>
    <m/>
    <m/>
    <x v="170"/>
    <m/>
  </r>
  <r>
    <s v="e5141467-ff7d-4543-b99a-897cf1b2fdb0"/>
    <x v="9"/>
    <s v="24745e26-4723-4440-9127-146eaa357bab"/>
    <s v="failed"/>
    <x v="19"/>
    <s v="2023-03-27T22:11:18.260000+00:00"/>
    <n v="81"/>
    <n v="1"/>
    <n v="1.2345679012345678E-2"/>
    <x v="764"/>
    <x v="13"/>
    <s v="22"/>
    <s v="URL"/>
    <x v="16"/>
    <x v="16"/>
    <m/>
    <m/>
    <x v="0"/>
    <m/>
    <m/>
    <x v="163"/>
    <m/>
  </r>
  <r>
    <m/>
    <x v="9"/>
    <s v="735a6882-5990-4ce0-beac-7e69203e1052"/>
    <s v="completed"/>
    <x v="3"/>
    <s v="2023-03-27T10:32:51.495000+00:00"/>
    <n v="82"/>
    <n v="82"/>
    <n v="1"/>
    <x v="4"/>
    <x v="14"/>
    <s v="22"/>
    <m/>
    <x v="2"/>
    <x v="2"/>
    <m/>
    <m/>
    <x v="0"/>
    <m/>
    <m/>
    <x v="163"/>
    <m/>
  </r>
  <r>
    <m/>
    <x v="9"/>
    <s v="735a6882-5990-4ce0-beac-7e69203e1052"/>
    <s v="completed"/>
    <x v="3"/>
    <s v="2023-03-27T10:32:51.495000+00:00"/>
    <n v="82"/>
    <n v="82"/>
    <n v="1"/>
    <x v="4"/>
    <x v="14"/>
    <s v="22"/>
    <m/>
    <x v="2"/>
    <x v="2"/>
    <m/>
    <m/>
    <x v="0"/>
    <m/>
    <m/>
    <x v="163"/>
    <m/>
  </r>
  <r>
    <m/>
    <x v="9"/>
    <s v="5107b432-9b09-4ce4-b73f-d36c05f809b7"/>
    <s v="completed"/>
    <x v="3"/>
    <s v="2023-03-25T08:48:58.273000+00:00"/>
    <n v="81"/>
    <n v="81"/>
    <n v="1"/>
    <x v="4"/>
    <x v="13"/>
    <s v="22"/>
    <m/>
    <x v="2"/>
    <x v="2"/>
    <m/>
    <m/>
    <x v="0"/>
    <m/>
    <m/>
    <x v="165"/>
    <m/>
  </r>
  <r>
    <m/>
    <x v="9"/>
    <s v="5107b432-9b09-4ce4-b73f-d36c05f809b7"/>
    <s v="completed"/>
    <x v="3"/>
    <s v="2023-03-25T08:48:58.273000+00:00"/>
    <n v="81"/>
    <n v="81"/>
    <n v="1"/>
    <x v="4"/>
    <x v="13"/>
    <s v="22"/>
    <m/>
    <x v="2"/>
    <x v="2"/>
    <m/>
    <m/>
    <x v="0"/>
    <m/>
    <m/>
    <x v="165"/>
    <m/>
  </r>
  <r>
    <m/>
    <x v="9"/>
    <s v="3493568e-7317-448c-b3a6-ba345b7b9714"/>
    <s v="completed"/>
    <x v="3"/>
    <s v="2023-03-24T08:47:48.948000+00:00"/>
    <n v="82"/>
    <n v="82"/>
    <n v="1"/>
    <x v="4"/>
    <x v="14"/>
    <s v="22"/>
    <m/>
    <x v="2"/>
    <x v="2"/>
    <m/>
    <m/>
    <x v="0"/>
    <m/>
    <m/>
    <x v="166"/>
    <m/>
  </r>
  <r>
    <m/>
    <x v="9"/>
    <s v="3493568e-7317-448c-b3a6-ba345b7b9714"/>
    <s v="completed"/>
    <x v="3"/>
    <s v="2023-03-24T08:47:48.948000+00:00"/>
    <n v="82"/>
    <n v="82"/>
    <n v="1"/>
    <x v="4"/>
    <x v="14"/>
    <s v="22"/>
    <m/>
    <x v="2"/>
    <x v="2"/>
    <m/>
    <m/>
    <x v="0"/>
    <m/>
    <m/>
    <x v="166"/>
    <m/>
  </r>
  <r>
    <m/>
    <x v="9"/>
    <s v="ecc1ad75-e8c9-41af-b960-6e23030b5f87"/>
    <s v="completed"/>
    <x v="3"/>
    <s v="2023-03-23T08:48:50.712000+00:00"/>
    <n v="81"/>
    <n v="81"/>
    <n v="1"/>
    <x v="4"/>
    <x v="13"/>
    <s v="22"/>
    <m/>
    <x v="2"/>
    <x v="2"/>
    <m/>
    <m/>
    <x v="0"/>
    <m/>
    <m/>
    <x v="167"/>
    <m/>
  </r>
  <r>
    <m/>
    <x v="9"/>
    <s v="ecc1ad75-e8c9-41af-b960-6e23030b5f87"/>
    <s v="completed"/>
    <x v="3"/>
    <s v="2023-03-23T08:48:50.712000+00:00"/>
    <n v="81"/>
    <n v="81"/>
    <n v="1"/>
    <x v="4"/>
    <x v="13"/>
    <s v="22"/>
    <m/>
    <x v="2"/>
    <x v="2"/>
    <m/>
    <m/>
    <x v="0"/>
    <m/>
    <m/>
    <x v="167"/>
    <m/>
  </r>
  <r>
    <m/>
    <x v="9"/>
    <s v="3f5f33ee-b895-4af2-b72c-c10e559839dc"/>
    <s v="completed"/>
    <x v="3"/>
    <s v="2023-03-22T08:50:05.496000+00:00"/>
    <n v="82"/>
    <n v="82"/>
    <n v="1"/>
    <x v="4"/>
    <x v="14"/>
    <s v="22"/>
    <m/>
    <x v="2"/>
    <x v="2"/>
    <m/>
    <m/>
    <x v="0"/>
    <m/>
    <m/>
    <x v="169"/>
    <m/>
  </r>
  <r>
    <m/>
    <x v="9"/>
    <s v="3f5f33ee-b895-4af2-b72c-c10e559839dc"/>
    <s v="completed"/>
    <x v="3"/>
    <s v="2023-03-22T08:50:05.496000+00:00"/>
    <n v="82"/>
    <n v="82"/>
    <n v="1"/>
    <x v="4"/>
    <x v="14"/>
    <s v="22"/>
    <m/>
    <x v="2"/>
    <x v="2"/>
    <m/>
    <m/>
    <x v="0"/>
    <m/>
    <m/>
    <x v="169"/>
    <m/>
  </r>
  <r>
    <s v="9aa7154c-b4c2-4080-908f-5d5a279ad377"/>
    <x v="2"/>
    <s v="ce112717-98b9-43a1-b9ad-46a63ca6f2a7"/>
    <m/>
    <x v="0"/>
    <s v="2023-03-29T19:08:47.501000+00:00"/>
    <n v="214"/>
    <n v="71"/>
    <n v="0.33177570093457942"/>
    <x v="79"/>
    <x v="0"/>
    <s v="43"/>
    <s v="URL"/>
    <x v="1"/>
    <x v="1"/>
    <m/>
    <m/>
    <x v="0"/>
    <m/>
    <m/>
    <x v="171"/>
    <m/>
  </r>
  <r>
    <m/>
    <x v="0"/>
    <s v="59f5a883-06a1-4e5e-90aa-9b12d8ffe0e4"/>
    <s v="failed"/>
    <x v="0"/>
    <s v="2023-03-29T16:18:41.501000+00:00"/>
    <n v="148"/>
    <n v="3"/>
    <n v="2.0270270270270271E-2"/>
    <x v="765"/>
    <x v="0"/>
    <s v="44"/>
    <m/>
    <x v="14"/>
    <x v="14"/>
    <m/>
    <m/>
    <x v="0"/>
    <m/>
    <m/>
    <x v="171"/>
    <m/>
  </r>
  <r>
    <m/>
    <x v="0"/>
    <s v="59f5a883-06a1-4e5e-90aa-9b12d8ffe0e4"/>
    <s v="failed"/>
    <x v="0"/>
    <s v="2023-03-29T16:23:52.835000+00:00"/>
    <n v="148"/>
    <n v="4"/>
    <n v="2.7027027027027029E-2"/>
    <x v="766"/>
    <x v="0"/>
    <s v="44"/>
    <m/>
    <x v="14"/>
    <x v="14"/>
    <m/>
    <m/>
    <x v="0"/>
    <m/>
    <m/>
    <x v="171"/>
    <m/>
  </r>
  <r>
    <m/>
    <x v="0"/>
    <s v="59f5a883-06a1-4e5e-90aa-9b12d8ffe0e4"/>
    <s v="failed"/>
    <x v="0"/>
    <s v="2023-03-29T16:29:01.977000+00:00"/>
    <n v="148"/>
    <n v="5"/>
    <n v="3.3783783783783786E-2"/>
    <x v="548"/>
    <x v="0"/>
    <s v="44"/>
    <m/>
    <x v="14"/>
    <x v="14"/>
    <m/>
    <m/>
    <x v="0"/>
    <m/>
    <m/>
    <x v="171"/>
    <m/>
  </r>
  <r>
    <m/>
    <x v="0"/>
    <s v="59f5a883-06a1-4e5e-90aa-9b12d8ffe0e4"/>
    <s v="failed"/>
    <x v="0"/>
    <s v="2023-03-29T16:38:53.772000+00:00"/>
    <n v="148"/>
    <n v="7"/>
    <n v="4.72972972972973E-2"/>
    <x v="767"/>
    <x v="0"/>
    <s v="44"/>
    <m/>
    <x v="14"/>
    <x v="14"/>
    <m/>
    <m/>
    <x v="0"/>
    <m/>
    <m/>
    <x v="171"/>
    <m/>
  </r>
  <r>
    <m/>
    <x v="0"/>
    <s v="59f5a883-06a1-4e5e-90aa-9b12d8ffe0e4"/>
    <s v="failed"/>
    <x v="0"/>
    <s v="2023-03-29T16:43:49.040000+00:00"/>
    <n v="148"/>
    <n v="8"/>
    <n v="5.4054054054054057E-2"/>
    <x v="768"/>
    <x v="0"/>
    <s v="44"/>
    <m/>
    <x v="14"/>
    <x v="14"/>
    <m/>
    <m/>
    <x v="0"/>
    <m/>
    <m/>
    <x v="171"/>
    <m/>
  </r>
  <r>
    <m/>
    <x v="0"/>
    <s v="59f5a883-06a1-4e5e-90aa-9b12d8ffe0e4"/>
    <s v="failed"/>
    <x v="0"/>
    <s v="2023-03-29T16:53:38.147000+00:00"/>
    <n v="148"/>
    <n v="10"/>
    <n v="6.7567567567567571E-2"/>
    <x v="769"/>
    <x v="0"/>
    <s v="44"/>
    <m/>
    <x v="14"/>
    <x v="14"/>
    <m/>
    <m/>
    <x v="0"/>
    <m/>
    <m/>
    <x v="171"/>
    <m/>
  </r>
  <r>
    <m/>
    <x v="0"/>
    <s v="59f5a883-06a1-4e5e-90aa-9b12d8ffe0e4"/>
    <s v="failed"/>
    <x v="0"/>
    <s v="2023-03-29T16:58:43.980000+00:00"/>
    <n v="148"/>
    <n v="11"/>
    <n v="7.4324324324324328E-2"/>
    <x v="770"/>
    <x v="0"/>
    <s v="44"/>
    <m/>
    <x v="14"/>
    <x v="14"/>
    <m/>
    <m/>
    <x v="0"/>
    <m/>
    <m/>
    <x v="171"/>
    <m/>
  </r>
  <r>
    <m/>
    <x v="0"/>
    <s v="59f5a883-06a1-4e5e-90aa-9b12d8ffe0e4"/>
    <s v="failed"/>
    <x v="0"/>
    <s v="2023-03-29T17:03:52.849000+00:00"/>
    <n v="148"/>
    <n v="12"/>
    <n v="8.1081081081081086E-2"/>
    <x v="771"/>
    <x v="0"/>
    <s v="44"/>
    <m/>
    <x v="14"/>
    <x v="14"/>
    <m/>
    <m/>
    <x v="0"/>
    <m/>
    <m/>
    <x v="171"/>
    <m/>
  </r>
  <r>
    <m/>
    <x v="0"/>
    <s v="59f5a883-06a1-4e5e-90aa-9b12d8ffe0e4"/>
    <s v="failed"/>
    <x v="0"/>
    <s v="2023-03-29T17:08:56.064000+00:00"/>
    <n v="148"/>
    <n v="13"/>
    <n v="8.7837837837837843E-2"/>
    <x v="772"/>
    <x v="0"/>
    <s v="44"/>
    <m/>
    <x v="14"/>
    <x v="14"/>
    <m/>
    <m/>
    <x v="0"/>
    <m/>
    <m/>
    <x v="171"/>
    <m/>
  </r>
  <r>
    <m/>
    <x v="0"/>
    <s v="59f5a883-06a1-4e5e-90aa-9b12d8ffe0e4"/>
    <s v="failed"/>
    <x v="0"/>
    <s v="2023-03-29T17:14:13.124000+00:00"/>
    <n v="148"/>
    <n v="14"/>
    <n v="9.45945945945946E-2"/>
    <x v="5"/>
    <x v="0"/>
    <s v="44"/>
    <m/>
    <x v="14"/>
    <x v="14"/>
    <m/>
    <m/>
    <x v="0"/>
    <m/>
    <m/>
    <x v="171"/>
    <m/>
  </r>
  <r>
    <m/>
    <x v="0"/>
    <s v="59f5a883-06a1-4e5e-90aa-9b12d8ffe0e4"/>
    <s v="failed"/>
    <x v="0"/>
    <s v="2023-03-29T17:28:32.394000+00:00"/>
    <n v="148"/>
    <n v="17"/>
    <n v="0.11486486486486487"/>
    <x v="6"/>
    <x v="0"/>
    <s v="44"/>
    <m/>
    <x v="14"/>
    <x v="14"/>
    <m/>
    <m/>
    <x v="0"/>
    <m/>
    <m/>
    <x v="171"/>
    <m/>
  </r>
  <r>
    <m/>
    <x v="0"/>
    <s v="59f5a883-06a1-4e5e-90aa-9b12d8ffe0e4"/>
    <s v="failed"/>
    <x v="0"/>
    <s v="2023-03-29T17:33:41.505000+00:00"/>
    <n v="148"/>
    <n v="18"/>
    <n v="0.12162162162162163"/>
    <x v="7"/>
    <x v="0"/>
    <s v="44"/>
    <m/>
    <x v="14"/>
    <x v="14"/>
    <m/>
    <m/>
    <x v="0"/>
    <m/>
    <m/>
    <x v="171"/>
    <m/>
  </r>
  <r>
    <m/>
    <x v="0"/>
    <s v="59f5a883-06a1-4e5e-90aa-9b12d8ffe0e4"/>
    <s v="failed"/>
    <x v="0"/>
    <s v="2023-03-29T17:38:49.328000+00:00"/>
    <n v="148"/>
    <n v="19"/>
    <n v="0.12837837837837837"/>
    <x v="549"/>
    <x v="0"/>
    <s v="44"/>
    <m/>
    <x v="14"/>
    <x v="14"/>
    <m/>
    <m/>
    <x v="0"/>
    <m/>
    <m/>
    <x v="171"/>
    <m/>
  </r>
  <r>
    <m/>
    <x v="0"/>
    <s v="59f5a883-06a1-4e5e-90aa-9b12d8ffe0e4"/>
    <s v="failed"/>
    <x v="0"/>
    <s v="2023-03-29T17:43:54.853000+00:00"/>
    <n v="148"/>
    <n v="20"/>
    <n v="0.13513513513513514"/>
    <x v="773"/>
    <x v="0"/>
    <s v="44"/>
    <m/>
    <x v="14"/>
    <x v="14"/>
    <m/>
    <m/>
    <x v="0"/>
    <m/>
    <m/>
    <x v="171"/>
    <m/>
  </r>
  <r>
    <m/>
    <x v="0"/>
    <s v="59f5a883-06a1-4e5e-90aa-9b12d8ffe0e4"/>
    <s v="failed"/>
    <x v="0"/>
    <s v="2023-03-29T17:49:10.940000+00:00"/>
    <n v="148"/>
    <n v="21"/>
    <n v="0.14189189189189189"/>
    <x v="550"/>
    <x v="0"/>
    <s v="44"/>
    <m/>
    <x v="14"/>
    <x v="14"/>
    <m/>
    <m/>
    <x v="0"/>
    <m/>
    <m/>
    <x v="171"/>
    <m/>
  </r>
  <r>
    <m/>
    <x v="0"/>
    <s v="59f5a883-06a1-4e5e-90aa-9b12d8ffe0e4"/>
    <s v="failed"/>
    <x v="0"/>
    <s v="2023-03-29T17:54:19.206000+00:00"/>
    <n v="148"/>
    <n v="22"/>
    <n v="0.14864864864864866"/>
    <x v="551"/>
    <x v="0"/>
    <s v="44"/>
    <m/>
    <x v="14"/>
    <x v="14"/>
    <m/>
    <m/>
    <x v="0"/>
    <m/>
    <m/>
    <x v="171"/>
    <m/>
  </r>
  <r>
    <m/>
    <x v="0"/>
    <s v="59f5a883-06a1-4e5e-90aa-9b12d8ffe0e4"/>
    <s v="failed"/>
    <x v="0"/>
    <s v="2023-03-29T18:04:09.987000+00:00"/>
    <n v="148"/>
    <n v="24"/>
    <n v="0.16216216216216217"/>
    <x v="255"/>
    <x v="0"/>
    <s v="44"/>
    <m/>
    <x v="14"/>
    <x v="14"/>
    <m/>
    <m/>
    <x v="0"/>
    <m/>
    <m/>
    <x v="171"/>
    <m/>
  </r>
  <r>
    <m/>
    <x v="0"/>
    <s v="59f5a883-06a1-4e5e-90aa-9b12d8ffe0e4"/>
    <s v="failed"/>
    <x v="0"/>
    <s v="2023-03-29T18:09:20.560000+00:00"/>
    <n v="148"/>
    <n v="25"/>
    <n v="0.16891891891891891"/>
    <x v="552"/>
    <x v="0"/>
    <s v="44"/>
    <m/>
    <x v="14"/>
    <x v="14"/>
    <m/>
    <m/>
    <x v="0"/>
    <m/>
    <m/>
    <x v="171"/>
    <m/>
  </r>
  <r>
    <m/>
    <x v="0"/>
    <s v="59f5a883-06a1-4e5e-90aa-9b12d8ffe0e4"/>
    <s v="failed"/>
    <x v="0"/>
    <s v="2023-03-29T18:14:31.081000+00:00"/>
    <n v="148"/>
    <n v="26"/>
    <n v="0.17567567567567569"/>
    <x v="553"/>
    <x v="0"/>
    <s v="44"/>
    <m/>
    <x v="14"/>
    <x v="14"/>
    <m/>
    <m/>
    <x v="0"/>
    <m/>
    <m/>
    <x v="171"/>
    <m/>
  </r>
  <r>
    <m/>
    <x v="0"/>
    <s v="59f5a883-06a1-4e5e-90aa-9b12d8ffe0e4"/>
    <s v="failed"/>
    <x v="0"/>
    <s v="2023-03-29T18:19:36.272000+00:00"/>
    <n v="148"/>
    <n v="27"/>
    <n v="0.18243243243243243"/>
    <x v="554"/>
    <x v="0"/>
    <s v="44"/>
    <m/>
    <x v="14"/>
    <x v="14"/>
    <m/>
    <m/>
    <x v="0"/>
    <m/>
    <m/>
    <x v="171"/>
    <m/>
  </r>
  <r>
    <m/>
    <x v="0"/>
    <s v="59f5a883-06a1-4e5e-90aa-9b12d8ffe0e4"/>
    <s v="failed"/>
    <x v="0"/>
    <s v="2023-03-29T18:24:51.545000+00:00"/>
    <n v="148"/>
    <n v="28"/>
    <n v="0.1891891891891892"/>
    <x v="555"/>
    <x v="0"/>
    <s v="44"/>
    <m/>
    <x v="14"/>
    <x v="14"/>
    <m/>
    <m/>
    <x v="0"/>
    <m/>
    <m/>
    <x v="171"/>
    <m/>
  </r>
  <r>
    <m/>
    <x v="0"/>
    <s v="59f5a883-06a1-4e5e-90aa-9b12d8ffe0e4"/>
    <s v="failed"/>
    <x v="0"/>
    <s v="2023-03-29T18:29:49.062000+00:00"/>
    <n v="148"/>
    <n v="29"/>
    <n v="0.19594594594594594"/>
    <x v="556"/>
    <x v="0"/>
    <s v="44"/>
    <m/>
    <x v="14"/>
    <x v="14"/>
    <m/>
    <m/>
    <x v="0"/>
    <m/>
    <m/>
    <x v="171"/>
    <m/>
  </r>
  <r>
    <m/>
    <x v="0"/>
    <s v="59f5a883-06a1-4e5e-90aa-9b12d8ffe0e4"/>
    <s v="failed"/>
    <x v="0"/>
    <s v="2023-03-29T18:34:57.359000+00:00"/>
    <n v="148"/>
    <n v="30"/>
    <n v="0.20270270270270271"/>
    <x v="774"/>
    <x v="0"/>
    <s v="44"/>
    <m/>
    <x v="14"/>
    <x v="14"/>
    <m/>
    <m/>
    <x v="0"/>
    <m/>
    <m/>
    <x v="171"/>
    <m/>
  </r>
  <r>
    <m/>
    <x v="0"/>
    <s v="59f5a883-06a1-4e5e-90aa-9b12d8ffe0e4"/>
    <s v="failed"/>
    <x v="0"/>
    <s v="2023-03-29T18:40:06.499000+00:00"/>
    <n v="148"/>
    <n v="31"/>
    <n v="0.20945945945945946"/>
    <x v="557"/>
    <x v="0"/>
    <s v="44"/>
    <m/>
    <x v="14"/>
    <x v="14"/>
    <m/>
    <m/>
    <x v="0"/>
    <m/>
    <m/>
    <x v="171"/>
    <m/>
  </r>
  <r>
    <m/>
    <x v="0"/>
    <s v="59f5a883-06a1-4e5e-90aa-9b12d8ffe0e4"/>
    <s v="failed"/>
    <x v="0"/>
    <s v="2023-03-29T18:45:14.534000+00:00"/>
    <n v="148"/>
    <n v="32"/>
    <n v="0.21621621621621623"/>
    <x v="558"/>
    <x v="0"/>
    <s v="44"/>
    <m/>
    <x v="14"/>
    <x v="14"/>
    <m/>
    <m/>
    <x v="0"/>
    <m/>
    <m/>
    <x v="171"/>
    <m/>
  </r>
  <r>
    <m/>
    <x v="0"/>
    <s v="59f5a883-06a1-4e5e-90aa-9b12d8ffe0e4"/>
    <s v="failed"/>
    <x v="0"/>
    <s v="2023-03-29T18:50:23.558000+00:00"/>
    <n v="148"/>
    <n v="33"/>
    <n v="0.22297297297297297"/>
    <x v="559"/>
    <x v="0"/>
    <s v="44"/>
    <m/>
    <x v="14"/>
    <x v="14"/>
    <m/>
    <m/>
    <x v="0"/>
    <m/>
    <m/>
    <x v="171"/>
    <m/>
  </r>
  <r>
    <m/>
    <x v="0"/>
    <s v="59f5a883-06a1-4e5e-90aa-9b12d8ffe0e4"/>
    <s v="failed"/>
    <x v="0"/>
    <s v="2023-03-29T19:00:12.826000+00:00"/>
    <n v="148"/>
    <n v="35"/>
    <n v="0.23648648648648649"/>
    <x v="560"/>
    <x v="0"/>
    <s v="44"/>
    <m/>
    <x v="14"/>
    <x v="14"/>
    <m/>
    <m/>
    <x v="0"/>
    <m/>
    <m/>
    <x v="171"/>
    <m/>
  </r>
  <r>
    <m/>
    <x v="0"/>
    <s v="59f5a883-06a1-4e5e-90aa-9b12d8ffe0e4"/>
    <s v="failed"/>
    <x v="0"/>
    <s v="2023-03-29T19:05:21.667000+00:00"/>
    <n v="148"/>
    <n v="36"/>
    <n v="0.24324324324324326"/>
    <x v="561"/>
    <x v="0"/>
    <s v="44"/>
    <m/>
    <x v="14"/>
    <x v="14"/>
    <m/>
    <m/>
    <x v="0"/>
    <m/>
    <m/>
    <x v="171"/>
    <m/>
  </r>
  <r>
    <m/>
    <x v="0"/>
    <s v="59f5a883-06a1-4e5e-90aa-9b12d8ffe0e4"/>
    <s v="failed"/>
    <x v="0"/>
    <s v="2023-03-29T19:15:02.621000+00:00"/>
    <n v="148"/>
    <n v="38"/>
    <n v="0.25675675675675674"/>
    <x v="562"/>
    <x v="0"/>
    <s v="44"/>
    <m/>
    <x v="14"/>
    <x v="14"/>
    <m/>
    <m/>
    <x v="0"/>
    <m/>
    <m/>
    <x v="171"/>
    <m/>
  </r>
  <r>
    <m/>
    <x v="0"/>
    <s v="59f5a883-06a1-4e5e-90aa-9b12d8ffe0e4"/>
    <s v="failed"/>
    <x v="0"/>
    <s v="2023-03-29T19:20:09.597000+00:00"/>
    <n v="148"/>
    <n v="39"/>
    <n v="0.26351351351351349"/>
    <x v="563"/>
    <x v="0"/>
    <s v="44"/>
    <m/>
    <x v="14"/>
    <x v="14"/>
    <m/>
    <m/>
    <x v="0"/>
    <m/>
    <m/>
    <x v="171"/>
    <m/>
  </r>
  <r>
    <m/>
    <x v="0"/>
    <s v="59f5a883-06a1-4e5e-90aa-9b12d8ffe0e4"/>
    <s v="failed"/>
    <x v="0"/>
    <s v="2023-03-29T19:25:16.215000+00:00"/>
    <n v="148"/>
    <n v="40"/>
    <n v="0.27027027027027029"/>
    <x v="564"/>
    <x v="0"/>
    <s v="44"/>
    <m/>
    <x v="14"/>
    <x v="14"/>
    <m/>
    <m/>
    <x v="0"/>
    <m/>
    <m/>
    <x v="171"/>
    <m/>
  </r>
  <r>
    <m/>
    <x v="0"/>
    <s v="59f5a883-06a1-4e5e-90aa-9b12d8ffe0e4"/>
    <s v="failed"/>
    <x v="0"/>
    <s v="2023-03-29T19:27:24.224000+00:00"/>
    <n v="148"/>
    <n v="41"/>
    <n v="0.27702702702702703"/>
    <x v="240"/>
    <x v="0"/>
    <s v="44"/>
    <m/>
    <x v="22"/>
    <x v="22"/>
    <m/>
    <m/>
    <x v="0"/>
    <m/>
    <m/>
    <x v="171"/>
    <m/>
  </r>
  <r>
    <m/>
    <x v="0"/>
    <s v="59f5a883-06a1-4e5e-90aa-9b12d8ffe0e4"/>
    <s v="failed"/>
    <x v="0"/>
    <s v="2023-03-29T19:32:29.354000+00:00"/>
    <n v="148"/>
    <n v="42"/>
    <n v="0.28378378378378377"/>
    <x v="565"/>
    <x v="0"/>
    <s v="44"/>
    <m/>
    <x v="14"/>
    <x v="14"/>
    <m/>
    <m/>
    <x v="0"/>
    <m/>
    <m/>
    <x v="171"/>
    <m/>
  </r>
  <r>
    <m/>
    <x v="0"/>
    <s v="59f5a883-06a1-4e5e-90aa-9b12d8ffe0e4"/>
    <s v="failed"/>
    <x v="0"/>
    <s v="2023-03-29T19:37:26.049000+00:00"/>
    <n v="148"/>
    <n v="43"/>
    <n v="0.29054054054054052"/>
    <x v="566"/>
    <x v="0"/>
    <s v="44"/>
    <m/>
    <x v="14"/>
    <x v="14"/>
    <m/>
    <m/>
    <x v="0"/>
    <m/>
    <m/>
    <x v="171"/>
    <m/>
  </r>
  <r>
    <m/>
    <x v="0"/>
    <s v="59f5a883-06a1-4e5e-90aa-9b12d8ffe0e4"/>
    <s v="failed"/>
    <x v="0"/>
    <s v="2023-03-29T19:47:16.949000+00:00"/>
    <n v="148"/>
    <n v="45"/>
    <n v="0.30405405405405406"/>
    <x v="567"/>
    <x v="0"/>
    <s v="44"/>
    <m/>
    <x v="14"/>
    <x v="14"/>
    <m/>
    <m/>
    <x v="0"/>
    <m/>
    <m/>
    <x v="171"/>
    <m/>
  </r>
  <r>
    <m/>
    <x v="0"/>
    <s v="59f5a883-06a1-4e5e-90aa-9b12d8ffe0e4"/>
    <s v="failed"/>
    <x v="0"/>
    <s v="2023-03-29T19:49:25.525000+00:00"/>
    <n v="148"/>
    <n v="46"/>
    <n v="0.3108108108108108"/>
    <x v="230"/>
    <x v="0"/>
    <s v="44"/>
    <m/>
    <x v="22"/>
    <x v="22"/>
    <m/>
    <m/>
    <x v="0"/>
    <m/>
    <m/>
    <x v="171"/>
    <m/>
  </r>
  <r>
    <m/>
    <x v="0"/>
    <s v="59f5a883-06a1-4e5e-90aa-9b12d8ffe0e4"/>
    <s v="failed"/>
    <x v="0"/>
    <s v="2023-03-29T19:54:27.155000+00:00"/>
    <n v="148"/>
    <n v="47"/>
    <n v="0.31756756756756754"/>
    <x v="568"/>
    <x v="0"/>
    <s v="44"/>
    <m/>
    <x v="14"/>
    <x v="14"/>
    <m/>
    <m/>
    <x v="0"/>
    <m/>
    <m/>
    <x v="171"/>
    <m/>
  </r>
  <r>
    <m/>
    <x v="0"/>
    <s v="59f5a883-06a1-4e5e-90aa-9b12d8ffe0e4"/>
    <s v="failed"/>
    <x v="0"/>
    <s v="2023-03-29T19:59:35.424000+00:00"/>
    <n v="148"/>
    <n v="48"/>
    <n v="0.32432432432432434"/>
    <x v="569"/>
    <x v="0"/>
    <s v="44"/>
    <m/>
    <x v="14"/>
    <x v="14"/>
    <m/>
    <m/>
    <x v="0"/>
    <m/>
    <m/>
    <x v="171"/>
    <m/>
  </r>
  <r>
    <m/>
    <x v="0"/>
    <s v="59f5a883-06a1-4e5e-90aa-9b12d8ffe0e4"/>
    <s v="failed"/>
    <x v="0"/>
    <s v="2023-03-29T20:04:51.432000+00:00"/>
    <n v="148"/>
    <n v="49"/>
    <n v="0.33108108108108109"/>
    <x v="570"/>
    <x v="0"/>
    <s v="44"/>
    <m/>
    <x v="14"/>
    <x v="14"/>
    <m/>
    <m/>
    <x v="0"/>
    <m/>
    <m/>
    <x v="171"/>
    <m/>
  </r>
  <r>
    <m/>
    <x v="0"/>
    <s v="59f5a883-06a1-4e5e-90aa-9b12d8ffe0e4"/>
    <s v="failed"/>
    <x v="0"/>
    <s v="2023-03-29T20:10:02.075000+00:00"/>
    <n v="148"/>
    <n v="50"/>
    <n v="0.33783783783783783"/>
    <x v="571"/>
    <x v="0"/>
    <s v="44"/>
    <m/>
    <x v="14"/>
    <x v="14"/>
    <m/>
    <m/>
    <x v="0"/>
    <m/>
    <m/>
    <x v="171"/>
    <m/>
  </r>
  <r>
    <m/>
    <x v="0"/>
    <s v="59f5a883-06a1-4e5e-90aa-9b12d8ffe0e4"/>
    <s v="failed"/>
    <x v="0"/>
    <s v="2023-03-29T20:19:51.522000+00:00"/>
    <n v="148"/>
    <n v="52"/>
    <n v="0.35135135135135137"/>
    <x v="572"/>
    <x v="0"/>
    <s v="44"/>
    <m/>
    <x v="14"/>
    <x v="14"/>
    <m/>
    <m/>
    <x v="0"/>
    <m/>
    <m/>
    <x v="171"/>
    <m/>
  </r>
  <r>
    <m/>
    <x v="0"/>
    <s v="59f5a883-06a1-4e5e-90aa-9b12d8ffe0e4"/>
    <s v="failed"/>
    <x v="0"/>
    <s v="2023-03-29T20:25:01.318000+00:00"/>
    <n v="148"/>
    <n v="53"/>
    <n v="0.35810810810810811"/>
    <x v="573"/>
    <x v="0"/>
    <s v="44"/>
    <m/>
    <x v="14"/>
    <x v="14"/>
    <m/>
    <m/>
    <x v="0"/>
    <m/>
    <m/>
    <x v="171"/>
    <m/>
  </r>
  <r>
    <m/>
    <x v="0"/>
    <s v="59f5a883-06a1-4e5e-90aa-9b12d8ffe0e4"/>
    <s v="failed"/>
    <x v="0"/>
    <s v="2023-03-29T20:30:10.705000+00:00"/>
    <n v="148"/>
    <n v="54"/>
    <n v="0.36486486486486486"/>
    <x v="574"/>
    <x v="0"/>
    <s v="44"/>
    <m/>
    <x v="14"/>
    <x v="14"/>
    <m/>
    <m/>
    <x v="0"/>
    <m/>
    <m/>
    <x v="171"/>
    <m/>
  </r>
  <r>
    <m/>
    <x v="0"/>
    <s v="59f5a883-06a1-4e5e-90aa-9b12d8ffe0e4"/>
    <s v="failed"/>
    <x v="0"/>
    <s v="2023-03-29T20:35:16.335000+00:00"/>
    <n v="148"/>
    <n v="55"/>
    <n v="0.3716216216216216"/>
    <x v="575"/>
    <x v="0"/>
    <s v="44"/>
    <m/>
    <x v="14"/>
    <x v="14"/>
    <m/>
    <m/>
    <x v="0"/>
    <m/>
    <m/>
    <x v="171"/>
    <m/>
  </r>
  <r>
    <m/>
    <x v="0"/>
    <s v="59f5a883-06a1-4e5e-90aa-9b12d8ffe0e4"/>
    <s v="failed"/>
    <x v="0"/>
    <s v="2023-03-29T20:40:14.833000+00:00"/>
    <n v="148"/>
    <n v="56"/>
    <n v="0.3783783783783784"/>
    <x v="576"/>
    <x v="0"/>
    <s v="44"/>
    <m/>
    <x v="14"/>
    <x v="14"/>
    <m/>
    <m/>
    <x v="0"/>
    <m/>
    <m/>
    <x v="171"/>
    <m/>
  </r>
  <r>
    <m/>
    <x v="0"/>
    <s v="59f5a883-06a1-4e5e-90aa-9b12d8ffe0e4"/>
    <s v="failed"/>
    <x v="0"/>
    <s v="2023-03-29T20:42:21.948000+00:00"/>
    <n v="148"/>
    <n v="57"/>
    <n v="0.38513513513513514"/>
    <x v="577"/>
    <x v="0"/>
    <s v="44"/>
    <m/>
    <x v="22"/>
    <x v="22"/>
    <m/>
    <m/>
    <x v="0"/>
    <m/>
    <m/>
    <x v="171"/>
    <m/>
  </r>
  <r>
    <m/>
    <x v="0"/>
    <s v="59f5a883-06a1-4e5e-90aa-9b12d8ffe0e4"/>
    <s v="failed"/>
    <x v="0"/>
    <s v="2023-03-29T20:51:55.186000+00:00"/>
    <n v="148"/>
    <n v="59"/>
    <n v="0.39864864864864863"/>
    <x v="241"/>
    <x v="0"/>
    <s v="44"/>
    <m/>
    <x v="14"/>
    <x v="14"/>
    <m/>
    <m/>
    <x v="0"/>
    <m/>
    <m/>
    <x v="171"/>
    <m/>
  </r>
  <r>
    <m/>
    <x v="0"/>
    <s v="59f5a883-06a1-4e5e-90aa-9b12d8ffe0e4"/>
    <s v="failed"/>
    <x v="0"/>
    <s v="2023-03-29T20:57:07.426000+00:00"/>
    <n v="148"/>
    <n v="60"/>
    <n v="0.40540540540540543"/>
    <x v="578"/>
    <x v="0"/>
    <s v="44"/>
    <m/>
    <x v="14"/>
    <x v="14"/>
    <m/>
    <m/>
    <x v="0"/>
    <m/>
    <m/>
    <x v="171"/>
    <m/>
  </r>
  <r>
    <m/>
    <x v="0"/>
    <s v="59f5a883-06a1-4e5e-90aa-9b12d8ffe0e4"/>
    <s v="failed"/>
    <x v="0"/>
    <s v="2023-03-29T21:02:16.256000+00:00"/>
    <n v="148"/>
    <n v="61"/>
    <n v="0.41216216216216217"/>
    <x v="579"/>
    <x v="0"/>
    <s v="44"/>
    <m/>
    <x v="14"/>
    <x v="14"/>
    <m/>
    <m/>
    <x v="0"/>
    <m/>
    <m/>
    <x v="171"/>
    <m/>
  </r>
  <r>
    <m/>
    <x v="0"/>
    <s v="59f5a883-06a1-4e5e-90aa-9b12d8ffe0e4"/>
    <s v="failed"/>
    <x v="0"/>
    <s v="2023-03-29T21:07:21.737000+00:00"/>
    <n v="148"/>
    <n v="62"/>
    <n v="0.41891891891891891"/>
    <x v="124"/>
    <x v="0"/>
    <s v="44"/>
    <m/>
    <x v="14"/>
    <x v="14"/>
    <m/>
    <m/>
    <x v="0"/>
    <m/>
    <m/>
    <x v="171"/>
    <m/>
  </r>
  <r>
    <m/>
    <x v="0"/>
    <s v="59f5a883-06a1-4e5e-90aa-9b12d8ffe0e4"/>
    <s v="failed"/>
    <x v="0"/>
    <s v="2023-03-29T21:12:35.471000+00:00"/>
    <n v="148"/>
    <n v="63"/>
    <n v="0.42567567567567566"/>
    <x v="581"/>
    <x v="0"/>
    <s v="44"/>
    <m/>
    <x v="14"/>
    <x v="14"/>
    <m/>
    <m/>
    <x v="0"/>
    <m/>
    <m/>
    <x v="171"/>
    <m/>
  </r>
  <r>
    <m/>
    <x v="0"/>
    <s v="59f5a883-06a1-4e5e-90aa-9b12d8ffe0e4"/>
    <s v="failed"/>
    <x v="0"/>
    <s v="2023-03-29T21:17:41.992000+00:00"/>
    <n v="148"/>
    <n v="64"/>
    <n v="0.43243243243243246"/>
    <x v="582"/>
    <x v="0"/>
    <s v="44"/>
    <m/>
    <x v="14"/>
    <x v="14"/>
    <m/>
    <m/>
    <x v="0"/>
    <m/>
    <m/>
    <x v="171"/>
    <m/>
  </r>
  <r>
    <m/>
    <x v="0"/>
    <s v="59f5a883-06a1-4e5e-90aa-9b12d8ffe0e4"/>
    <s v="failed"/>
    <x v="0"/>
    <s v="2023-03-29T21:27:34.989000+00:00"/>
    <n v="148"/>
    <n v="66"/>
    <n v="0.44594594594594594"/>
    <x v="583"/>
    <x v="0"/>
    <s v="44"/>
    <m/>
    <x v="14"/>
    <x v="14"/>
    <m/>
    <m/>
    <x v="0"/>
    <m/>
    <m/>
    <x v="171"/>
    <m/>
  </r>
  <r>
    <m/>
    <x v="0"/>
    <s v="59f5a883-06a1-4e5e-90aa-9b12d8ffe0e4"/>
    <s v="failed"/>
    <x v="0"/>
    <s v="2023-03-29T21:32:43.645000+00:00"/>
    <n v="148"/>
    <n v="67"/>
    <n v="0.45270270270270269"/>
    <x v="229"/>
    <x v="0"/>
    <s v="44"/>
    <m/>
    <x v="14"/>
    <x v="14"/>
    <m/>
    <m/>
    <x v="0"/>
    <m/>
    <m/>
    <x v="171"/>
    <m/>
  </r>
  <r>
    <m/>
    <x v="0"/>
    <s v="59f5a883-06a1-4e5e-90aa-9b12d8ffe0e4"/>
    <s v="failed"/>
    <x v="0"/>
    <s v="2023-03-29T21:37:51.650000+00:00"/>
    <n v="148"/>
    <n v="68"/>
    <n v="0.45945945945945948"/>
    <x v="584"/>
    <x v="0"/>
    <s v="44"/>
    <m/>
    <x v="14"/>
    <x v="14"/>
    <m/>
    <m/>
    <x v="0"/>
    <m/>
    <m/>
    <x v="171"/>
    <m/>
  </r>
  <r>
    <m/>
    <x v="0"/>
    <s v="59f5a883-06a1-4e5e-90aa-9b12d8ffe0e4"/>
    <s v="failed"/>
    <x v="0"/>
    <s v="2023-03-29T21:47:19.669000+00:00"/>
    <n v="148"/>
    <n v="70"/>
    <n v="0.47297297297297297"/>
    <x v="228"/>
    <x v="0"/>
    <s v="44"/>
    <m/>
    <x v="14"/>
    <x v="14"/>
    <m/>
    <m/>
    <x v="0"/>
    <m/>
    <m/>
    <x v="171"/>
    <m/>
  </r>
  <r>
    <m/>
    <x v="0"/>
    <s v="59f5a883-06a1-4e5e-90aa-9b12d8ffe0e4"/>
    <s v="failed"/>
    <x v="0"/>
    <s v="2023-03-29T21:52:26.903000+00:00"/>
    <n v="148"/>
    <n v="71"/>
    <n v="0.47972972972972971"/>
    <x v="585"/>
    <x v="0"/>
    <s v="44"/>
    <m/>
    <x v="14"/>
    <x v="14"/>
    <m/>
    <m/>
    <x v="0"/>
    <m/>
    <m/>
    <x v="171"/>
    <m/>
  </r>
  <r>
    <m/>
    <x v="0"/>
    <s v="59f5a883-06a1-4e5e-90aa-9b12d8ffe0e4"/>
    <s v="failed"/>
    <x v="0"/>
    <s v="2023-03-29T22:02:03.526000+00:00"/>
    <n v="148"/>
    <n v="73"/>
    <n v="0.49324324324324326"/>
    <x v="586"/>
    <x v="0"/>
    <s v="44"/>
    <m/>
    <x v="14"/>
    <x v="14"/>
    <m/>
    <m/>
    <x v="0"/>
    <m/>
    <m/>
    <x v="171"/>
    <m/>
  </r>
  <r>
    <m/>
    <x v="0"/>
    <s v="59f5a883-06a1-4e5e-90aa-9b12d8ffe0e4"/>
    <s v="failed"/>
    <x v="0"/>
    <s v="2023-03-29T22:07:10.887000+00:00"/>
    <n v="148"/>
    <n v="74"/>
    <n v="0.5"/>
    <x v="587"/>
    <x v="0"/>
    <s v="44"/>
    <m/>
    <x v="14"/>
    <x v="14"/>
    <m/>
    <m/>
    <x v="0"/>
    <m/>
    <m/>
    <x v="171"/>
    <m/>
  </r>
  <r>
    <m/>
    <x v="0"/>
    <s v="59f5a883-06a1-4e5e-90aa-9b12d8ffe0e4"/>
    <s v="failed"/>
    <x v="0"/>
    <s v="2023-03-29T22:12:18.737000+00:00"/>
    <n v="148"/>
    <n v="75"/>
    <n v="0.5067567567567568"/>
    <x v="124"/>
    <x v="0"/>
    <s v="44"/>
    <m/>
    <x v="14"/>
    <x v="14"/>
    <m/>
    <m/>
    <x v="0"/>
    <m/>
    <m/>
    <x v="171"/>
    <m/>
  </r>
  <r>
    <m/>
    <x v="0"/>
    <s v="59f5a883-06a1-4e5e-90aa-9b12d8ffe0e4"/>
    <s v="failed"/>
    <x v="0"/>
    <s v="2023-03-29T22:17:22.711000+00:00"/>
    <n v="148"/>
    <n v="76"/>
    <n v="0.51351351351351349"/>
    <x v="589"/>
    <x v="0"/>
    <s v="44"/>
    <m/>
    <x v="14"/>
    <x v="14"/>
    <m/>
    <m/>
    <x v="0"/>
    <m/>
    <m/>
    <x v="171"/>
    <m/>
  </r>
  <r>
    <m/>
    <x v="0"/>
    <s v="59f5a883-06a1-4e5e-90aa-9b12d8ffe0e4"/>
    <s v="failed"/>
    <x v="0"/>
    <s v="2023-03-29T22:22:37.845000+00:00"/>
    <n v="148"/>
    <n v="77"/>
    <n v="0.52027027027027029"/>
    <x v="590"/>
    <x v="0"/>
    <s v="44"/>
    <m/>
    <x v="14"/>
    <x v="14"/>
    <m/>
    <m/>
    <x v="0"/>
    <m/>
    <m/>
    <x v="171"/>
    <m/>
  </r>
  <r>
    <m/>
    <x v="0"/>
    <s v="59f5a883-06a1-4e5e-90aa-9b12d8ffe0e4"/>
    <s v="failed"/>
    <x v="0"/>
    <s v="2023-03-29T22:27:44.869000+00:00"/>
    <n v="148"/>
    <n v="78"/>
    <n v="0.52702702702702697"/>
    <x v="256"/>
    <x v="0"/>
    <s v="44"/>
    <m/>
    <x v="14"/>
    <x v="14"/>
    <m/>
    <m/>
    <x v="0"/>
    <m/>
    <m/>
    <x v="171"/>
    <m/>
  </r>
  <r>
    <m/>
    <x v="0"/>
    <s v="59f5a883-06a1-4e5e-90aa-9b12d8ffe0e4"/>
    <s v="failed"/>
    <x v="0"/>
    <s v="2023-03-29T22:37:13.676000+00:00"/>
    <n v="148"/>
    <n v="80"/>
    <n v="0.54054054054054057"/>
    <x v="591"/>
    <x v="0"/>
    <s v="44"/>
    <m/>
    <x v="14"/>
    <x v="14"/>
    <m/>
    <m/>
    <x v="0"/>
    <m/>
    <m/>
    <x v="171"/>
    <m/>
  </r>
  <r>
    <m/>
    <x v="0"/>
    <s v="59f5a883-06a1-4e5e-90aa-9b12d8ffe0e4"/>
    <s v="failed"/>
    <x v="0"/>
    <s v="2023-03-29T22:42:20.549000+00:00"/>
    <n v="148"/>
    <n v="81"/>
    <n v="0.54729729729729726"/>
    <x v="592"/>
    <x v="0"/>
    <s v="44"/>
    <m/>
    <x v="14"/>
    <x v="14"/>
    <m/>
    <m/>
    <x v="0"/>
    <m/>
    <m/>
    <x v="171"/>
    <m/>
  </r>
  <r>
    <m/>
    <x v="0"/>
    <s v="59f5a883-06a1-4e5e-90aa-9b12d8ffe0e4"/>
    <s v="failed"/>
    <x v="0"/>
    <s v="2023-03-29T22:47:26.834000+00:00"/>
    <n v="148"/>
    <n v="82"/>
    <n v="0.55405405405405406"/>
    <x v="593"/>
    <x v="0"/>
    <s v="44"/>
    <m/>
    <x v="14"/>
    <x v="14"/>
    <m/>
    <m/>
    <x v="0"/>
    <m/>
    <m/>
    <x v="171"/>
    <m/>
  </r>
  <r>
    <m/>
    <x v="0"/>
    <s v="59f5a883-06a1-4e5e-90aa-9b12d8ffe0e4"/>
    <s v="failed"/>
    <x v="0"/>
    <s v="2023-03-29T22:52:32.868000+00:00"/>
    <n v="148"/>
    <n v="83"/>
    <n v="0.56081081081081086"/>
    <x v="594"/>
    <x v="0"/>
    <s v="44"/>
    <m/>
    <x v="14"/>
    <x v="14"/>
    <m/>
    <m/>
    <x v="0"/>
    <m/>
    <m/>
    <x v="171"/>
    <m/>
  </r>
  <r>
    <m/>
    <x v="0"/>
    <s v="59f5a883-06a1-4e5e-90aa-9b12d8ffe0e4"/>
    <s v="failed"/>
    <x v="0"/>
    <s v="2023-03-29T22:57:48.548000+00:00"/>
    <n v="148"/>
    <n v="84"/>
    <n v="0.56756756756756754"/>
    <x v="595"/>
    <x v="0"/>
    <s v="44"/>
    <m/>
    <x v="14"/>
    <x v="14"/>
    <m/>
    <m/>
    <x v="0"/>
    <m/>
    <m/>
    <x v="171"/>
    <m/>
  </r>
  <r>
    <m/>
    <x v="0"/>
    <s v="59f5a883-06a1-4e5e-90aa-9b12d8ffe0e4"/>
    <s v="failed"/>
    <x v="0"/>
    <s v="2023-03-29T23:02:56.463000+00:00"/>
    <n v="148"/>
    <n v="85"/>
    <n v="0.57432432432432434"/>
    <x v="775"/>
    <x v="0"/>
    <s v="44"/>
    <m/>
    <x v="14"/>
    <x v="14"/>
    <m/>
    <m/>
    <x v="0"/>
    <m/>
    <m/>
    <x v="171"/>
    <m/>
  </r>
  <r>
    <m/>
    <x v="0"/>
    <s v="59f5a883-06a1-4e5e-90aa-9b12d8ffe0e4"/>
    <s v="failed"/>
    <x v="0"/>
    <s v="2023-03-29T23:12:44.687000+00:00"/>
    <n v="148"/>
    <n v="87"/>
    <n v="0.58783783783783783"/>
    <x v="596"/>
    <x v="0"/>
    <s v="44"/>
    <m/>
    <x v="14"/>
    <x v="14"/>
    <m/>
    <m/>
    <x v="0"/>
    <m/>
    <m/>
    <x v="171"/>
    <m/>
  </r>
  <r>
    <m/>
    <x v="0"/>
    <s v="59f5a883-06a1-4e5e-90aa-9b12d8ffe0e4"/>
    <s v="failed"/>
    <x v="0"/>
    <s v="2023-03-29T23:17:51.078000+00:00"/>
    <n v="148"/>
    <n v="88"/>
    <n v="0.59459459459459463"/>
    <x v="597"/>
    <x v="0"/>
    <s v="44"/>
    <m/>
    <x v="14"/>
    <x v="14"/>
    <m/>
    <m/>
    <x v="0"/>
    <m/>
    <m/>
    <x v="171"/>
    <m/>
  </r>
  <r>
    <m/>
    <x v="0"/>
    <s v="59f5a883-06a1-4e5e-90aa-9b12d8ffe0e4"/>
    <s v="failed"/>
    <x v="0"/>
    <s v="2023-03-29T23:22:58.567000+00:00"/>
    <n v="148"/>
    <n v="89"/>
    <n v="0.60135135135135132"/>
    <x v="598"/>
    <x v="0"/>
    <s v="44"/>
    <m/>
    <x v="14"/>
    <x v="14"/>
    <m/>
    <m/>
    <x v="0"/>
    <m/>
    <m/>
    <x v="171"/>
    <m/>
  </r>
  <r>
    <m/>
    <x v="0"/>
    <s v="59f5a883-06a1-4e5e-90aa-9b12d8ffe0e4"/>
    <s v="failed"/>
    <x v="0"/>
    <s v="2023-03-29T23:28:01.379000+00:00"/>
    <n v="148"/>
    <n v="90"/>
    <n v="0.60810810810810811"/>
    <x v="599"/>
    <x v="0"/>
    <s v="44"/>
    <m/>
    <x v="14"/>
    <x v="14"/>
    <m/>
    <m/>
    <x v="0"/>
    <m/>
    <m/>
    <x v="171"/>
    <m/>
  </r>
  <r>
    <m/>
    <x v="0"/>
    <s v="59f5a883-06a1-4e5e-90aa-9b12d8ffe0e4"/>
    <s v="failed"/>
    <x v="0"/>
    <s v="2023-03-29T23:33:12.148000+00:00"/>
    <n v="148"/>
    <n v="91"/>
    <n v="0.61486486486486491"/>
    <x v="600"/>
    <x v="0"/>
    <s v="44"/>
    <m/>
    <x v="14"/>
    <x v="14"/>
    <m/>
    <m/>
    <x v="0"/>
    <m/>
    <m/>
    <x v="171"/>
    <m/>
  </r>
  <r>
    <m/>
    <x v="0"/>
    <s v="59f5a883-06a1-4e5e-90aa-9b12d8ffe0e4"/>
    <s v="failed"/>
    <x v="0"/>
    <s v="2023-03-29T23:38:14.928000+00:00"/>
    <n v="148"/>
    <n v="92"/>
    <n v="0.6216216216216216"/>
    <x v="601"/>
    <x v="0"/>
    <s v="44"/>
    <m/>
    <x v="14"/>
    <x v="14"/>
    <m/>
    <m/>
    <x v="0"/>
    <m/>
    <m/>
    <x v="171"/>
    <m/>
  </r>
  <r>
    <m/>
    <x v="0"/>
    <s v="59f5a883-06a1-4e5e-90aa-9b12d8ffe0e4"/>
    <s v="failed"/>
    <x v="0"/>
    <s v="2023-03-29T23:47:49.118000+00:00"/>
    <n v="148"/>
    <n v="94"/>
    <n v="0.63513513513513509"/>
    <x v="602"/>
    <x v="0"/>
    <s v="44"/>
    <m/>
    <x v="14"/>
    <x v="14"/>
    <m/>
    <m/>
    <x v="0"/>
    <m/>
    <m/>
    <x v="171"/>
    <m/>
  </r>
  <r>
    <m/>
    <x v="0"/>
    <s v="59f5a883-06a1-4e5e-90aa-9b12d8ffe0e4"/>
    <s v="failed"/>
    <x v="0"/>
    <s v="2023-03-29T23:52:54.251000+00:00"/>
    <n v="148"/>
    <n v="95"/>
    <n v="0.64189189189189189"/>
    <x v="603"/>
    <x v="0"/>
    <s v="44"/>
    <m/>
    <x v="14"/>
    <x v="14"/>
    <m/>
    <m/>
    <x v="0"/>
    <m/>
    <m/>
    <x v="171"/>
    <m/>
  </r>
  <r>
    <m/>
    <x v="0"/>
    <s v="59f5a883-06a1-4e5e-90aa-9b12d8ffe0e4"/>
    <s v="failed"/>
    <x v="0"/>
    <s v="2023-03-29T23:57:58.396000+00:00"/>
    <n v="148"/>
    <n v="96"/>
    <n v="0.64864864864864868"/>
    <x v="604"/>
    <x v="0"/>
    <s v="44"/>
    <m/>
    <x v="14"/>
    <x v="14"/>
    <m/>
    <m/>
    <x v="0"/>
    <m/>
    <m/>
    <x v="171"/>
    <m/>
  </r>
  <r>
    <m/>
    <x v="0"/>
    <s v="59f5a883-06a1-4e5e-90aa-9b12d8ffe0e4"/>
    <s v="failed"/>
    <x v="0"/>
    <s v="2023-03-30T00:03:01.195000+00:00"/>
    <n v="148"/>
    <n v="97"/>
    <n v="0.65540540540540537"/>
    <x v="605"/>
    <x v="0"/>
    <s v="44"/>
    <m/>
    <x v="14"/>
    <x v="14"/>
    <m/>
    <m/>
    <x v="0"/>
    <m/>
    <m/>
    <x v="172"/>
    <m/>
  </r>
  <r>
    <m/>
    <x v="0"/>
    <s v="59f5a883-06a1-4e5e-90aa-9b12d8ffe0e4"/>
    <s v="failed"/>
    <x v="0"/>
    <s v="2023-03-30T00:08:12.611000+00:00"/>
    <n v="148"/>
    <n v="98"/>
    <n v="0.66216216216216217"/>
    <x v="606"/>
    <x v="0"/>
    <s v="44"/>
    <m/>
    <x v="14"/>
    <x v="14"/>
    <m/>
    <m/>
    <x v="0"/>
    <m/>
    <m/>
    <x v="172"/>
    <m/>
  </r>
  <r>
    <m/>
    <x v="0"/>
    <s v="59f5a883-06a1-4e5e-90aa-9b12d8ffe0e4"/>
    <s v="failed"/>
    <x v="0"/>
    <s v="2023-03-30T00:13:13.869000+00:00"/>
    <n v="148"/>
    <n v="99"/>
    <n v="0.66891891891891897"/>
    <x v="607"/>
    <x v="0"/>
    <s v="44"/>
    <m/>
    <x v="14"/>
    <x v="14"/>
    <m/>
    <m/>
    <x v="0"/>
    <m/>
    <m/>
    <x v="172"/>
    <m/>
  </r>
  <r>
    <m/>
    <x v="0"/>
    <s v="59f5a883-06a1-4e5e-90aa-9b12d8ffe0e4"/>
    <s v="failed"/>
    <x v="0"/>
    <s v="2023-03-30T00:22:58.141000+00:00"/>
    <n v="148"/>
    <n v="101"/>
    <n v="0.68243243243243246"/>
    <x v="608"/>
    <x v="0"/>
    <s v="44"/>
    <m/>
    <x v="14"/>
    <x v="14"/>
    <m/>
    <m/>
    <x v="0"/>
    <m/>
    <m/>
    <x v="172"/>
    <m/>
  </r>
  <r>
    <m/>
    <x v="0"/>
    <s v="59f5a883-06a1-4e5e-90aa-9b12d8ffe0e4"/>
    <s v="failed"/>
    <x v="0"/>
    <s v="2023-03-30T00:28:02.161000+00:00"/>
    <n v="148"/>
    <n v="102"/>
    <n v="0.68918918918918914"/>
    <x v="609"/>
    <x v="0"/>
    <s v="44"/>
    <m/>
    <x v="14"/>
    <x v="14"/>
    <m/>
    <m/>
    <x v="0"/>
    <m/>
    <m/>
    <x v="172"/>
    <m/>
  </r>
  <r>
    <m/>
    <x v="0"/>
    <s v="59f5a883-06a1-4e5e-90aa-9b12d8ffe0e4"/>
    <s v="failed"/>
    <x v="0"/>
    <s v="2023-03-30T00:33:04.277000+00:00"/>
    <n v="148"/>
    <n v="103"/>
    <n v="0.69594594594594594"/>
    <x v="610"/>
    <x v="0"/>
    <s v="44"/>
    <m/>
    <x v="14"/>
    <x v="14"/>
    <m/>
    <m/>
    <x v="0"/>
    <m/>
    <m/>
    <x v="172"/>
    <m/>
  </r>
  <r>
    <m/>
    <x v="0"/>
    <s v="59f5a883-06a1-4e5e-90aa-9b12d8ffe0e4"/>
    <s v="failed"/>
    <x v="0"/>
    <s v="2023-03-30T00:42:52.873000+00:00"/>
    <n v="148"/>
    <n v="105"/>
    <n v="0.70945945945945943"/>
    <x v="611"/>
    <x v="0"/>
    <s v="44"/>
    <m/>
    <x v="14"/>
    <x v="14"/>
    <m/>
    <m/>
    <x v="0"/>
    <m/>
    <m/>
    <x v="172"/>
    <m/>
  </r>
  <r>
    <m/>
    <x v="0"/>
    <s v="59f5a883-06a1-4e5e-90aa-9b12d8ffe0e4"/>
    <s v="failed"/>
    <x v="0"/>
    <s v="2023-03-30T00:47:56.210000+00:00"/>
    <n v="148"/>
    <n v="106"/>
    <n v="0.71621621621621623"/>
    <x v="612"/>
    <x v="0"/>
    <s v="44"/>
    <m/>
    <x v="14"/>
    <x v="14"/>
    <m/>
    <m/>
    <x v="0"/>
    <m/>
    <m/>
    <x v="172"/>
    <m/>
  </r>
  <r>
    <m/>
    <x v="0"/>
    <s v="59f5a883-06a1-4e5e-90aa-9b12d8ffe0e4"/>
    <s v="failed"/>
    <x v="0"/>
    <s v="2023-03-30T00:57:31.995000+00:00"/>
    <n v="148"/>
    <n v="108"/>
    <n v="0.72972972972972971"/>
    <x v="613"/>
    <x v="0"/>
    <s v="44"/>
    <m/>
    <x v="14"/>
    <x v="14"/>
    <m/>
    <m/>
    <x v="0"/>
    <m/>
    <m/>
    <x v="172"/>
    <m/>
  </r>
  <r>
    <m/>
    <x v="0"/>
    <s v="59f5a883-06a1-4e5e-90aa-9b12d8ffe0e4"/>
    <s v="failed"/>
    <x v="20"/>
    <s v="2023-03-30T00:59:14.815000+00:00"/>
    <n v="148"/>
    <n v="109"/>
    <n v="0.73648648648648651"/>
    <x v="243"/>
    <x v="0"/>
    <s v="44"/>
    <m/>
    <x v="18"/>
    <x v="18"/>
    <m/>
    <m/>
    <x v="0"/>
    <m/>
    <m/>
    <x v="172"/>
    <m/>
  </r>
  <r>
    <m/>
    <x v="3"/>
    <s v="1cc87fc1-9ecc-41d9-89bb-97da68bda310"/>
    <s v="completed"/>
    <x v="3"/>
    <s v="2023-03-30T02:07:29.520000+00:00"/>
    <n v="105"/>
    <n v="105"/>
    <n v="1"/>
    <x v="4"/>
    <x v="3"/>
    <s v="47"/>
    <m/>
    <x v="2"/>
    <x v="2"/>
    <m/>
    <m/>
    <x v="0"/>
    <m/>
    <m/>
    <x v="172"/>
    <m/>
  </r>
  <r>
    <m/>
    <x v="3"/>
    <s v="1cc87fc1-9ecc-41d9-89bb-97da68bda310"/>
    <s v="completed"/>
    <x v="3"/>
    <s v="2023-03-30T02:07:29.520000+00:00"/>
    <n v="105"/>
    <n v="105"/>
    <n v="1"/>
    <x v="4"/>
    <x v="3"/>
    <s v="47"/>
    <m/>
    <x v="2"/>
    <x v="2"/>
    <m/>
    <m/>
    <x v="0"/>
    <m/>
    <m/>
    <x v="172"/>
    <m/>
  </r>
  <r>
    <m/>
    <x v="1"/>
    <s v="286bf76b-6be3-4153-82cf-e1bced24d065"/>
    <s v="completed"/>
    <x v="3"/>
    <s v="2023-03-30T01:38:03.572000+00:00"/>
    <n v="100"/>
    <n v="100"/>
    <n v="1"/>
    <x v="4"/>
    <x v="1"/>
    <s v="48"/>
    <m/>
    <x v="2"/>
    <x v="2"/>
    <m/>
    <m/>
    <x v="0"/>
    <m/>
    <m/>
    <x v="172"/>
    <m/>
  </r>
  <r>
    <m/>
    <x v="1"/>
    <s v="286bf76b-6be3-4153-82cf-e1bced24d065"/>
    <s v="completed"/>
    <x v="3"/>
    <s v="2023-03-30T01:38:03.572000+00:00"/>
    <n v="100"/>
    <n v="100"/>
    <n v="1"/>
    <x v="4"/>
    <x v="1"/>
    <s v="48"/>
    <m/>
    <x v="2"/>
    <x v="2"/>
    <m/>
    <m/>
    <x v="0"/>
    <m/>
    <m/>
    <x v="172"/>
    <m/>
  </r>
  <r>
    <s v="6c782399-64c0-40fa-91c2-fe25e8a7b0fc"/>
    <x v="5"/>
    <s v="de8a002d-690e-4a74-a7d5-bc62d6fd9ade"/>
    <s v="failed"/>
    <x v="0"/>
    <s v="2023-03-29T20:44:17.948000+00:00"/>
    <n v="7"/>
    <n v="0"/>
    <n v="0"/>
    <x v="288"/>
    <x v="5"/>
    <s v="62"/>
    <s v="URL"/>
    <x v="16"/>
    <x v="16"/>
    <m/>
    <m/>
    <x v="0"/>
    <m/>
    <m/>
    <x v="171"/>
    <m/>
  </r>
  <r>
    <s v="61f39cd4-1c30-4277-a956-1d50c1e7face"/>
    <x v="5"/>
    <s v="de8a002d-690e-4a74-a7d5-bc62d6fd9ade"/>
    <s v="failed"/>
    <x v="58"/>
    <s v="2023-03-29T20:50:32.525000+00:00"/>
    <n v="7"/>
    <n v="1"/>
    <n v="0.14285714285714285"/>
    <x v="776"/>
    <x v="5"/>
    <s v="62"/>
    <s v="URL"/>
    <x v="11"/>
    <x v="11"/>
    <m/>
    <m/>
    <x v="0"/>
    <m/>
    <m/>
    <x v="171"/>
    <m/>
  </r>
  <r>
    <s v="de94926e-a168-444f-be6c-f015c11a66a0"/>
    <x v="5"/>
    <s v="745129ec-fac5-40d9-bf1c-46ced935212e"/>
    <s v="failed"/>
    <x v="0"/>
    <s v="2023-03-29T18:22:30.614000+00:00"/>
    <n v="42"/>
    <n v="0"/>
    <n v="0"/>
    <x v="291"/>
    <x v="5"/>
    <s v="62"/>
    <s v="URL"/>
    <x v="1"/>
    <x v="1"/>
    <m/>
    <m/>
    <x v="0"/>
    <m/>
    <m/>
    <x v="171"/>
    <m/>
  </r>
  <r>
    <s v="5e45146f-7104-48c8-a1e9-040d630f852b"/>
    <x v="5"/>
    <s v="745129ec-fac5-40d9-bf1c-46ced935212e"/>
    <s v="failed"/>
    <x v="0"/>
    <s v="2023-03-29T18:53:42.897000+00:00"/>
    <n v="42"/>
    <n v="9"/>
    <n v="0.21428571428571427"/>
    <x v="306"/>
    <x v="5"/>
    <s v="62"/>
    <s v="URL"/>
    <x v="1"/>
    <x v="1"/>
    <m/>
    <m/>
    <x v="0"/>
    <m/>
    <m/>
    <x v="171"/>
    <m/>
  </r>
  <r>
    <s v="20fefde7-438a-4099-b510-1a80c9e632ed"/>
    <x v="5"/>
    <s v="745129ec-fac5-40d9-bf1c-46ced935212e"/>
    <s v="failed"/>
    <x v="0"/>
    <s v="2023-03-29T19:28:04.484000+00:00"/>
    <n v="42"/>
    <n v="19"/>
    <n v="0.45238095238095238"/>
    <x v="777"/>
    <x v="5"/>
    <s v="62"/>
    <s v="URL"/>
    <x v="1"/>
    <x v="1"/>
    <m/>
    <m/>
    <x v="0"/>
    <m/>
    <m/>
    <x v="171"/>
    <m/>
  </r>
  <r>
    <s v="72f85aa0-7c0b-47cd-ae0f-8d07b5ab55d8"/>
    <x v="5"/>
    <s v="745129ec-fac5-40d9-bf1c-46ced935212e"/>
    <s v="failed"/>
    <x v="46"/>
    <s v="2023-03-29T20:20:10.559000+00:00"/>
    <n v="42"/>
    <n v="35"/>
    <n v="0.83333333333333337"/>
    <x v="288"/>
    <x v="5"/>
    <s v="62"/>
    <s v="URL"/>
    <x v="11"/>
    <x v="11"/>
    <m/>
    <m/>
    <x v="0"/>
    <m/>
    <m/>
    <x v="171"/>
    <m/>
  </r>
  <r>
    <s v="e861823a-1418-4f78-a013-e01efddbfcaf"/>
    <x v="5"/>
    <s v="b5757214-c8d9-42ba-af76-e05d41dcc8ac"/>
    <s v="stopped"/>
    <x v="0"/>
    <s v="2023-03-29T18:13:52.893000+00:00"/>
    <n v="43"/>
    <n v="0"/>
    <n v="0"/>
    <x v="291"/>
    <x v="5"/>
    <s v="62"/>
    <s v="URL"/>
    <x v="16"/>
    <x v="16"/>
    <m/>
    <m/>
    <x v="0"/>
    <m/>
    <m/>
    <x v="171"/>
    <m/>
  </r>
  <r>
    <s v="5c8f741a-0ead-4c5f-b042-e270a38dce78"/>
    <x v="5"/>
    <s v="b5757214-c8d9-42ba-af76-e05d41dcc8ac"/>
    <s v="stopped"/>
    <x v="0"/>
    <s v="2023-03-29T18:15:49.620000+00:00"/>
    <n v="43"/>
    <n v="1"/>
    <n v="2.3255813953488372E-2"/>
    <x v="291"/>
    <x v="5"/>
    <s v="62"/>
    <s v="URL"/>
    <x v="1"/>
    <x v="1"/>
    <m/>
    <m/>
    <x v="0"/>
    <m/>
    <m/>
    <x v="171"/>
    <m/>
  </r>
  <r>
    <s v="40b6a09c-fa4a-42ce-bb08-31d1a330afa9"/>
    <x v="5"/>
    <s v="dd047b24-0f98-4a38-9d07-8a8e966a2982"/>
    <s v="failed"/>
    <x v="46"/>
    <s v="2023-03-29T17:51:08.895000+00:00"/>
    <n v="43"/>
    <n v="1"/>
    <n v="2.3255813953488372E-2"/>
    <x v="291"/>
    <x v="5"/>
    <s v="62"/>
    <s v="URL"/>
    <x v="11"/>
    <x v="11"/>
    <m/>
    <m/>
    <x v="0"/>
    <m/>
    <m/>
    <x v="171"/>
    <m/>
  </r>
  <r>
    <m/>
    <x v="7"/>
    <s v="46c33332-4dcb-4667-a252-5e88fa119e11"/>
    <s v="completed"/>
    <x v="0"/>
    <s v="2023-03-30T00:26:13.734000+00:00"/>
    <n v="121"/>
    <n v="103"/>
    <n v="0.85123966942148765"/>
    <x v="778"/>
    <x v="2"/>
    <s v="10"/>
    <m/>
    <x v="1"/>
    <x v="1"/>
    <m/>
    <m/>
    <x v="0"/>
    <m/>
    <m/>
    <x v="172"/>
    <m/>
  </r>
  <r>
    <m/>
    <x v="7"/>
    <s v="46c33332-4dcb-4667-a252-5e88fa119e11"/>
    <s v="completed"/>
    <x v="3"/>
    <s v="2023-03-30T01:27:17.317000+00:00"/>
    <n v="121"/>
    <n v="120"/>
    <n v="0.99173553719008267"/>
    <x v="4"/>
    <x v="2"/>
    <s v="10"/>
    <m/>
    <x v="2"/>
    <x v="2"/>
    <m/>
    <m/>
    <x v="0"/>
    <m/>
    <m/>
    <x v="172"/>
    <m/>
  </r>
  <r>
    <m/>
    <x v="9"/>
    <s v="a62e5ab4-2b74-44fb-b04a-96b0f0c76b04"/>
    <s v="stopped"/>
    <x v="3"/>
    <s v="2023-03-29T16:21:43.179000+00:00"/>
    <n v="6"/>
    <n v="4"/>
    <n v="0.66666666666666663"/>
    <x v="4"/>
    <x v="14"/>
    <s v="22"/>
    <m/>
    <x v="2"/>
    <x v="2"/>
    <m/>
    <m/>
    <x v="0"/>
    <m/>
    <m/>
    <x v="171"/>
    <m/>
  </r>
  <r>
    <s v="d4dc4f36-7bd7-4404-8ac7-596ee20c808a"/>
    <x v="2"/>
    <s v="5d2f1b67-fa6a-45b4-bc98-9f5fc8516034"/>
    <s v="completed"/>
    <x v="0"/>
    <s v="2023-04-02T03:47:31.190000+00:00"/>
    <n v="223"/>
    <n v="215"/>
    <n v="0.96412556053811704"/>
    <x v="364"/>
    <x v="0"/>
    <n v="58"/>
    <s v="URL"/>
    <x v="3"/>
    <x v="3"/>
    <m/>
    <m/>
    <x v="0"/>
    <m/>
    <m/>
    <x v="173"/>
    <m/>
  </r>
  <r>
    <m/>
    <x v="2"/>
    <s v="5d2f1b67-fa6a-45b4-bc98-9f5fc8516034"/>
    <s v="completed"/>
    <x v="3"/>
    <s v="2023-04-02T04:15:23.273000+00:00"/>
    <n v="223"/>
    <n v="222"/>
    <n v="0.99551569506726501"/>
    <x v="4"/>
    <x v="0"/>
    <n v="58"/>
    <m/>
    <x v="2"/>
    <x v="2"/>
    <m/>
    <m/>
    <x v="0"/>
    <m/>
    <m/>
    <x v="173"/>
    <m/>
  </r>
  <r>
    <m/>
    <x v="2"/>
    <s v="ef6b166c-085a-4213-8020-997f43302061"/>
    <s v="completed"/>
    <x v="3"/>
    <s v="2023-03-31T17:56:47.210000+00:00"/>
    <n v="77"/>
    <n v="77"/>
    <n v="1"/>
    <x v="4"/>
    <x v="2"/>
    <n v="58"/>
    <m/>
    <x v="2"/>
    <x v="2"/>
    <m/>
    <m/>
    <x v="0"/>
    <m/>
    <m/>
    <x v="174"/>
    <m/>
  </r>
  <r>
    <m/>
    <x v="2"/>
    <s v="ef6b166c-085a-4213-8020-997f43302061"/>
    <s v="completed"/>
    <x v="3"/>
    <s v="2023-03-31T17:56:47.210000+00:00"/>
    <n v="77"/>
    <n v="77"/>
    <n v="1"/>
    <x v="4"/>
    <x v="2"/>
    <n v="58"/>
    <m/>
    <x v="2"/>
    <x v="2"/>
    <m/>
    <m/>
    <x v="0"/>
    <m/>
    <m/>
    <x v="174"/>
    <m/>
  </r>
  <r>
    <m/>
    <x v="2"/>
    <s v="041c63f5-86a2-48b2-9353-4b9173e26807"/>
    <s v="completed"/>
    <x v="3"/>
    <s v="2023-03-31T06:44:46.601000+00:00"/>
    <n v="13"/>
    <n v="13"/>
    <n v="1"/>
    <x v="4"/>
    <x v="2"/>
    <n v="58"/>
    <m/>
    <x v="2"/>
    <x v="2"/>
    <m/>
    <m/>
    <x v="0"/>
    <m/>
    <m/>
    <x v="174"/>
    <m/>
  </r>
  <r>
    <m/>
    <x v="2"/>
    <s v="041c63f5-86a2-48b2-9353-4b9173e26807"/>
    <s v="completed"/>
    <x v="3"/>
    <s v="2023-03-31T06:44:46.601000+00:00"/>
    <n v="13"/>
    <n v="13"/>
    <n v="1"/>
    <x v="4"/>
    <x v="2"/>
    <n v="58"/>
    <m/>
    <x v="2"/>
    <x v="2"/>
    <m/>
    <m/>
    <x v="0"/>
    <m/>
    <m/>
    <x v="174"/>
    <m/>
  </r>
  <r>
    <s v="879de83b-028d-4fd7-810f-cb41e2c16f5e"/>
    <x v="2"/>
    <s v="02f7d6e7-55b9-4720-ae0e-b4ad198b40a3"/>
    <s v="failed"/>
    <x v="0"/>
    <s v="2023-03-30T19:57:11.635000+00:00"/>
    <n v="209"/>
    <n v="67"/>
    <n v="0.32057416267942601"/>
    <x v="473"/>
    <x v="2"/>
    <n v="58"/>
    <s v="URL"/>
    <x v="1"/>
    <x v="1"/>
    <m/>
    <m/>
    <x v="0"/>
    <m/>
    <m/>
    <x v="172"/>
    <m/>
  </r>
  <r>
    <s v="cc17019a-a696-4dce-b5bc-965e1bc8c5ad"/>
    <x v="2"/>
    <s v="02f7d6e7-55b9-4720-ae0e-b4ad198b40a3"/>
    <s v="failed"/>
    <x v="26"/>
    <s v="2023-03-30T23:40:46.726000+00:00"/>
    <n v="209"/>
    <n v="120"/>
    <n v="0.57416267942583699"/>
    <x v="358"/>
    <x v="2"/>
    <n v="58"/>
    <s v="URL"/>
    <x v="18"/>
    <x v="18"/>
    <m/>
    <m/>
    <x v="0"/>
    <m/>
    <m/>
    <x v="172"/>
    <m/>
  </r>
  <r>
    <s v="4bd02799-897e-45f6-8330-9a50da256505"/>
    <x v="0"/>
    <s v="41a6f2e9-085f-4035-89b8-279c6b8b7aae"/>
    <s v="completed"/>
    <x v="0"/>
    <s v="2023-03-31T21:32:45.761000+00:00"/>
    <n v="140"/>
    <n v="90"/>
    <n v="0.64285714285714302"/>
    <x v="779"/>
    <x v="2"/>
    <n v="43"/>
    <s v="URL"/>
    <x v="3"/>
    <x v="3"/>
    <m/>
    <m/>
    <x v="0"/>
    <m/>
    <m/>
    <x v="174"/>
    <m/>
  </r>
  <r>
    <s v="bb0d08b2-26c6-409c-b2fc-42b742843718"/>
    <x v="0"/>
    <s v="41a6f2e9-085f-4035-89b8-279c6b8b7aae"/>
    <s v="completed"/>
    <x v="0"/>
    <s v="2023-04-01T00:33:11.197000+00:00"/>
    <n v="140"/>
    <n v="129"/>
    <n v="0.92142857142857104"/>
    <x v="168"/>
    <x v="2"/>
    <n v="43"/>
    <s v="URL"/>
    <x v="1"/>
    <x v="1"/>
    <m/>
    <m/>
    <x v="0"/>
    <m/>
    <m/>
    <x v="175"/>
    <m/>
  </r>
  <r>
    <m/>
    <x v="0"/>
    <s v="41a6f2e9-085f-4035-89b8-279c6b8b7aae"/>
    <s v="completed"/>
    <x v="3"/>
    <s v="2023-04-01T01:13:23.493000+00:00"/>
    <n v="140"/>
    <n v="138"/>
    <n v="0.98571428571428599"/>
    <x v="4"/>
    <x v="2"/>
    <n v="43"/>
    <m/>
    <x v="2"/>
    <x v="2"/>
    <m/>
    <m/>
    <x v="0"/>
    <m/>
    <m/>
    <x v="175"/>
    <m/>
  </r>
  <r>
    <s v="9084e085-0e7c-46ff-9c03-beb58de34c67"/>
    <x v="0"/>
    <s v="b219ee5e-33cc-4594-825d-22a1c22376f2"/>
    <s v="completed"/>
    <x v="0"/>
    <s v="2023-03-31T12:18:02.777000+00:00"/>
    <n v="6"/>
    <n v="0"/>
    <n v="0"/>
    <x v="780"/>
    <x v="2"/>
    <n v="44"/>
    <s v="URL"/>
    <x v="14"/>
    <x v="14"/>
    <m/>
    <m/>
    <x v="0"/>
    <m/>
    <m/>
    <x v="174"/>
    <m/>
  </r>
  <r>
    <s v="c3b3036f-8293-4c9b-a21d-1bc3cda39cab"/>
    <x v="0"/>
    <s v="b219ee5e-33cc-4594-825d-22a1c22376f2"/>
    <s v="completed"/>
    <x v="0"/>
    <s v="2023-03-31T12:27:30.369000+00:00"/>
    <n v="6"/>
    <n v="2"/>
    <n v="0.33333333333333298"/>
    <x v="781"/>
    <x v="2"/>
    <n v="44"/>
    <s v="URL"/>
    <x v="14"/>
    <x v="14"/>
    <m/>
    <m/>
    <x v="0"/>
    <m/>
    <m/>
    <x v="174"/>
    <m/>
  </r>
  <r>
    <m/>
    <x v="0"/>
    <s v="b219ee5e-33cc-4594-825d-22a1c22376f2"/>
    <s v="completed"/>
    <x v="3"/>
    <s v="2023-03-31T12:36:35.225000+00:00"/>
    <n v="6"/>
    <n v="4"/>
    <n v="0.66666666666666696"/>
    <x v="4"/>
    <x v="2"/>
    <n v="44"/>
    <m/>
    <x v="2"/>
    <x v="2"/>
    <m/>
    <m/>
    <x v="0"/>
    <m/>
    <m/>
    <x v="174"/>
    <m/>
  </r>
  <r>
    <s v="fd371242-29c5-48dd-b1b2-8fbfa2b3e55a"/>
    <x v="0"/>
    <s v="4a9d5834-6ebf-4001-a4ac-6607bb6bd19c"/>
    <s v="failed"/>
    <x v="0"/>
    <s v="2023-03-30T15:55:43.363000+00:00"/>
    <n v="146"/>
    <n v="5"/>
    <n v="3.4246575342466001E-2"/>
    <x v="782"/>
    <x v="2"/>
    <n v="44"/>
    <s v="URL"/>
    <x v="14"/>
    <x v="14"/>
    <m/>
    <m/>
    <x v="0"/>
    <m/>
    <m/>
    <x v="172"/>
    <m/>
  </r>
  <r>
    <s v="6f8deb03-c6be-4ccd-85e5-a55ea077406b"/>
    <x v="0"/>
    <s v="4a9d5834-6ebf-4001-a4ac-6607bb6bd19c"/>
    <s v="failed"/>
    <x v="0"/>
    <s v="2023-03-30T16:00:55.740000+00:00"/>
    <n v="146"/>
    <n v="6"/>
    <n v="4.1095890410958999E-2"/>
    <x v="783"/>
    <x v="2"/>
    <n v="44"/>
    <s v="URL"/>
    <x v="14"/>
    <x v="14"/>
    <m/>
    <m/>
    <x v="0"/>
    <m/>
    <m/>
    <x v="172"/>
    <m/>
  </r>
  <r>
    <s v="184dd97a-8d16-47f3-aac9-e2935920b6bf"/>
    <x v="0"/>
    <s v="4a9d5834-6ebf-4001-a4ac-6607bb6bd19c"/>
    <s v="failed"/>
    <x v="0"/>
    <s v="2023-03-30T16:06:04.911000+00:00"/>
    <n v="146"/>
    <n v="7"/>
    <n v="4.7945205479451997E-2"/>
    <x v="784"/>
    <x v="2"/>
    <n v="44"/>
    <s v="URL"/>
    <x v="14"/>
    <x v="14"/>
    <m/>
    <m/>
    <x v="0"/>
    <m/>
    <m/>
    <x v="172"/>
    <m/>
  </r>
  <r>
    <s v="69dc27e0-3c07-4854-9e56-b05e9c613e29"/>
    <x v="0"/>
    <s v="4a9d5834-6ebf-4001-a4ac-6607bb6bd19c"/>
    <s v="failed"/>
    <x v="0"/>
    <s v="2023-03-30T16:16:15.774000+00:00"/>
    <n v="146"/>
    <n v="9"/>
    <n v="6.1643835616437999E-2"/>
    <x v="785"/>
    <x v="2"/>
    <n v="44"/>
    <s v="URL"/>
    <x v="14"/>
    <x v="14"/>
    <m/>
    <m/>
    <x v="0"/>
    <m/>
    <m/>
    <x v="172"/>
    <m/>
  </r>
  <r>
    <s v="eb517f6a-a4d9-4439-a090-75225129ba15"/>
    <x v="0"/>
    <s v="4a9d5834-6ebf-4001-a4ac-6607bb6bd19c"/>
    <s v="failed"/>
    <x v="0"/>
    <s v="2023-03-30T16:26:09.231000+00:00"/>
    <n v="146"/>
    <n v="11"/>
    <n v="7.5342465753425E-2"/>
    <x v="786"/>
    <x v="2"/>
    <n v="44"/>
    <s v="URL"/>
    <x v="14"/>
    <x v="14"/>
    <m/>
    <m/>
    <x v="0"/>
    <m/>
    <m/>
    <x v="172"/>
    <m/>
  </r>
  <r>
    <s v="413d7cfd-5e36-4758-b171-e0878af11450"/>
    <x v="0"/>
    <s v="4a9d5834-6ebf-4001-a4ac-6607bb6bd19c"/>
    <s v="failed"/>
    <x v="0"/>
    <s v="2023-03-30T16:31:19.653000+00:00"/>
    <n v="146"/>
    <n v="12"/>
    <n v="8.2191780821917998E-2"/>
    <x v="787"/>
    <x v="2"/>
    <n v="44"/>
    <s v="URL"/>
    <x v="14"/>
    <x v="14"/>
    <m/>
    <m/>
    <x v="0"/>
    <m/>
    <m/>
    <x v="172"/>
    <m/>
  </r>
  <r>
    <s v="4a487eba-4ca4-4efb-a5c9-16d344f16c37"/>
    <x v="0"/>
    <s v="4a9d5834-6ebf-4001-a4ac-6607bb6bd19c"/>
    <s v="failed"/>
    <x v="0"/>
    <s v="2023-03-30T16:36:34.535000+00:00"/>
    <n v="146"/>
    <n v="13"/>
    <n v="8.9041095890410996E-2"/>
    <x v="788"/>
    <x v="2"/>
    <n v="44"/>
    <s v="URL"/>
    <x v="14"/>
    <x v="14"/>
    <m/>
    <m/>
    <x v="0"/>
    <m/>
    <m/>
    <x v="172"/>
    <m/>
  </r>
  <r>
    <s v="c24911a0-33fe-4e6a-814e-e272d5ee9eff"/>
    <x v="0"/>
    <s v="4a9d5834-6ebf-4001-a4ac-6607bb6bd19c"/>
    <s v="failed"/>
    <x v="0"/>
    <s v="2023-03-30T16:41:44.898000+00:00"/>
    <n v="146"/>
    <n v="14"/>
    <n v="9.5890410958903993E-2"/>
    <x v="789"/>
    <x v="2"/>
    <n v="44"/>
    <s v="URL"/>
    <x v="14"/>
    <x v="14"/>
    <m/>
    <m/>
    <x v="0"/>
    <m/>
    <m/>
    <x v="172"/>
    <m/>
  </r>
  <r>
    <s v="b3ee1a90-eee8-4653-a559-a00ac65a733c"/>
    <x v="0"/>
    <s v="4a9d5834-6ebf-4001-a4ac-6607bb6bd19c"/>
    <s v="failed"/>
    <x v="0"/>
    <s v="2023-03-30T16:46:53.936000+00:00"/>
    <n v="146"/>
    <n v="15"/>
    <n v="0.102739726027397"/>
    <x v="790"/>
    <x v="2"/>
    <n v="44"/>
    <s v="URL"/>
    <x v="14"/>
    <x v="14"/>
    <m/>
    <m/>
    <x v="0"/>
    <m/>
    <m/>
    <x v="172"/>
    <m/>
  </r>
  <r>
    <s v="76b8fa73-835b-4906-8112-bb086e81ceee"/>
    <x v="0"/>
    <s v="4a9d5834-6ebf-4001-a4ac-6607bb6bd19c"/>
    <s v="failed"/>
    <x v="0"/>
    <s v="2023-03-30T16:51:53.422000+00:00"/>
    <n v="146"/>
    <n v="16"/>
    <n v="0.10958904109589"/>
    <x v="791"/>
    <x v="2"/>
    <n v="44"/>
    <s v="URL"/>
    <x v="14"/>
    <x v="14"/>
    <m/>
    <m/>
    <x v="0"/>
    <m/>
    <m/>
    <x v="172"/>
    <m/>
  </r>
  <r>
    <s v="8b9401ae-fefc-4937-aab2-785f04bbc7dc"/>
    <x v="0"/>
    <s v="4a9d5834-6ebf-4001-a4ac-6607bb6bd19c"/>
    <s v="failed"/>
    <x v="0"/>
    <s v="2023-03-30T17:01:43.221000+00:00"/>
    <n v="146"/>
    <n v="18"/>
    <n v="0.123287671232877"/>
    <x v="792"/>
    <x v="2"/>
    <n v="44"/>
    <s v="URL"/>
    <x v="14"/>
    <x v="14"/>
    <m/>
    <m/>
    <x v="0"/>
    <m/>
    <m/>
    <x v="172"/>
    <m/>
  </r>
  <r>
    <s v="12f7f15d-a4d2-4699-8ac0-8e4524f3cdc0"/>
    <x v="0"/>
    <s v="4a9d5834-6ebf-4001-a4ac-6607bb6bd19c"/>
    <s v="failed"/>
    <x v="0"/>
    <s v="2023-03-30T17:06:48.990000+00:00"/>
    <n v="146"/>
    <n v="19"/>
    <n v="0.13013698630136999"/>
    <x v="793"/>
    <x v="2"/>
    <n v="44"/>
    <s v="URL"/>
    <x v="14"/>
    <x v="14"/>
    <m/>
    <m/>
    <x v="0"/>
    <m/>
    <m/>
    <x v="172"/>
    <m/>
  </r>
  <r>
    <s v="55619154-16e2-4134-9cee-28bd6c23f9cd"/>
    <x v="0"/>
    <s v="4a9d5834-6ebf-4001-a4ac-6607bb6bd19c"/>
    <s v="failed"/>
    <x v="0"/>
    <s v="2023-03-30T17:12:03.707000+00:00"/>
    <n v="146"/>
    <n v="20"/>
    <n v="0.13698630136986301"/>
    <x v="794"/>
    <x v="2"/>
    <n v="44"/>
    <s v="URL"/>
    <x v="14"/>
    <x v="14"/>
    <m/>
    <m/>
    <x v="0"/>
    <m/>
    <m/>
    <x v="172"/>
    <m/>
  </r>
  <r>
    <s v="77e657b8-07b2-4200-a580-8b83023b5913"/>
    <x v="0"/>
    <s v="4a9d5834-6ebf-4001-a4ac-6607bb6bd19c"/>
    <s v="failed"/>
    <x v="0"/>
    <s v="2023-03-30T17:17:15.815000+00:00"/>
    <n v="146"/>
    <n v="21"/>
    <n v="0.14383561643835599"/>
    <x v="795"/>
    <x v="2"/>
    <n v="44"/>
    <s v="URL"/>
    <x v="14"/>
    <x v="14"/>
    <m/>
    <m/>
    <x v="0"/>
    <m/>
    <m/>
    <x v="172"/>
    <m/>
  </r>
  <r>
    <s v="4149c647-6412-4677-aa60-380c177fb05f"/>
    <x v="0"/>
    <s v="4a9d5834-6ebf-4001-a4ac-6607bb6bd19c"/>
    <s v="failed"/>
    <x v="0"/>
    <s v="2023-03-30T17:22:25.245000+00:00"/>
    <n v="146"/>
    <n v="22"/>
    <n v="0.150684931506849"/>
    <x v="796"/>
    <x v="2"/>
    <n v="44"/>
    <s v="URL"/>
    <x v="14"/>
    <x v="14"/>
    <m/>
    <m/>
    <x v="0"/>
    <m/>
    <m/>
    <x v="172"/>
    <m/>
  </r>
  <r>
    <s v="e9d8ef7e-07cf-46ae-a625-c1e8a0858666"/>
    <x v="0"/>
    <s v="4a9d5834-6ebf-4001-a4ac-6607bb6bd19c"/>
    <s v="failed"/>
    <x v="0"/>
    <s v="2023-03-30T17:27:24.603000+00:00"/>
    <n v="146"/>
    <n v="23"/>
    <n v="0.15753424657534201"/>
    <x v="797"/>
    <x v="2"/>
    <n v="44"/>
    <s v="URL"/>
    <x v="14"/>
    <x v="14"/>
    <m/>
    <m/>
    <x v="0"/>
    <m/>
    <m/>
    <x v="172"/>
    <m/>
  </r>
  <r>
    <s v="c74ddb29-13e3-4107-b0e3-808c9f3bf63b"/>
    <x v="0"/>
    <s v="4a9d5834-6ebf-4001-a4ac-6607bb6bd19c"/>
    <s v="failed"/>
    <x v="0"/>
    <s v="2023-03-30T17:37:16.148000+00:00"/>
    <n v="146"/>
    <n v="25"/>
    <n v="0.17123287671232901"/>
    <x v="798"/>
    <x v="2"/>
    <n v="44"/>
    <s v="URL"/>
    <x v="14"/>
    <x v="14"/>
    <m/>
    <m/>
    <x v="0"/>
    <m/>
    <m/>
    <x v="172"/>
    <m/>
  </r>
  <r>
    <s v="30fe9f54-968e-4cc3-a199-c95d3b9b11d8"/>
    <x v="0"/>
    <s v="4a9d5834-6ebf-4001-a4ac-6607bb6bd19c"/>
    <s v="failed"/>
    <x v="0"/>
    <s v="2023-03-30T17:42:24.864000+00:00"/>
    <n v="146"/>
    <n v="26"/>
    <n v="0.17808219178082199"/>
    <x v="799"/>
    <x v="2"/>
    <n v="44"/>
    <s v="URL"/>
    <x v="14"/>
    <x v="14"/>
    <m/>
    <m/>
    <x v="0"/>
    <m/>
    <m/>
    <x v="172"/>
    <m/>
  </r>
  <r>
    <s v="8d916de7-12ea-47e8-ac2f-40057559c6bf"/>
    <x v="0"/>
    <s v="4a9d5834-6ebf-4001-a4ac-6607bb6bd19c"/>
    <s v="failed"/>
    <x v="0"/>
    <s v="2023-03-30T17:47:41.933000+00:00"/>
    <n v="146"/>
    <n v="27"/>
    <n v="0.184931506849315"/>
    <x v="800"/>
    <x v="2"/>
    <n v="44"/>
    <s v="URL"/>
    <x v="14"/>
    <x v="14"/>
    <m/>
    <m/>
    <x v="0"/>
    <m/>
    <m/>
    <x v="172"/>
    <m/>
  </r>
  <r>
    <s v="481914cd-b517-435e-97e2-f26b4f78fbbf"/>
    <x v="0"/>
    <s v="4a9d5834-6ebf-4001-a4ac-6607bb6bd19c"/>
    <s v="failed"/>
    <x v="0"/>
    <s v="2023-03-30T17:52:54.111000+00:00"/>
    <n v="146"/>
    <n v="28"/>
    <n v="0.19178082191780799"/>
    <x v="801"/>
    <x v="2"/>
    <n v="44"/>
    <s v="URL"/>
    <x v="14"/>
    <x v="14"/>
    <m/>
    <m/>
    <x v="0"/>
    <m/>
    <m/>
    <x v="172"/>
    <m/>
  </r>
  <r>
    <s v="61d8f9d1-301b-47f1-ba23-decf560ac6ec"/>
    <x v="0"/>
    <s v="4a9d5834-6ebf-4001-a4ac-6607bb6bd19c"/>
    <s v="failed"/>
    <x v="0"/>
    <s v="2023-03-30T17:58:06.057000+00:00"/>
    <n v="146"/>
    <n v="29"/>
    <n v="0.198630136986301"/>
    <x v="802"/>
    <x v="2"/>
    <n v="44"/>
    <s v="URL"/>
    <x v="14"/>
    <x v="14"/>
    <m/>
    <m/>
    <x v="0"/>
    <m/>
    <m/>
    <x v="172"/>
    <m/>
  </r>
  <r>
    <s v="4d4a4bb0-bdea-4ba9-8035-8f4406b0a61b"/>
    <x v="0"/>
    <s v="4a9d5834-6ebf-4001-a4ac-6607bb6bd19c"/>
    <s v="failed"/>
    <x v="0"/>
    <s v="2023-03-30T18:03:12.062000+00:00"/>
    <n v="146"/>
    <n v="30"/>
    <n v="0.20547945205479401"/>
    <x v="803"/>
    <x v="2"/>
    <n v="44"/>
    <s v="URL"/>
    <x v="14"/>
    <x v="14"/>
    <m/>
    <m/>
    <x v="0"/>
    <m/>
    <m/>
    <x v="172"/>
    <m/>
  </r>
  <r>
    <s v="bff5edeb-cd11-4889-bca5-27a14bbce9de"/>
    <x v="0"/>
    <s v="4a9d5834-6ebf-4001-a4ac-6607bb6bd19c"/>
    <s v="failed"/>
    <x v="0"/>
    <s v="2023-03-30T18:12:58.058000+00:00"/>
    <n v="146"/>
    <n v="32"/>
    <n v="0.219178082191781"/>
    <x v="804"/>
    <x v="2"/>
    <n v="44"/>
    <s v="URL"/>
    <x v="14"/>
    <x v="14"/>
    <m/>
    <m/>
    <x v="0"/>
    <m/>
    <m/>
    <x v="172"/>
    <m/>
  </r>
  <r>
    <s v="69a6ed93-ab11-40e3-a8de-4b0b55fe39ac"/>
    <x v="0"/>
    <s v="4a9d5834-6ebf-4001-a4ac-6607bb6bd19c"/>
    <s v="failed"/>
    <x v="0"/>
    <s v="2023-03-30T18:18:12.305000+00:00"/>
    <n v="146"/>
    <n v="33"/>
    <n v="0.22602739726027399"/>
    <x v="805"/>
    <x v="2"/>
    <n v="44"/>
    <s v="URL"/>
    <x v="14"/>
    <x v="14"/>
    <m/>
    <m/>
    <x v="0"/>
    <m/>
    <m/>
    <x v="172"/>
    <m/>
  </r>
  <r>
    <s v="80d92a6d-86eb-4ea5-ad06-5a1414f469c7"/>
    <x v="0"/>
    <s v="4a9d5834-6ebf-4001-a4ac-6607bb6bd19c"/>
    <s v="failed"/>
    <x v="0"/>
    <s v="2023-03-30T18:23:28.511000+00:00"/>
    <n v="146"/>
    <n v="34"/>
    <n v="0.232876712328767"/>
    <x v="806"/>
    <x v="2"/>
    <n v="44"/>
    <s v="URL"/>
    <x v="14"/>
    <x v="14"/>
    <m/>
    <m/>
    <x v="0"/>
    <m/>
    <m/>
    <x v="172"/>
    <m/>
  </r>
  <r>
    <s v="70efd57b-7733-4fbf-83c6-040fa33d0ef2"/>
    <x v="0"/>
    <s v="4a9d5834-6ebf-4001-a4ac-6607bb6bd19c"/>
    <s v="failed"/>
    <x v="0"/>
    <s v="2023-03-30T18:28:41.291000+00:00"/>
    <n v="146"/>
    <n v="35"/>
    <n v="0.23972602739726001"/>
    <x v="223"/>
    <x v="2"/>
    <n v="44"/>
    <s v="URL"/>
    <x v="14"/>
    <x v="14"/>
    <m/>
    <m/>
    <x v="0"/>
    <m/>
    <m/>
    <x v="172"/>
    <m/>
  </r>
  <r>
    <s v="5f2e8fd7-b115-4331-b028-58c765284972"/>
    <x v="0"/>
    <s v="4a9d5834-6ebf-4001-a4ac-6607bb6bd19c"/>
    <s v="failed"/>
    <x v="0"/>
    <s v="2023-03-30T18:33:53.095000+00:00"/>
    <n v="146"/>
    <n v="36"/>
    <n v="0.24657534246575299"/>
    <x v="807"/>
    <x v="2"/>
    <n v="44"/>
    <s v="URL"/>
    <x v="14"/>
    <x v="14"/>
    <m/>
    <m/>
    <x v="0"/>
    <m/>
    <m/>
    <x v="172"/>
    <m/>
  </r>
  <r>
    <s v="0f3b4af5-3bc0-4fa7-9223-ccfccea196a7"/>
    <x v="0"/>
    <s v="4a9d5834-6ebf-4001-a4ac-6607bb6bd19c"/>
    <s v="failed"/>
    <x v="0"/>
    <s v="2023-03-30T18:39:02.973000+00:00"/>
    <n v="146"/>
    <n v="37"/>
    <n v="0.25342465753424698"/>
    <x v="808"/>
    <x v="2"/>
    <n v="44"/>
    <s v="URL"/>
    <x v="14"/>
    <x v="14"/>
    <m/>
    <m/>
    <x v="0"/>
    <m/>
    <m/>
    <x v="172"/>
    <m/>
  </r>
  <r>
    <s v="f0ef97bb-1cfa-4028-99eb-ec1e167da370"/>
    <x v="0"/>
    <s v="4a9d5834-6ebf-4001-a4ac-6607bb6bd19c"/>
    <s v="failed"/>
    <x v="0"/>
    <s v="2023-03-30T18:48:55.351000+00:00"/>
    <n v="146"/>
    <n v="39"/>
    <n v="0.267123287671233"/>
    <x v="809"/>
    <x v="2"/>
    <n v="44"/>
    <s v="URL"/>
    <x v="14"/>
    <x v="14"/>
    <m/>
    <m/>
    <x v="0"/>
    <m/>
    <m/>
    <x v="172"/>
    <m/>
  </r>
  <r>
    <s v="ad5a5f58-4218-464b-8eba-b8a3539931ea"/>
    <x v="0"/>
    <s v="4a9d5834-6ebf-4001-a4ac-6607bb6bd19c"/>
    <s v="failed"/>
    <x v="0"/>
    <s v="2023-03-30T18:54:06.165000+00:00"/>
    <n v="146"/>
    <n v="40"/>
    <n v="0.27397260273972601"/>
    <x v="810"/>
    <x v="2"/>
    <n v="44"/>
    <s v="URL"/>
    <x v="14"/>
    <x v="14"/>
    <m/>
    <m/>
    <x v="0"/>
    <m/>
    <m/>
    <x v="172"/>
    <m/>
  </r>
  <r>
    <s v="71a50844-c807-4c8f-a5eb-913f59d79670"/>
    <x v="0"/>
    <s v="4a9d5834-6ebf-4001-a4ac-6607bb6bd19c"/>
    <s v="failed"/>
    <x v="0"/>
    <s v="2023-03-30T18:59:25.262000+00:00"/>
    <n v="146"/>
    <n v="41"/>
    <n v="0.28082191780821902"/>
    <x v="811"/>
    <x v="2"/>
    <n v="44"/>
    <s v="URL"/>
    <x v="14"/>
    <x v="14"/>
    <m/>
    <m/>
    <x v="0"/>
    <m/>
    <m/>
    <x v="172"/>
    <m/>
  </r>
  <r>
    <s v="dc2eec66-9e43-4a92-8d85-1816db9515a6"/>
    <x v="0"/>
    <s v="4a9d5834-6ebf-4001-a4ac-6607bb6bd19c"/>
    <s v="failed"/>
    <x v="0"/>
    <s v="2023-03-30T19:04:33.780000+00:00"/>
    <n v="146"/>
    <n v="42"/>
    <n v="0.28767123287671198"/>
    <x v="812"/>
    <x v="2"/>
    <n v="44"/>
    <s v="URL"/>
    <x v="14"/>
    <x v="14"/>
    <m/>
    <m/>
    <x v="0"/>
    <m/>
    <m/>
    <x v="172"/>
    <m/>
  </r>
  <r>
    <s v="6eb13205-e048-4069-8c35-eb695b971878"/>
    <x v="0"/>
    <s v="4a9d5834-6ebf-4001-a4ac-6607bb6bd19c"/>
    <s v="failed"/>
    <x v="0"/>
    <s v="2023-03-30T19:09:42.794000+00:00"/>
    <n v="146"/>
    <n v="43"/>
    <n v="0.29452054794520499"/>
    <x v="813"/>
    <x v="2"/>
    <n v="44"/>
    <s v="URL"/>
    <x v="14"/>
    <x v="14"/>
    <m/>
    <m/>
    <x v="0"/>
    <m/>
    <m/>
    <x v="172"/>
    <m/>
  </r>
  <r>
    <s v="06f7015d-9a38-4578-abd3-b30f9d760ee9"/>
    <x v="0"/>
    <s v="4a9d5834-6ebf-4001-a4ac-6607bb6bd19c"/>
    <s v="failed"/>
    <x v="0"/>
    <s v="2023-03-30T19:12:57.274000+00:00"/>
    <n v="146"/>
    <n v="44"/>
    <n v="0.301369863013699"/>
    <x v="814"/>
    <x v="2"/>
    <n v="44"/>
    <s v="URL"/>
    <x v="3"/>
    <x v="3"/>
    <m/>
    <m/>
    <x v="0"/>
    <m/>
    <m/>
    <x v="172"/>
    <m/>
  </r>
  <r>
    <s v="e200c4ef-2bdd-4373-b8f3-e89f88b6ffe7"/>
    <x v="0"/>
    <s v="4a9d5834-6ebf-4001-a4ac-6607bb6bd19c"/>
    <s v="failed"/>
    <x v="0"/>
    <s v="2023-03-30T19:27:52.065000+00:00"/>
    <n v="146"/>
    <n v="46"/>
    <n v="0.31506849315068503"/>
    <x v="815"/>
    <x v="2"/>
    <n v="44"/>
    <s v="URL"/>
    <x v="14"/>
    <x v="14"/>
    <m/>
    <m/>
    <x v="0"/>
    <m/>
    <m/>
    <x v="172"/>
    <m/>
  </r>
  <r>
    <s v="0d99974c-d655-4af5-877d-dabb3132c40d"/>
    <x v="0"/>
    <s v="4a9d5834-6ebf-4001-a4ac-6607bb6bd19c"/>
    <s v="failed"/>
    <x v="0"/>
    <s v="2023-03-30T19:33:02.193000+00:00"/>
    <n v="146"/>
    <n v="47"/>
    <n v="0.32191780821917798"/>
    <x v="816"/>
    <x v="2"/>
    <n v="44"/>
    <s v="URL"/>
    <x v="14"/>
    <x v="14"/>
    <m/>
    <m/>
    <x v="0"/>
    <m/>
    <m/>
    <x v="172"/>
    <m/>
  </r>
  <r>
    <s v="b7291290-48bb-4303-9f43-828e56b2adb2"/>
    <x v="0"/>
    <s v="4a9d5834-6ebf-4001-a4ac-6607bb6bd19c"/>
    <s v="failed"/>
    <x v="0"/>
    <s v="2023-03-30T19:38:15.165000+00:00"/>
    <n v="146"/>
    <n v="48"/>
    <n v="0.32876712328767099"/>
    <x v="817"/>
    <x v="2"/>
    <n v="44"/>
    <s v="URL"/>
    <x v="14"/>
    <x v="14"/>
    <m/>
    <m/>
    <x v="0"/>
    <m/>
    <m/>
    <x v="172"/>
    <m/>
  </r>
  <r>
    <s v="cbcbf900-b0d2-450b-9846-af84c906ef95"/>
    <x v="0"/>
    <s v="4a9d5834-6ebf-4001-a4ac-6607bb6bd19c"/>
    <s v="failed"/>
    <x v="0"/>
    <s v="2023-03-30T19:43:26.886000+00:00"/>
    <n v="146"/>
    <n v="49"/>
    <n v="0.335616438356164"/>
    <x v="818"/>
    <x v="2"/>
    <n v="44"/>
    <s v="URL"/>
    <x v="14"/>
    <x v="14"/>
    <m/>
    <m/>
    <x v="0"/>
    <m/>
    <m/>
    <x v="172"/>
    <m/>
  </r>
  <r>
    <s v="18d1c260-1b97-485e-a4c2-bff328c0e179"/>
    <x v="0"/>
    <s v="4a9d5834-6ebf-4001-a4ac-6607bb6bd19c"/>
    <s v="failed"/>
    <x v="0"/>
    <s v="2023-03-30T19:48:24.441000+00:00"/>
    <n v="146"/>
    <n v="50"/>
    <n v="0.34246575342465702"/>
    <x v="819"/>
    <x v="2"/>
    <n v="44"/>
    <s v="URL"/>
    <x v="14"/>
    <x v="14"/>
    <m/>
    <m/>
    <x v="0"/>
    <m/>
    <m/>
    <x v="172"/>
    <m/>
  </r>
  <r>
    <s v="d7efbdf3-78a4-43e8-a132-021131e23c72"/>
    <x v="0"/>
    <s v="4a9d5834-6ebf-4001-a4ac-6607bb6bd19c"/>
    <s v="failed"/>
    <x v="0"/>
    <s v="2023-03-30T19:53:33.686000+00:00"/>
    <n v="146"/>
    <n v="51"/>
    <n v="0.34931506849315103"/>
    <x v="820"/>
    <x v="2"/>
    <n v="44"/>
    <s v="URL"/>
    <x v="14"/>
    <x v="14"/>
    <m/>
    <m/>
    <x v="0"/>
    <m/>
    <m/>
    <x v="172"/>
    <m/>
  </r>
  <r>
    <s v="e3521ea5-9468-4a7d-9c6a-252081f4998e"/>
    <x v="0"/>
    <s v="4a9d5834-6ebf-4001-a4ac-6607bb6bd19c"/>
    <s v="failed"/>
    <x v="0"/>
    <s v="2023-03-30T20:03:25.869000+00:00"/>
    <n v="146"/>
    <n v="53"/>
    <n v="0.36301369863013699"/>
    <x v="821"/>
    <x v="2"/>
    <n v="44"/>
    <s v="URL"/>
    <x v="14"/>
    <x v="14"/>
    <m/>
    <m/>
    <x v="0"/>
    <m/>
    <m/>
    <x v="172"/>
    <m/>
  </r>
  <r>
    <s v="56e94229-4a09-44f5-b2e2-1feb4a2f49a9"/>
    <x v="0"/>
    <s v="4a9d5834-6ebf-4001-a4ac-6607bb6bd19c"/>
    <s v="failed"/>
    <x v="0"/>
    <s v="2023-03-30T20:08:37.125000+00:00"/>
    <n v="146"/>
    <n v="54"/>
    <n v="0.36986301369863001"/>
    <x v="822"/>
    <x v="2"/>
    <n v="44"/>
    <s v="URL"/>
    <x v="14"/>
    <x v="14"/>
    <m/>
    <m/>
    <x v="0"/>
    <m/>
    <m/>
    <x v="172"/>
    <m/>
  </r>
  <r>
    <s v="96da170a-df98-4776-b434-e0baedea97cf"/>
    <x v="0"/>
    <s v="4a9d5834-6ebf-4001-a4ac-6607bb6bd19c"/>
    <s v="failed"/>
    <x v="0"/>
    <s v="2023-03-30T20:13:52.127000+00:00"/>
    <n v="146"/>
    <n v="55"/>
    <n v="0.37671232876712302"/>
    <x v="224"/>
    <x v="2"/>
    <n v="44"/>
    <s v="URL"/>
    <x v="14"/>
    <x v="14"/>
    <m/>
    <m/>
    <x v="0"/>
    <m/>
    <m/>
    <x v="172"/>
    <m/>
  </r>
  <r>
    <s v="a97bbcab-0c15-411a-a58b-54d317113a72"/>
    <x v="0"/>
    <s v="4a9d5834-6ebf-4001-a4ac-6607bb6bd19c"/>
    <s v="failed"/>
    <x v="0"/>
    <s v="2023-03-30T20:19:01.015000+00:00"/>
    <n v="146"/>
    <n v="56"/>
    <n v="0.38356164383561597"/>
    <x v="823"/>
    <x v="2"/>
    <n v="44"/>
    <s v="URL"/>
    <x v="14"/>
    <x v="14"/>
    <m/>
    <m/>
    <x v="0"/>
    <m/>
    <m/>
    <x v="172"/>
    <m/>
  </r>
  <r>
    <s v="916ecfaa-9555-4386-906b-529931a12a0e"/>
    <x v="0"/>
    <s v="4a9d5834-6ebf-4001-a4ac-6607bb6bd19c"/>
    <s v="failed"/>
    <x v="0"/>
    <s v="2023-03-30T20:24:10.161000+00:00"/>
    <n v="146"/>
    <n v="57"/>
    <n v="0.39041095890410998"/>
    <x v="824"/>
    <x v="2"/>
    <n v="44"/>
    <s v="URL"/>
    <x v="14"/>
    <x v="14"/>
    <m/>
    <m/>
    <x v="0"/>
    <m/>
    <m/>
    <x v="172"/>
    <m/>
  </r>
  <r>
    <s v="0788d7ab-779f-4656-9826-6e684efe88c7"/>
    <x v="0"/>
    <s v="4a9d5834-6ebf-4001-a4ac-6607bb6bd19c"/>
    <s v="failed"/>
    <x v="0"/>
    <s v="2023-03-30T20:27:28.250000+00:00"/>
    <n v="146"/>
    <n v="58"/>
    <n v="0.397260273972603"/>
    <x v="825"/>
    <x v="2"/>
    <n v="44"/>
    <s v="URL"/>
    <x v="3"/>
    <x v="3"/>
    <m/>
    <m/>
    <x v="0"/>
    <m/>
    <m/>
    <x v="172"/>
    <m/>
  </r>
  <r>
    <s v="58db0bf6-6f75-44c8-bd1a-84d8de87ddb6"/>
    <x v="0"/>
    <s v="4a9d5834-6ebf-4001-a4ac-6607bb6bd19c"/>
    <s v="failed"/>
    <x v="0"/>
    <s v="2023-03-30T20:42:25.031000+00:00"/>
    <n v="146"/>
    <n v="60"/>
    <n v="0.41095890410958902"/>
    <x v="826"/>
    <x v="2"/>
    <n v="44"/>
    <s v="URL"/>
    <x v="14"/>
    <x v="14"/>
    <m/>
    <m/>
    <x v="0"/>
    <m/>
    <m/>
    <x v="172"/>
    <m/>
  </r>
  <r>
    <s v="75cec76a-b4b5-42ac-a450-d327a9c11685"/>
    <x v="0"/>
    <s v="4a9d5834-6ebf-4001-a4ac-6607bb6bd19c"/>
    <s v="failed"/>
    <x v="0"/>
    <s v="2023-03-30T20:47:21.506000+00:00"/>
    <n v="146"/>
    <n v="61"/>
    <n v="0.41780821917808197"/>
    <x v="827"/>
    <x v="2"/>
    <n v="44"/>
    <s v="URL"/>
    <x v="14"/>
    <x v="14"/>
    <m/>
    <m/>
    <x v="0"/>
    <m/>
    <m/>
    <x v="172"/>
    <m/>
  </r>
  <r>
    <s v="5d96320f-44c3-4cfc-b6ca-39ab6323bf59"/>
    <x v="0"/>
    <s v="4a9d5834-6ebf-4001-a4ac-6607bb6bd19c"/>
    <s v="failed"/>
    <x v="0"/>
    <s v="2023-03-30T20:52:35.922000+00:00"/>
    <n v="146"/>
    <n v="62"/>
    <n v="0.42465753424657499"/>
    <x v="828"/>
    <x v="2"/>
    <n v="44"/>
    <s v="URL"/>
    <x v="14"/>
    <x v="14"/>
    <m/>
    <m/>
    <x v="0"/>
    <m/>
    <m/>
    <x v="172"/>
    <m/>
  </r>
  <r>
    <s v="665c53c0-5111-42ce-b8f1-2a3d2f0f26e5"/>
    <x v="0"/>
    <s v="4a9d5834-6ebf-4001-a4ac-6607bb6bd19c"/>
    <s v="failed"/>
    <x v="0"/>
    <s v="2023-03-30T20:57:49.490000+00:00"/>
    <n v="146"/>
    <n v="63"/>
    <n v="0.431506849315069"/>
    <x v="829"/>
    <x v="2"/>
    <n v="44"/>
    <s v="URL"/>
    <x v="14"/>
    <x v="14"/>
    <m/>
    <m/>
    <x v="0"/>
    <m/>
    <m/>
    <x v="172"/>
    <m/>
  </r>
  <r>
    <s v="d92c0275-1046-4243-8dc6-460777529555"/>
    <x v="0"/>
    <s v="4a9d5834-6ebf-4001-a4ac-6607bb6bd19c"/>
    <s v="failed"/>
    <x v="0"/>
    <s v="2023-03-30T21:01:04.769000+00:00"/>
    <n v="146"/>
    <n v="64"/>
    <n v="0.43835616438356201"/>
    <x v="830"/>
    <x v="2"/>
    <n v="44"/>
    <s v="URL"/>
    <x v="3"/>
    <x v="3"/>
    <m/>
    <m/>
    <x v="0"/>
    <m/>
    <m/>
    <x v="172"/>
    <m/>
  </r>
  <r>
    <s v="6487922c-ccb4-4ba2-b8af-8da06bd63da7"/>
    <x v="0"/>
    <s v="4a9d5834-6ebf-4001-a4ac-6607bb6bd19c"/>
    <s v="failed"/>
    <x v="0"/>
    <s v="2023-03-30T21:11:20.630000+00:00"/>
    <n v="146"/>
    <n v="65"/>
    <n v="0.44520547945205502"/>
    <x v="831"/>
    <x v="2"/>
    <n v="44"/>
    <s v="URL"/>
    <x v="14"/>
    <x v="14"/>
    <m/>
    <m/>
    <x v="0"/>
    <m/>
    <m/>
    <x v="172"/>
    <m/>
  </r>
  <r>
    <s v="ee47cc4f-490e-4437-ac20-02373390929a"/>
    <x v="0"/>
    <s v="4a9d5834-6ebf-4001-a4ac-6607bb6bd19c"/>
    <s v="failed"/>
    <x v="0"/>
    <s v="2023-03-30T21:21:02.235000+00:00"/>
    <n v="146"/>
    <n v="67"/>
    <n v="0.45890410958904099"/>
    <x v="225"/>
    <x v="2"/>
    <n v="44"/>
    <s v="URL"/>
    <x v="14"/>
    <x v="14"/>
    <m/>
    <m/>
    <x v="0"/>
    <m/>
    <m/>
    <x v="172"/>
    <m/>
  </r>
  <r>
    <s v="8391eb61-feb5-43cf-b8d7-296cc4f4a71f"/>
    <x v="0"/>
    <s v="4a9d5834-6ebf-4001-a4ac-6607bb6bd19c"/>
    <s v="failed"/>
    <x v="0"/>
    <s v="2023-03-30T21:26:09.282000+00:00"/>
    <n v="146"/>
    <n v="68"/>
    <n v="0.465753424657534"/>
    <x v="832"/>
    <x v="2"/>
    <n v="44"/>
    <s v="URL"/>
    <x v="14"/>
    <x v="14"/>
    <m/>
    <m/>
    <x v="0"/>
    <m/>
    <m/>
    <x v="172"/>
    <m/>
  </r>
  <r>
    <s v="f49adb0c-becf-45f9-b6a4-cc55953d05d7"/>
    <x v="0"/>
    <s v="4a9d5834-6ebf-4001-a4ac-6607bb6bd19c"/>
    <s v="failed"/>
    <x v="0"/>
    <s v="2023-03-30T21:31:26.611000+00:00"/>
    <n v="146"/>
    <n v="69"/>
    <n v="0.47260273972602701"/>
    <x v="833"/>
    <x v="2"/>
    <n v="44"/>
    <s v="URL"/>
    <x v="14"/>
    <x v="14"/>
    <m/>
    <m/>
    <x v="0"/>
    <m/>
    <m/>
    <x v="172"/>
    <m/>
  </r>
  <r>
    <s v="94e652c4-2cdb-4d5b-bc7f-2a7a09d54bc4"/>
    <x v="0"/>
    <s v="4a9d5834-6ebf-4001-a4ac-6607bb6bd19c"/>
    <s v="failed"/>
    <x v="0"/>
    <s v="2023-03-30T21:36:36.691000+00:00"/>
    <n v="146"/>
    <n v="70"/>
    <n v="0.47945205479452102"/>
    <x v="834"/>
    <x v="2"/>
    <n v="44"/>
    <s v="URL"/>
    <x v="14"/>
    <x v="14"/>
    <m/>
    <m/>
    <x v="0"/>
    <m/>
    <m/>
    <x v="172"/>
    <m/>
  </r>
  <r>
    <s v="2ce03ff0-214b-4690-a2b4-9bc1eb06451e"/>
    <x v="0"/>
    <s v="4a9d5834-6ebf-4001-a4ac-6607bb6bd19c"/>
    <s v="failed"/>
    <x v="0"/>
    <s v="2023-03-30T21:41:48.494000+00:00"/>
    <n v="146"/>
    <n v="71"/>
    <n v="0.48630136986301398"/>
    <x v="835"/>
    <x v="2"/>
    <n v="44"/>
    <s v="URL"/>
    <x v="14"/>
    <x v="14"/>
    <m/>
    <m/>
    <x v="0"/>
    <m/>
    <m/>
    <x v="172"/>
    <m/>
  </r>
  <r>
    <s v="49c18dc0-96e0-4d9f-abb3-d97a1d724170"/>
    <x v="0"/>
    <s v="4a9d5834-6ebf-4001-a4ac-6607bb6bd19c"/>
    <s v="failed"/>
    <x v="0"/>
    <s v="2023-03-30T21:45:04.798000+00:00"/>
    <n v="146"/>
    <n v="72"/>
    <n v="0.49315068493150699"/>
    <x v="263"/>
    <x v="2"/>
    <n v="44"/>
    <s v="URL"/>
    <x v="3"/>
    <x v="3"/>
    <m/>
    <m/>
    <x v="0"/>
    <m/>
    <m/>
    <x v="172"/>
    <m/>
  </r>
  <r>
    <s v="5814f2bd-318b-424b-a6ac-1393469d1e9e"/>
    <x v="0"/>
    <s v="4a9d5834-6ebf-4001-a4ac-6607bb6bd19c"/>
    <s v="failed"/>
    <x v="0"/>
    <s v="2023-03-30T21:59:49.775000+00:00"/>
    <n v="146"/>
    <n v="74"/>
    <n v="0.50684931506849296"/>
    <x v="252"/>
    <x v="2"/>
    <n v="44"/>
    <s v="URL"/>
    <x v="14"/>
    <x v="14"/>
    <m/>
    <m/>
    <x v="0"/>
    <m/>
    <m/>
    <x v="172"/>
    <m/>
  </r>
  <r>
    <s v="392a31e1-0ef1-4ad6-80fb-b45b19271962"/>
    <x v="0"/>
    <s v="4a9d5834-6ebf-4001-a4ac-6607bb6bd19c"/>
    <s v="failed"/>
    <x v="0"/>
    <s v="2023-03-30T22:04:58.820000+00:00"/>
    <n v="146"/>
    <n v="75"/>
    <n v="0.51369863013698602"/>
    <x v="836"/>
    <x v="2"/>
    <n v="44"/>
    <s v="URL"/>
    <x v="14"/>
    <x v="14"/>
    <m/>
    <m/>
    <x v="0"/>
    <m/>
    <m/>
    <x v="172"/>
    <m/>
  </r>
  <r>
    <s v="bf29bcb4-28c7-481f-ac41-7baa9a7a90ae"/>
    <x v="0"/>
    <s v="4a9d5834-6ebf-4001-a4ac-6607bb6bd19c"/>
    <s v="failed"/>
    <x v="0"/>
    <s v="2023-03-30T22:14:29.775000+00:00"/>
    <n v="146"/>
    <n v="77"/>
    <n v="0.52739726027397305"/>
    <x v="837"/>
    <x v="2"/>
    <n v="44"/>
    <s v="URL"/>
    <x v="14"/>
    <x v="14"/>
    <m/>
    <m/>
    <x v="0"/>
    <m/>
    <m/>
    <x v="172"/>
    <m/>
  </r>
  <r>
    <s v="7a75eb67-9d70-41ef-b622-1c2de476d57f"/>
    <x v="0"/>
    <s v="4a9d5834-6ebf-4001-a4ac-6607bb6bd19c"/>
    <s v="failed"/>
    <x v="0"/>
    <s v="2023-03-30T22:19:38.350000+00:00"/>
    <n v="146"/>
    <n v="78"/>
    <n v="0.534246575342466"/>
    <x v="838"/>
    <x v="2"/>
    <n v="44"/>
    <s v="URL"/>
    <x v="14"/>
    <x v="14"/>
    <m/>
    <m/>
    <x v="0"/>
    <m/>
    <m/>
    <x v="172"/>
    <m/>
  </r>
  <r>
    <s v="4fe446d4-b22b-4e5d-b636-2bc1c26c885f"/>
    <x v="0"/>
    <s v="4a9d5834-6ebf-4001-a4ac-6607bb6bd19c"/>
    <s v="failed"/>
    <x v="0"/>
    <s v="2023-03-30T22:22:53.206000+00:00"/>
    <n v="146"/>
    <n v="79"/>
    <n v="0.54109589041095896"/>
    <x v="839"/>
    <x v="2"/>
    <n v="44"/>
    <s v="URL"/>
    <x v="3"/>
    <x v="3"/>
    <m/>
    <m/>
    <x v="0"/>
    <m/>
    <m/>
    <x v="172"/>
    <m/>
  </r>
  <r>
    <s v="2bf2b52b-d02a-4f84-8e9f-6d59e8595a76"/>
    <x v="0"/>
    <s v="4a9d5834-6ebf-4001-a4ac-6607bb6bd19c"/>
    <s v="failed"/>
    <x v="0"/>
    <s v="2023-03-30T22:37:49.091000+00:00"/>
    <n v="146"/>
    <n v="81"/>
    <n v="0.55479452054794498"/>
    <x v="840"/>
    <x v="2"/>
    <n v="44"/>
    <s v="URL"/>
    <x v="14"/>
    <x v="14"/>
    <m/>
    <m/>
    <x v="0"/>
    <m/>
    <m/>
    <x v="172"/>
    <m/>
  </r>
  <r>
    <s v="4a2fbf39-f8f6-44dd-8bf6-005668ae019f"/>
    <x v="0"/>
    <s v="4a9d5834-6ebf-4001-a4ac-6607bb6bd19c"/>
    <s v="failed"/>
    <x v="0"/>
    <s v="2023-03-30T22:42:52.791000+00:00"/>
    <n v="146"/>
    <n v="82"/>
    <n v="0.56164383561643805"/>
    <x v="841"/>
    <x v="2"/>
    <n v="44"/>
    <s v="URL"/>
    <x v="14"/>
    <x v="14"/>
    <m/>
    <m/>
    <x v="0"/>
    <m/>
    <m/>
    <x v="172"/>
    <m/>
  </r>
  <r>
    <s v="05d4f021-a1af-482c-b878-2bd631b7a528"/>
    <x v="0"/>
    <s v="4a9d5834-6ebf-4001-a4ac-6607bb6bd19c"/>
    <s v="failed"/>
    <x v="0"/>
    <s v="2023-03-30T22:48:07.187000+00:00"/>
    <n v="146"/>
    <n v="83"/>
    <n v="0.568493150684932"/>
    <x v="842"/>
    <x v="2"/>
    <n v="44"/>
    <s v="URL"/>
    <x v="14"/>
    <x v="14"/>
    <m/>
    <m/>
    <x v="0"/>
    <m/>
    <m/>
    <x v="172"/>
    <m/>
  </r>
  <r>
    <s v="0263a783-15af-4b99-8d41-c551412e31bf"/>
    <x v="0"/>
    <s v="4a9d5834-6ebf-4001-a4ac-6607bb6bd19c"/>
    <s v="failed"/>
    <x v="0"/>
    <s v="2023-03-30T22:53:16.166000+00:00"/>
    <n v="146"/>
    <n v="84"/>
    <n v="0.57534246575342496"/>
    <x v="843"/>
    <x v="2"/>
    <n v="44"/>
    <s v="URL"/>
    <x v="14"/>
    <x v="14"/>
    <m/>
    <m/>
    <x v="0"/>
    <m/>
    <m/>
    <x v="172"/>
    <m/>
  </r>
  <r>
    <s v="ce63298e-2e2e-40e1-afb2-969b01bd8cc5"/>
    <x v="0"/>
    <s v="4a9d5834-6ebf-4001-a4ac-6607bb6bd19c"/>
    <s v="failed"/>
    <x v="0"/>
    <s v="2023-03-30T22:54:59.596000+00:00"/>
    <n v="146"/>
    <n v="85"/>
    <n v="0.58219178082191803"/>
    <x v="232"/>
    <x v="2"/>
    <n v="44"/>
    <s v="URL"/>
    <x v="13"/>
    <x v="13"/>
    <m/>
    <m/>
    <x v="0"/>
    <m/>
    <m/>
    <x v="172"/>
    <m/>
  </r>
  <r>
    <s v="98a73fa1-0257-4d44-a867-131e917a1559"/>
    <x v="0"/>
    <s v="4a9d5834-6ebf-4001-a4ac-6607bb6bd19c"/>
    <s v="failed"/>
    <x v="0"/>
    <s v="2023-03-30T23:00:08.843000+00:00"/>
    <n v="146"/>
    <n v="86"/>
    <n v="0.58904109589041098"/>
    <x v="844"/>
    <x v="2"/>
    <n v="44"/>
    <s v="URL"/>
    <x v="14"/>
    <x v="14"/>
    <m/>
    <m/>
    <x v="0"/>
    <m/>
    <m/>
    <x v="172"/>
    <m/>
  </r>
  <r>
    <s v="8a8b4c1a-e199-4c9c-bcf4-cca4afaa1689"/>
    <x v="0"/>
    <s v="4a9d5834-6ebf-4001-a4ac-6607bb6bd19c"/>
    <s v="failed"/>
    <x v="0"/>
    <s v="2023-03-30T23:14:39.267000+00:00"/>
    <n v="146"/>
    <n v="89"/>
    <n v="0.60958904109588996"/>
    <x v="845"/>
    <x v="2"/>
    <n v="44"/>
    <s v="URL"/>
    <x v="14"/>
    <x v="14"/>
    <m/>
    <m/>
    <x v="0"/>
    <m/>
    <m/>
    <x v="172"/>
    <m/>
  </r>
  <r>
    <s v="3540cf66-235b-4584-9e76-146b6e532c69"/>
    <x v="0"/>
    <s v="4a9d5834-6ebf-4001-a4ac-6607bb6bd19c"/>
    <s v="failed"/>
    <x v="0"/>
    <s v="2023-03-30T23:19:50.968000+00:00"/>
    <n v="146"/>
    <n v="90"/>
    <n v="0.61643835616438403"/>
    <x v="846"/>
    <x v="2"/>
    <n v="44"/>
    <s v="URL"/>
    <x v="14"/>
    <x v="14"/>
    <m/>
    <m/>
    <x v="0"/>
    <m/>
    <m/>
    <x v="172"/>
    <m/>
  </r>
  <r>
    <s v="a6eb5bf6-739b-40f3-ac85-e6e38c34dede"/>
    <x v="0"/>
    <s v="4a9d5834-6ebf-4001-a4ac-6607bb6bd19c"/>
    <s v="failed"/>
    <x v="0"/>
    <s v="2023-03-30T23:24:25.913000+00:00"/>
    <n v="146"/>
    <n v="91"/>
    <n v="0.62328767123287698"/>
    <x v="547"/>
    <x v="2"/>
    <n v="44"/>
    <s v="URL"/>
    <x v="9"/>
    <x v="9"/>
    <m/>
    <m/>
    <x v="0"/>
    <m/>
    <m/>
    <x v="172"/>
    <m/>
  </r>
  <r>
    <s v="058c3a91-2f4d-4f96-9d0d-29c51077a86d"/>
    <x v="0"/>
    <s v="4a9d5834-6ebf-4001-a4ac-6607bb6bd19c"/>
    <s v="failed"/>
    <x v="0"/>
    <s v="2023-03-30T23:35:50.888000+00:00"/>
    <n v="146"/>
    <n v="93"/>
    <n v="0.63698630136986301"/>
    <x v="262"/>
    <x v="2"/>
    <n v="44"/>
    <s v="URL"/>
    <x v="14"/>
    <x v="14"/>
    <m/>
    <m/>
    <x v="0"/>
    <m/>
    <m/>
    <x v="172"/>
    <m/>
  </r>
  <r>
    <s v="87fa21fa-f223-4a36-aaeb-369164215815"/>
    <x v="0"/>
    <s v="4a9d5834-6ebf-4001-a4ac-6607bb6bd19c"/>
    <s v="failed"/>
    <x v="0"/>
    <s v="2023-03-30T23:40:53.736000+00:00"/>
    <n v="146"/>
    <n v="94"/>
    <n v="0.64383561643835596"/>
    <x v="847"/>
    <x v="2"/>
    <n v="44"/>
    <s v="URL"/>
    <x v="14"/>
    <x v="14"/>
    <m/>
    <m/>
    <x v="0"/>
    <m/>
    <m/>
    <x v="172"/>
    <m/>
  </r>
  <r>
    <s v="36a314be-761e-4ab2-ac0e-802b09d91787"/>
    <x v="0"/>
    <s v="4a9d5834-6ebf-4001-a4ac-6607bb6bd19c"/>
    <s v="failed"/>
    <x v="0"/>
    <s v="2023-03-30T23:45:59.530000+00:00"/>
    <n v="146"/>
    <n v="95"/>
    <n v="0.65068493150684903"/>
    <x v="546"/>
    <x v="2"/>
    <n v="44"/>
    <s v="URL"/>
    <x v="14"/>
    <x v="14"/>
    <m/>
    <m/>
    <x v="0"/>
    <m/>
    <m/>
    <x v="172"/>
    <m/>
  </r>
  <r>
    <s v="5fca2a39-9bc0-40d3-88db-d41651ef413f"/>
    <x v="0"/>
    <s v="4a9d5834-6ebf-4001-a4ac-6607bb6bd19c"/>
    <s v="failed"/>
    <x v="0"/>
    <s v="2023-03-30T23:49:13.108000+00:00"/>
    <n v="146"/>
    <n v="96"/>
    <n v="0.65753424657534199"/>
    <x v="545"/>
    <x v="2"/>
    <n v="44"/>
    <s v="URL"/>
    <x v="3"/>
    <x v="3"/>
    <m/>
    <m/>
    <x v="0"/>
    <m/>
    <m/>
    <x v="172"/>
    <m/>
  </r>
  <r>
    <s v="6f5a2171-3e33-44d8-9247-998f961a9e79"/>
    <x v="0"/>
    <s v="4a9d5834-6ebf-4001-a4ac-6607bb6bd19c"/>
    <s v="failed"/>
    <x v="0"/>
    <s v="2023-03-30T23:59:02.950000+00:00"/>
    <n v="146"/>
    <n v="97"/>
    <n v="0.66438356164383605"/>
    <x v="848"/>
    <x v="2"/>
    <n v="44"/>
    <s v="URL"/>
    <x v="14"/>
    <x v="14"/>
    <m/>
    <m/>
    <x v="0"/>
    <m/>
    <m/>
    <x v="172"/>
    <m/>
  </r>
  <r>
    <s v="5b1e3392-19c8-47e9-8e38-240ae726d778"/>
    <x v="0"/>
    <s v="4a9d5834-6ebf-4001-a4ac-6607bb6bd19c"/>
    <s v="failed"/>
    <x v="0"/>
    <s v="2023-03-31T00:04:11.694000+00:00"/>
    <n v="146"/>
    <n v="98"/>
    <n v="0.67123287671232901"/>
    <x v="544"/>
    <x v="2"/>
    <n v="44"/>
    <s v="URL"/>
    <x v="14"/>
    <x v="14"/>
    <m/>
    <m/>
    <x v="0"/>
    <m/>
    <m/>
    <x v="174"/>
    <m/>
  </r>
  <r>
    <s v="4472549b-240a-412a-80ac-ac90ab1b61ff"/>
    <x v="0"/>
    <s v="4a9d5834-6ebf-4001-a4ac-6607bb6bd19c"/>
    <s v="failed"/>
    <x v="0"/>
    <s v="2023-03-31T00:09:19.035000+00:00"/>
    <n v="146"/>
    <n v="99"/>
    <n v="0.67808219178082196"/>
    <x v="543"/>
    <x v="2"/>
    <n v="44"/>
    <s v="URL"/>
    <x v="14"/>
    <x v="14"/>
    <m/>
    <m/>
    <x v="0"/>
    <m/>
    <m/>
    <x v="174"/>
    <m/>
  </r>
  <r>
    <s v="d7017736-aaf4-4ce4-a89d-2f00451185fc"/>
    <x v="0"/>
    <s v="4a9d5834-6ebf-4001-a4ac-6607bb6bd19c"/>
    <s v="failed"/>
    <x v="0"/>
    <s v="2023-03-31T00:23:51.691000+00:00"/>
    <n v="146"/>
    <n v="102"/>
    <n v="0.69863013698630105"/>
    <x v="849"/>
    <x v="2"/>
    <n v="44"/>
    <s v="URL"/>
    <x v="14"/>
    <x v="14"/>
    <m/>
    <m/>
    <x v="0"/>
    <m/>
    <m/>
    <x v="174"/>
    <m/>
  </r>
  <r>
    <s v="3a6c0cbf-d7ad-47d7-90a0-9b144b7cd97a"/>
    <x v="0"/>
    <s v="4a9d5834-6ebf-4001-a4ac-6607bb6bd19c"/>
    <s v="failed"/>
    <x v="0"/>
    <s v="2023-03-31T00:28:58.720000+00:00"/>
    <n v="146"/>
    <n v="103"/>
    <n v="0.70547945205479501"/>
    <x v="270"/>
    <x v="2"/>
    <n v="44"/>
    <s v="URL"/>
    <x v="14"/>
    <x v="14"/>
    <m/>
    <m/>
    <x v="0"/>
    <m/>
    <m/>
    <x v="174"/>
    <m/>
  </r>
  <r>
    <s v="3a95ef74-cdea-4634-aed7-64f1c94c797c"/>
    <x v="0"/>
    <s v="4a9d5834-6ebf-4001-a4ac-6607bb6bd19c"/>
    <s v="failed"/>
    <x v="0"/>
    <s v="2023-03-31T00:34:10.740000+00:00"/>
    <n v="146"/>
    <n v="104"/>
    <n v="0.71232876712328796"/>
    <x v="234"/>
    <x v="2"/>
    <n v="44"/>
    <s v="URL"/>
    <x v="14"/>
    <x v="14"/>
    <m/>
    <m/>
    <x v="0"/>
    <m/>
    <m/>
    <x v="174"/>
    <m/>
  </r>
  <r>
    <s v="8095b424-ce23-485b-9ec9-a24847ceb4d5"/>
    <x v="0"/>
    <s v="4a9d5834-6ebf-4001-a4ac-6607bb6bd19c"/>
    <s v="failed"/>
    <x v="0"/>
    <s v="2023-03-31T00:39:18.037000+00:00"/>
    <n v="146"/>
    <n v="105"/>
    <n v="0.71917808219178103"/>
    <x v="542"/>
    <x v="2"/>
    <n v="44"/>
    <s v="URL"/>
    <x v="14"/>
    <x v="14"/>
    <m/>
    <m/>
    <x v="0"/>
    <m/>
    <m/>
    <x v="174"/>
    <m/>
  </r>
  <r>
    <s v="2a1acb61-ddaf-432f-8b9b-a67c6e5d573a"/>
    <x v="0"/>
    <s v="4a9d5834-6ebf-4001-a4ac-6607bb6bd19c"/>
    <s v="failed"/>
    <x v="0"/>
    <s v="2023-03-31T00:42:29.134000+00:00"/>
    <n v="146"/>
    <n v="106"/>
    <n v="0.72602739726027399"/>
    <x v="541"/>
    <x v="2"/>
    <n v="44"/>
    <s v="URL"/>
    <x v="3"/>
    <x v="3"/>
    <m/>
    <m/>
    <x v="0"/>
    <m/>
    <m/>
    <x v="174"/>
    <m/>
  </r>
  <r>
    <s v="2b29d705-3ed0-4ad8-8ded-53a7076ff72a"/>
    <x v="0"/>
    <s v="4a9d5834-6ebf-4001-a4ac-6607bb6bd19c"/>
    <s v="failed"/>
    <x v="0"/>
    <s v="2023-03-31T00:50:47.394000+00:00"/>
    <n v="146"/>
    <n v="107"/>
    <n v="0.73287671232876705"/>
    <x v="248"/>
    <x v="2"/>
    <n v="44"/>
    <s v="URL"/>
    <x v="3"/>
    <x v="3"/>
    <m/>
    <m/>
    <x v="0"/>
    <m/>
    <m/>
    <x v="174"/>
    <m/>
  </r>
  <r>
    <s v="f017efa5-7948-4158-b1c5-3793a7e36657"/>
    <x v="0"/>
    <s v="4a9d5834-6ebf-4001-a4ac-6607bb6bd19c"/>
    <s v="failed"/>
    <x v="0"/>
    <s v="2023-03-31T00:59:48.834000+00:00"/>
    <n v="146"/>
    <n v="109"/>
    <n v="0.74657534246575297"/>
    <x v="850"/>
    <x v="2"/>
    <n v="44"/>
    <s v="URL"/>
    <x v="3"/>
    <x v="3"/>
    <m/>
    <m/>
    <x v="0"/>
    <m/>
    <m/>
    <x v="174"/>
    <m/>
  </r>
  <r>
    <s v="5fee81cc-af73-4234-966c-920dc2366bae"/>
    <x v="0"/>
    <s v="4a9d5834-6ebf-4001-a4ac-6607bb6bd19c"/>
    <s v="failed"/>
    <x v="0"/>
    <s v="2023-03-31T01:09:57.585000+00:00"/>
    <n v="146"/>
    <n v="110"/>
    <n v="0.75342465753424703"/>
    <x v="851"/>
    <x v="2"/>
    <n v="44"/>
    <s v="URL"/>
    <x v="14"/>
    <x v="14"/>
    <m/>
    <m/>
    <x v="0"/>
    <m/>
    <m/>
    <x v="174"/>
    <m/>
  </r>
  <r>
    <s v="e88767f1-2319-4f9e-9b0f-48963bf25376"/>
    <x v="0"/>
    <s v="4a9d5834-6ebf-4001-a4ac-6607bb6bd19c"/>
    <s v="failed"/>
    <x v="0"/>
    <s v="2023-03-31T01:15:04.649000+00:00"/>
    <n v="146"/>
    <n v="111"/>
    <n v="0.76027397260273999"/>
    <x v="852"/>
    <x v="2"/>
    <n v="44"/>
    <s v="URL"/>
    <x v="14"/>
    <x v="14"/>
    <m/>
    <m/>
    <x v="0"/>
    <m/>
    <m/>
    <x v="174"/>
    <m/>
  </r>
  <r>
    <s v="2bc7564c-5434-4caf-9d27-d3a024776c3d"/>
    <x v="0"/>
    <s v="4a9d5834-6ebf-4001-a4ac-6607bb6bd19c"/>
    <s v="failed"/>
    <x v="0"/>
    <s v="2023-03-31T01:20:09.985000+00:00"/>
    <n v="146"/>
    <n v="112"/>
    <n v="0.76712328767123295"/>
    <x v="853"/>
    <x v="2"/>
    <n v="44"/>
    <s v="URL"/>
    <x v="14"/>
    <x v="14"/>
    <m/>
    <m/>
    <x v="0"/>
    <m/>
    <m/>
    <x v="174"/>
    <m/>
  </r>
  <r>
    <s v="5e0610ac-97a8-43e9-b343-55ea3a36c927"/>
    <x v="0"/>
    <s v="4a9d5834-6ebf-4001-a4ac-6607bb6bd19c"/>
    <s v="failed"/>
    <x v="0"/>
    <s v="2023-03-31T01:23:20.410000+00:00"/>
    <n v="146"/>
    <n v="113"/>
    <n v="0.77397260273972601"/>
    <x v="261"/>
    <x v="2"/>
    <n v="44"/>
    <s v="URL"/>
    <x v="3"/>
    <x v="3"/>
    <m/>
    <m/>
    <x v="0"/>
    <m/>
    <m/>
    <x v="174"/>
    <m/>
  </r>
  <r>
    <s v="48b55892-1a07-4d14-8ec1-9186bc54e015"/>
    <x v="0"/>
    <s v="4a9d5834-6ebf-4001-a4ac-6607bb6bd19c"/>
    <s v="failed"/>
    <x v="0"/>
    <s v="2023-03-31T01:33:30.473000+00:00"/>
    <n v="146"/>
    <n v="114"/>
    <n v="0.78082191780821897"/>
    <x v="260"/>
    <x v="2"/>
    <n v="44"/>
    <s v="URL"/>
    <x v="14"/>
    <x v="14"/>
    <m/>
    <m/>
    <x v="0"/>
    <m/>
    <m/>
    <x v="174"/>
    <m/>
  </r>
  <r>
    <s v="09768558-ee2c-45ec-8485-23da18d46ba7"/>
    <x v="0"/>
    <s v="4a9d5834-6ebf-4001-a4ac-6607bb6bd19c"/>
    <s v="failed"/>
    <x v="0"/>
    <s v="2023-03-31T01:45:52.660000+00:00"/>
    <n v="146"/>
    <n v="117"/>
    <n v="0.80136986301369895"/>
    <x v="539"/>
    <x v="2"/>
    <n v="44"/>
    <s v="URL"/>
    <x v="3"/>
    <x v="3"/>
    <m/>
    <m/>
    <x v="0"/>
    <m/>
    <m/>
    <x v="174"/>
    <m/>
  </r>
  <r>
    <s v="c437c442-2df7-4c3f-a1b5-4377866758d6"/>
    <x v="0"/>
    <s v="4a9d5834-6ebf-4001-a4ac-6607bb6bd19c"/>
    <s v="failed"/>
    <x v="0"/>
    <s v="2023-03-31T01:56:03.205000+00:00"/>
    <n v="146"/>
    <n v="118"/>
    <n v="0.80821917808219201"/>
    <x v="538"/>
    <x v="2"/>
    <n v="44"/>
    <s v="URL"/>
    <x v="14"/>
    <x v="14"/>
    <m/>
    <m/>
    <x v="0"/>
    <m/>
    <m/>
    <x v="174"/>
    <m/>
  </r>
  <r>
    <s v="ff56725e-b185-4a91-897c-3b6ef5c6489c"/>
    <x v="0"/>
    <s v="4a9d5834-6ebf-4001-a4ac-6607bb6bd19c"/>
    <s v="failed"/>
    <x v="0"/>
    <s v="2023-03-31T01:59:09.392000+00:00"/>
    <n v="146"/>
    <n v="119"/>
    <n v="0.81506849315068497"/>
    <x v="537"/>
    <x v="2"/>
    <n v="44"/>
    <s v="URL"/>
    <x v="3"/>
    <x v="3"/>
    <m/>
    <m/>
    <x v="0"/>
    <m/>
    <m/>
    <x v="174"/>
    <m/>
  </r>
  <r>
    <s v="6297f997-585c-42a5-8de5-08030dcbddbb"/>
    <x v="0"/>
    <s v="4a9d5834-6ebf-4001-a4ac-6607bb6bd19c"/>
    <s v="failed"/>
    <x v="0"/>
    <s v="2023-03-31T02:07:22.111000+00:00"/>
    <n v="146"/>
    <n v="120"/>
    <n v="0.82191780821917804"/>
    <x v="536"/>
    <x v="2"/>
    <n v="44"/>
    <s v="URL"/>
    <x v="3"/>
    <x v="3"/>
    <m/>
    <m/>
    <x v="0"/>
    <m/>
    <m/>
    <x v="174"/>
    <m/>
  </r>
  <r>
    <s v="b109589a-0445-43e5-9daf-ef8c9e602de9"/>
    <x v="0"/>
    <s v="4a9d5834-6ebf-4001-a4ac-6607bb6bd19c"/>
    <s v="failed"/>
    <x v="0"/>
    <s v="2023-03-31T02:17:18.787000+00:00"/>
    <n v="146"/>
    <n v="121"/>
    <n v="0.82876712328767099"/>
    <x v="247"/>
    <x v="2"/>
    <n v="44"/>
    <s v="URL"/>
    <x v="14"/>
    <x v="14"/>
    <m/>
    <m/>
    <x v="0"/>
    <m/>
    <m/>
    <x v="174"/>
    <m/>
  </r>
  <r>
    <s v="a5448495-1362-4c0a-9105-d7cc7578111c"/>
    <x v="0"/>
    <s v="4a9d5834-6ebf-4001-a4ac-6607bb6bd19c"/>
    <s v="failed"/>
    <x v="0"/>
    <s v="2023-03-31T02:27:05.699000+00:00"/>
    <n v="146"/>
    <n v="123"/>
    <n v="0.84246575342465801"/>
    <x v="854"/>
    <x v="2"/>
    <n v="44"/>
    <s v="URL"/>
    <x v="14"/>
    <x v="14"/>
    <m/>
    <m/>
    <x v="0"/>
    <m/>
    <m/>
    <x v="174"/>
    <m/>
  </r>
  <r>
    <s v="7d1d20c4-b2ed-4a9b-a1c8-99a928fd45ae"/>
    <x v="0"/>
    <s v="4a9d5834-6ebf-4001-a4ac-6607bb6bd19c"/>
    <s v="failed"/>
    <x v="0"/>
    <s v="2023-03-31T02:30:11.339000+00:00"/>
    <n v="146"/>
    <n v="124"/>
    <n v="0.84931506849315097"/>
    <x v="535"/>
    <x v="2"/>
    <n v="44"/>
    <s v="URL"/>
    <x v="3"/>
    <x v="3"/>
    <m/>
    <m/>
    <x v="0"/>
    <m/>
    <m/>
    <x v="174"/>
    <m/>
  </r>
  <r>
    <s v="ee23b8a7-f6d5-4963-bf1d-de296b809b77"/>
    <x v="0"/>
    <s v="4a9d5834-6ebf-4001-a4ac-6607bb6bd19c"/>
    <s v="failed"/>
    <x v="0"/>
    <s v="2023-03-31T02:40:22.347000+00:00"/>
    <n v="146"/>
    <n v="125"/>
    <n v="0.85616438356164404"/>
    <x v="259"/>
    <x v="2"/>
    <n v="44"/>
    <s v="URL"/>
    <x v="14"/>
    <x v="14"/>
    <m/>
    <m/>
    <x v="0"/>
    <m/>
    <m/>
    <x v="174"/>
    <m/>
  </r>
  <r>
    <s v="021e1c19-830a-4c2c-bdf8-9e035a8caf3d"/>
    <x v="0"/>
    <s v="4a9d5834-6ebf-4001-a4ac-6607bb6bd19c"/>
    <s v="failed"/>
    <x v="0"/>
    <s v="2023-03-31T02:43:26.630000+00:00"/>
    <n v="146"/>
    <n v="126"/>
    <n v="0.86301369863013699"/>
    <x v="534"/>
    <x v="2"/>
    <n v="44"/>
    <s v="URL"/>
    <x v="3"/>
    <x v="3"/>
    <m/>
    <m/>
    <x v="0"/>
    <m/>
    <m/>
    <x v="174"/>
    <m/>
  </r>
  <r>
    <s v="cae20f0f-823d-4169-a7e1-8c8dcca48712"/>
    <x v="0"/>
    <s v="4a9d5834-6ebf-4001-a4ac-6607bb6bd19c"/>
    <s v="failed"/>
    <x v="0"/>
    <s v="2023-03-31T02:51:38.864000+00:00"/>
    <n v="146"/>
    <n v="127"/>
    <n v="0.86986301369862995"/>
    <x v="533"/>
    <x v="2"/>
    <n v="44"/>
    <s v="URL"/>
    <x v="3"/>
    <x v="3"/>
    <m/>
    <m/>
    <x v="0"/>
    <m/>
    <m/>
    <x v="174"/>
    <m/>
  </r>
  <r>
    <s v="4aab453d-8298-44c7-8da4-1561326e13ff"/>
    <x v="0"/>
    <s v="4a9d5834-6ebf-4001-a4ac-6607bb6bd19c"/>
    <s v="failed"/>
    <x v="0"/>
    <s v="2023-03-31T03:01:45.115000+00:00"/>
    <n v="146"/>
    <n v="128"/>
    <n v="0.87671232876712302"/>
    <x v="532"/>
    <x v="2"/>
    <n v="44"/>
    <s v="URL"/>
    <x v="14"/>
    <x v="14"/>
    <m/>
    <m/>
    <x v="0"/>
    <m/>
    <m/>
    <x v="174"/>
    <m/>
  </r>
  <r>
    <s v="0c6c683b-8f55-4f0c-b0e8-455c53b33470"/>
    <x v="0"/>
    <s v="4a9d5834-6ebf-4001-a4ac-6607bb6bd19c"/>
    <s v="failed"/>
    <x v="0"/>
    <s v="2023-03-31T03:07:57.755000+00:00"/>
    <n v="146"/>
    <n v="130"/>
    <n v="0.89041095890411004"/>
    <x v="269"/>
    <x v="2"/>
    <n v="44"/>
    <s v="URL"/>
    <x v="18"/>
    <x v="18"/>
    <m/>
    <m/>
    <x v="0"/>
    <m/>
    <m/>
    <x v="174"/>
    <m/>
  </r>
  <r>
    <s v="decabd74-8f1c-4e0a-8105-6b55f19ada8a"/>
    <x v="0"/>
    <s v="4a9d5834-6ebf-4001-a4ac-6607bb6bd19c"/>
    <s v="failed"/>
    <x v="0"/>
    <s v="2023-03-31T03:12:43.029000+00:00"/>
    <n v="146"/>
    <n v="131"/>
    <n v="0.897260273972603"/>
    <x v="531"/>
    <x v="2"/>
    <n v="44"/>
    <s v="URL"/>
    <x v="14"/>
    <x v="14"/>
    <m/>
    <m/>
    <x v="0"/>
    <m/>
    <m/>
    <x v="174"/>
    <m/>
  </r>
  <r>
    <s v="3cabb18e-3123-4cf3-81cf-afe1c3e9cc36"/>
    <x v="0"/>
    <s v="4a9d5834-6ebf-4001-a4ac-6607bb6bd19c"/>
    <s v="failed"/>
    <x v="0"/>
    <s v="2023-03-31T03:17:50.505000+00:00"/>
    <n v="146"/>
    <n v="132"/>
    <n v="0.90410958904109595"/>
    <x v="530"/>
    <x v="2"/>
    <n v="44"/>
    <s v="URL"/>
    <x v="14"/>
    <x v="14"/>
    <m/>
    <m/>
    <x v="0"/>
    <m/>
    <m/>
    <x v="174"/>
    <m/>
  </r>
  <r>
    <s v="f44cc160-cd22-4725-9203-404d30b4e9d8"/>
    <x v="0"/>
    <s v="4a9d5834-6ebf-4001-a4ac-6607bb6bd19c"/>
    <s v="failed"/>
    <x v="0"/>
    <s v="2023-03-31T03:20:56.914000+00:00"/>
    <n v="146"/>
    <n v="133"/>
    <n v="0.91095890410958902"/>
    <x v="529"/>
    <x v="2"/>
    <n v="44"/>
    <s v="URL"/>
    <x v="3"/>
    <x v="3"/>
    <m/>
    <m/>
    <x v="0"/>
    <m/>
    <m/>
    <x v="174"/>
    <m/>
  </r>
  <r>
    <s v="d055a441-4bec-4744-bc0e-928e47d11745"/>
    <x v="0"/>
    <s v="4a9d5834-6ebf-4001-a4ac-6607bb6bd19c"/>
    <s v="failed"/>
    <x v="0"/>
    <s v="2023-03-31T03:31:04.514000+00:00"/>
    <n v="146"/>
    <n v="134"/>
    <n v="0.91780821917808197"/>
    <x v="528"/>
    <x v="2"/>
    <n v="44"/>
    <s v="URL"/>
    <x v="14"/>
    <x v="14"/>
    <m/>
    <m/>
    <x v="0"/>
    <m/>
    <m/>
    <x v="174"/>
    <m/>
  </r>
  <r>
    <s v="1ecdc207-3f78-485c-9081-4c2ea6fe41a7"/>
    <x v="0"/>
    <s v="4a9d5834-6ebf-4001-a4ac-6607bb6bd19c"/>
    <s v="failed"/>
    <x v="0"/>
    <s v="2023-03-31T03:36:07.078000+00:00"/>
    <n v="146"/>
    <n v="135"/>
    <n v="0.92465753424657504"/>
    <x v="527"/>
    <x v="2"/>
    <n v="44"/>
    <s v="URL"/>
    <x v="14"/>
    <x v="14"/>
    <m/>
    <m/>
    <x v="0"/>
    <m/>
    <m/>
    <x v="174"/>
    <m/>
  </r>
  <r>
    <s v="c865c8f9-0bb1-40d3-89e0-6fb928f8f231"/>
    <x v="0"/>
    <s v="4a9d5834-6ebf-4001-a4ac-6607bb6bd19c"/>
    <s v="failed"/>
    <x v="0"/>
    <s v="2023-03-31T03:45:49.578000+00:00"/>
    <n v="146"/>
    <n v="137"/>
    <n v="0.93835616438356195"/>
    <x v="526"/>
    <x v="2"/>
    <n v="44"/>
    <s v="URL"/>
    <x v="14"/>
    <x v="14"/>
    <m/>
    <m/>
    <x v="0"/>
    <m/>
    <m/>
    <x v="174"/>
    <m/>
  </r>
  <r>
    <s v="3f505952-497b-4e5a-b5ca-165897c02e2e"/>
    <x v="0"/>
    <s v="4a9d5834-6ebf-4001-a4ac-6607bb6bd19c"/>
    <s v="failed"/>
    <x v="0"/>
    <s v="2023-03-31T03:48:54.971000+00:00"/>
    <n v="146"/>
    <n v="138"/>
    <n v="0.94520547945205502"/>
    <x v="525"/>
    <x v="2"/>
    <n v="44"/>
    <s v="URL"/>
    <x v="3"/>
    <x v="3"/>
    <m/>
    <m/>
    <x v="0"/>
    <m/>
    <m/>
    <x v="174"/>
    <m/>
  </r>
  <r>
    <s v="864c2f57-f44e-476a-88f4-79b6b92b76f3"/>
    <x v="0"/>
    <s v="4a9d5834-6ebf-4001-a4ac-6607bb6bd19c"/>
    <s v="failed"/>
    <x v="45"/>
    <s v="2023-03-31T03:57:25.045000+00:00"/>
    <n v="146"/>
    <n v="139"/>
    <n v="0.95205479452054798"/>
    <x v="246"/>
    <x v="2"/>
    <n v="44"/>
    <s v="URL"/>
    <x v="9"/>
    <x v="9"/>
    <m/>
    <m/>
    <x v="0"/>
    <m/>
    <m/>
    <x v="174"/>
    <m/>
  </r>
  <r>
    <s v="e23ac41b-37fe-46aa-ba8f-3223b352faf8"/>
    <x v="0"/>
    <s v="75141704-9a85-4b93-bbdf-f1abd29e3d35"/>
    <s v="failed"/>
    <x v="0"/>
    <s v="2023-03-30T10:46:33.734000+00:00"/>
    <n v="38"/>
    <n v="0"/>
    <n v="0"/>
    <x v="243"/>
    <x v="0"/>
    <n v="44"/>
    <s v="URL"/>
    <x v="13"/>
    <x v="13"/>
    <m/>
    <m/>
    <x v="0"/>
    <m/>
    <m/>
    <x v="172"/>
    <m/>
  </r>
  <r>
    <s v="9531d304-f193-4558-9f4d-fdf53ccb1a07"/>
    <x v="0"/>
    <s v="75141704-9a85-4b93-bbdf-f1abd29e3d35"/>
    <s v="failed"/>
    <x v="0"/>
    <s v="2023-03-30T10:54:34.671000+00:00"/>
    <n v="38"/>
    <n v="1"/>
    <n v="2.6315789473684001E-2"/>
    <x v="614"/>
    <x v="0"/>
    <n v="44"/>
    <s v="URL"/>
    <x v="14"/>
    <x v="14"/>
    <m/>
    <m/>
    <x v="0"/>
    <m/>
    <m/>
    <x v="172"/>
    <m/>
  </r>
  <r>
    <s v="5b5e1250-76bb-44f0-8e02-68d3f5c790b8"/>
    <x v="0"/>
    <s v="75141704-9a85-4b93-bbdf-f1abd29e3d35"/>
    <s v="failed"/>
    <x v="0"/>
    <s v="2023-03-30T10:59:29.770000+00:00"/>
    <n v="38"/>
    <n v="2"/>
    <n v="5.2631578947369001E-2"/>
    <x v="615"/>
    <x v="0"/>
    <n v="44"/>
    <s v="URL"/>
    <x v="14"/>
    <x v="14"/>
    <m/>
    <m/>
    <x v="0"/>
    <m/>
    <m/>
    <x v="172"/>
    <m/>
  </r>
  <r>
    <s v="daa7c985-d7cb-4393-b038-d111ebf818d9"/>
    <x v="0"/>
    <s v="75141704-9a85-4b93-bbdf-f1abd29e3d35"/>
    <s v="failed"/>
    <x v="0"/>
    <s v="2023-03-30T11:04:38.041000+00:00"/>
    <n v="38"/>
    <n v="3"/>
    <n v="7.8947368421053002E-2"/>
    <x v="616"/>
    <x v="0"/>
    <n v="44"/>
    <s v="URL"/>
    <x v="14"/>
    <x v="14"/>
    <m/>
    <m/>
    <x v="0"/>
    <m/>
    <m/>
    <x v="172"/>
    <m/>
  </r>
  <r>
    <s v="441dd31b-aeba-47cd-8ac5-688dc28d3943"/>
    <x v="0"/>
    <s v="75141704-9a85-4b93-bbdf-f1abd29e3d35"/>
    <s v="failed"/>
    <x v="0"/>
    <s v="2023-03-30T11:09:37.931000+00:00"/>
    <n v="38"/>
    <n v="4"/>
    <n v="0.105263157894737"/>
    <x v="617"/>
    <x v="0"/>
    <n v="44"/>
    <s v="URL"/>
    <x v="14"/>
    <x v="14"/>
    <m/>
    <m/>
    <x v="0"/>
    <m/>
    <m/>
    <x v="172"/>
    <m/>
  </r>
  <r>
    <s v="ae2f257b-6e5f-4771-afdb-aa6c0b02e83d"/>
    <x v="0"/>
    <s v="75141704-9a85-4b93-bbdf-f1abd29e3d35"/>
    <s v="failed"/>
    <x v="0"/>
    <s v="2023-03-30T11:23:26.866000+00:00"/>
    <n v="38"/>
    <n v="7"/>
    <n v="0.18421052631578899"/>
    <x v="619"/>
    <x v="0"/>
    <n v="44"/>
    <s v="URL"/>
    <x v="14"/>
    <x v="14"/>
    <m/>
    <m/>
    <x v="0"/>
    <m/>
    <m/>
    <x v="172"/>
    <m/>
  </r>
  <r>
    <s v="5617964f-cd9d-466a-b509-a91b47769c2d"/>
    <x v="0"/>
    <s v="75141704-9a85-4b93-bbdf-f1abd29e3d35"/>
    <s v="failed"/>
    <x v="0"/>
    <s v="2023-03-30T11:28:29.061000+00:00"/>
    <n v="38"/>
    <n v="8"/>
    <n v="0.21052631578947401"/>
    <x v="620"/>
    <x v="0"/>
    <n v="44"/>
    <s v="URL"/>
    <x v="14"/>
    <x v="14"/>
    <m/>
    <m/>
    <x v="0"/>
    <m/>
    <m/>
    <x v="172"/>
    <m/>
  </r>
  <r>
    <s v="e0a9c544-db4b-4979-90f9-b63922a9e519"/>
    <x v="0"/>
    <s v="75141704-9a85-4b93-bbdf-f1abd29e3d35"/>
    <s v="failed"/>
    <x v="67"/>
    <s v="2023-03-30T11:34:06.544000+00:00"/>
    <n v="38"/>
    <n v="10"/>
    <n v="0.26315789473684198"/>
    <x v="622"/>
    <x v="0"/>
    <n v="44"/>
    <s v="URL"/>
    <x v="38"/>
    <x v="26"/>
    <m/>
    <m/>
    <x v="0"/>
    <m/>
    <m/>
    <x v="172"/>
    <m/>
  </r>
  <r>
    <m/>
    <x v="3"/>
    <s v="b378c8cb-8e3d-4e47-adb4-ce12457e71d7"/>
    <s v="failed"/>
    <x v="61"/>
    <s v="2023-04-01T20:51:13.934000+00:00"/>
    <n v="202"/>
    <n v="15"/>
    <n v="7.4257425742574004E-2"/>
    <x v="855"/>
    <x v="21"/>
    <n v="47"/>
    <m/>
    <x v="13"/>
    <x v="13"/>
    <m/>
    <m/>
    <x v="0"/>
    <m/>
    <m/>
    <x v="175"/>
    <m/>
  </r>
  <r>
    <s v="f513bc6a-1585-4477-bfc9-1895c87cbf72"/>
    <x v="3"/>
    <s v="9258e5d1-3c3c-4d87-aa81-17731f0b789d"/>
    <s v="failed"/>
    <x v="22"/>
    <s v="2023-03-31T22:40:18.633000+00:00"/>
    <n v="202"/>
    <n v="48"/>
    <n v="0.237623762376238"/>
    <x v="53"/>
    <x v="24"/>
    <n v="48"/>
    <s v="URL"/>
    <x v="6"/>
    <x v="6"/>
    <m/>
    <m/>
    <x v="0"/>
    <m/>
    <m/>
    <x v="174"/>
    <m/>
  </r>
  <r>
    <s v="f717894c-6099-4ca2-a275-51022ad3a6b7"/>
    <x v="1"/>
    <s v="c324e81d-85df-4575-8d19-e146d0fe467c"/>
    <s v="failed"/>
    <x v="21"/>
    <s v="2023-03-31T21:59:53.357000+00:00"/>
    <n v="202"/>
    <n v="35"/>
    <n v="0.173267326732673"/>
    <x v="856"/>
    <x v="20"/>
    <n v="48"/>
    <s v="URL"/>
    <x v="1"/>
    <x v="1"/>
    <m/>
    <m/>
    <x v="0"/>
    <m/>
    <m/>
    <x v="174"/>
    <m/>
  </r>
  <r>
    <s v="8013adc6-4e40-4bc0-ad5c-dc1391b6a15a"/>
    <x v="1"/>
    <s v="5588fed5-bab5-4d93-a39a-7311d9fbb2a2"/>
    <s v="failed"/>
    <x v="22"/>
    <s v="2023-03-30T22:54:14.301000+00:00"/>
    <n v="103"/>
    <n v="51"/>
    <n v="0.495145631067961"/>
    <x v="857"/>
    <x v="1"/>
    <n v="47"/>
    <s v="URL"/>
    <x v="6"/>
    <x v="6"/>
    <m/>
    <m/>
    <x v="0"/>
    <m/>
    <m/>
    <x v="172"/>
    <m/>
  </r>
  <r>
    <s v="cf784d4c-401f-4b4e-b342-3d7726448aab"/>
    <x v="6"/>
    <s v="8003d522-0b93-4559-af59-5bb98b2f733f"/>
    <s v="completed"/>
    <x v="0"/>
    <s v="2023-04-02T18:57:31.720000+00:00"/>
    <n v="22"/>
    <n v="16"/>
    <n v="0.72727272727272696"/>
    <x v="276"/>
    <x v="5"/>
    <n v="51"/>
    <s v="URL"/>
    <x v="3"/>
    <x v="3"/>
    <m/>
    <m/>
    <x v="0"/>
    <m/>
    <m/>
    <x v="173"/>
    <m/>
  </r>
  <r>
    <m/>
    <x v="6"/>
    <s v="8003d522-0b93-4559-af59-5bb98b2f733f"/>
    <s v="completed"/>
    <x v="3"/>
    <s v="2023-04-02T19:06:12.460000+00:00"/>
    <n v="22"/>
    <n v="21"/>
    <n v="0.95454545454545503"/>
    <x v="4"/>
    <x v="5"/>
    <n v="51"/>
    <m/>
    <x v="2"/>
    <x v="2"/>
    <m/>
    <m/>
    <x v="0"/>
    <m/>
    <m/>
    <x v="173"/>
    <m/>
  </r>
  <r>
    <s v="b9ad54c1-d324-473b-8505-a0eed38b908c"/>
    <x v="6"/>
    <s v="5af0ac1a-b952-459e-888f-7661326367ad"/>
    <s v="completed"/>
    <x v="0"/>
    <s v="2023-04-01T19:08:25.084000+00:00"/>
    <n v="11"/>
    <n v="2"/>
    <n v="0.18181818181818199"/>
    <x v="407"/>
    <x v="5"/>
    <n v="53"/>
    <s v="URL"/>
    <x v="1"/>
    <x v="1"/>
    <m/>
    <m/>
    <x v="0"/>
    <m/>
    <m/>
    <x v="175"/>
    <m/>
  </r>
  <r>
    <m/>
    <x v="6"/>
    <s v="5af0ac1a-b952-459e-888f-7661326367ad"/>
    <s v="completed"/>
    <x v="3"/>
    <s v="2023-04-01T19:25:35.426000+00:00"/>
    <n v="11"/>
    <n v="10"/>
    <n v="0.90909090909090895"/>
    <x v="4"/>
    <x v="5"/>
    <n v="53"/>
    <m/>
    <x v="2"/>
    <x v="2"/>
    <m/>
    <m/>
    <x v="0"/>
    <m/>
    <m/>
    <x v="175"/>
    <m/>
  </r>
  <r>
    <m/>
    <x v="6"/>
    <s v="3a01a856-2fea-42da-ac28-673111b1678f"/>
    <s v="stopped"/>
    <x v="3"/>
    <s v="2023-04-01T11:02:43.284000+00:00"/>
    <n v="10"/>
    <n v="0"/>
    <n v="0"/>
    <x v="4"/>
    <x v="5"/>
    <n v="53"/>
    <m/>
    <x v="2"/>
    <x v="2"/>
    <m/>
    <m/>
    <x v="0"/>
    <m/>
    <m/>
    <x v="175"/>
    <m/>
  </r>
  <r>
    <s v="97747997-b863-4906-8b07-62679b793d17"/>
    <x v="6"/>
    <s v="9e404f1a-3ed1-4790-bbb2-b4f56ddf8e56"/>
    <m/>
    <x v="3"/>
    <s v="2023-04-01T10:41:31.390000+00:00"/>
    <n v="10"/>
    <n v="9"/>
    <n v="0.9"/>
    <x v="285"/>
    <x v="5"/>
    <n v="53"/>
    <s v="URL"/>
    <x v="3"/>
    <x v="3"/>
    <m/>
    <m/>
    <x v="0"/>
    <m/>
    <m/>
    <x v="175"/>
    <m/>
  </r>
  <r>
    <m/>
    <x v="6"/>
    <s v="259ad7b0-849c-4a1d-a649-2227b27da993"/>
    <s v="completed"/>
    <x v="3"/>
    <s v="2023-03-31T19:22:08.488000+00:00"/>
    <n v="11"/>
    <n v="11"/>
    <n v="1"/>
    <x v="4"/>
    <x v="5"/>
    <n v="54"/>
    <m/>
    <x v="2"/>
    <x v="2"/>
    <m/>
    <m/>
    <x v="0"/>
    <m/>
    <m/>
    <x v="174"/>
    <m/>
  </r>
  <r>
    <m/>
    <x v="6"/>
    <s v="259ad7b0-849c-4a1d-a649-2227b27da993"/>
    <s v="completed"/>
    <x v="3"/>
    <s v="2023-03-31T19:22:08.488000+00:00"/>
    <n v="11"/>
    <n v="11"/>
    <n v="1"/>
    <x v="4"/>
    <x v="5"/>
    <n v="54"/>
    <m/>
    <x v="2"/>
    <x v="2"/>
    <m/>
    <m/>
    <x v="0"/>
    <m/>
    <m/>
    <x v="174"/>
    <m/>
  </r>
  <r>
    <s v="775accf4-5ebc-49e7-b4f5-a0068ffa25fe"/>
    <x v="6"/>
    <s v="636f6a10-a0db-4717-b10d-ee492bbef4b7"/>
    <s v="completed"/>
    <x v="0"/>
    <s v="2023-03-30T18:53:44.702000+00:00"/>
    <n v="11"/>
    <n v="2"/>
    <n v="0.18181818181818199"/>
    <x v="407"/>
    <x v="5"/>
    <n v="53"/>
    <s v="URL"/>
    <x v="1"/>
    <x v="1"/>
    <m/>
    <m/>
    <x v="0"/>
    <m/>
    <m/>
    <x v="172"/>
    <m/>
  </r>
  <r>
    <s v="3e861d5e-55ec-43b4-a693-464793f1617a"/>
    <x v="6"/>
    <s v="636f6a10-a0db-4717-b10d-ee492bbef4b7"/>
    <s v="completed"/>
    <x v="0"/>
    <s v="2023-03-30T18:55:19.844000+00:00"/>
    <n v="11"/>
    <n v="3"/>
    <n v="0.27272727272727298"/>
    <x v="415"/>
    <x v="5"/>
    <n v="53"/>
    <s v="URL"/>
    <x v="1"/>
    <x v="1"/>
    <m/>
    <m/>
    <x v="0"/>
    <m/>
    <m/>
    <x v="172"/>
    <m/>
  </r>
  <r>
    <m/>
    <x v="6"/>
    <s v="636f6a10-a0db-4717-b10d-ee492bbef4b7"/>
    <s v="completed"/>
    <x v="3"/>
    <s v="2023-03-30T19:10:03.536000+00:00"/>
    <n v="11"/>
    <n v="9"/>
    <n v="0.81818181818181801"/>
    <x v="4"/>
    <x v="5"/>
    <n v="53"/>
    <m/>
    <x v="2"/>
    <x v="2"/>
    <m/>
    <m/>
    <x v="0"/>
    <m/>
    <m/>
    <x v="172"/>
    <m/>
  </r>
  <r>
    <s v="b5453b00-55c6-4fde-a793-820c1eb2d139"/>
    <x v="4"/>
    <s v="194ac8b6-f040-4170-903a-078d7ce41c62"/>
    <s v="failed"/>
    <x v="33"/>
    <s v="2023-03-31T20:12:15.816000+00:00"/>
    <n v="65"/>
    <n v="32"/>
    <n v="0.492307692307692"/>
    <x v="858"/>
    <x v="23"/>
    <n v="13"/>
    <s v="URL"/>
    <x v="17"/>
    <x v="17"/>
    <m/>
    <m/>
    <x v="0"/>
    <m/>
    <m/>
    <x v="174"/>
    <m/>
  </r>
  <r>
    <s v="33e1d96d-8f53-4aab-ab01-3046fef79ca8"/>
    <x v="4"/>
    <s v="fe4726ac-f7b5-432c-bb42-1a1dd283a002"/>
    <s v="failed"/>
    <x v="33"/>
    <s v="2023-03-30T22:09:02.020000+00:00"/>
    <n v="138"/>
    <n v="72"/>
    <n v="0.52173913043478304"/>
    <x v="859"/>
    <x v="18"/>
    <n v="13"/>
    <s v="URL"/>
    <x v="6"/>
    <x v="6"/>
    <m/>
    <m/>
    <x v="0"/>
    <m/>
    <m/>
    <x v="172"/>
    <m/>
  </r>
  <r>
    <m/>
    <x v="4"/>
    <s v="a941a601-7950-4b4b-b784-7957d6b3d33c"/>
    <s v="stopped"/>
    <x v="3"/>
    <s v="2023-03-30T14:26:57.760000+00:00"/>
    <n v="59"/>
    <n v="3"/>
    <n v="5.0847457627119001E-2"/>
    <x v="4"/>
    <x v="25"/>
    <n v="13"/>
    <m/>
    <x v="2"/>
    <x v="2"/>
    <m/>
    <m/>
    <x v="0"/>
    <m/>
    <m/>
    <x v="172"/>
    <m/>
  </r>
  <r>
    <m/>
    <x v="4"/>
    <s v="2caef6da-f9a4-4a91-8d70-40685bb6f2f9"/>
    <s v="stopped"/>
    <x v="3"/>
    <s v="2023-03-30T13:15:43.207000+00:00"/>
    <n v="56"/>
    <n v="1"/>
    <n v="1.7857142857142998E-2"/>
    <x v="4"/>
    <x v="25"/>
    <n v="13"/>
    <m/>
    <x v="2"/>
    <x v="2"/>
    <m/>
    <m/>
    <x v="0"/>
    <m/>
    <m/>
    <x v="172"/>
    <m/>
  </r>
  <r>
    <m/>
    <x v="4"/>
    <s v="c7de0b4a-55d8-468f-8e4e-cb3ac8d369d1"/>
    <s v="stopped"/>
    <x v="3"/>
    <s v="2023-03-30T13:08:37.243000+00:00"/>
    <n v="56"/>
    <n v="1"/>
    <n v="1.7857142857142998E-2"/>
    <x v="4"/>
    <x v="25"/>
    <n v="13"/>
    <m/>
    <x v="2"/>
    <x v="2"/>
    <m/>
    <m/>
    <x v="0"/>
    <m/>
    <m/>
    <x v="172"/>
    <m/>
  </r>
  <r>
    <m/>
    <x v="4"/>
    <s v="383aa1ef-b01d-40fa-8c54-d60b80b783a9"/>
    <s v="stopped"/>
    <x v="3"/>
    <s v="2023-03-30T13:01:36.169000+00:00"/>
    <n v="137"/>
    <n v="15"/>
    <n v="0.109489051094891"/>
    <x v="4"/>
    <x v="18"/>
    <n v="13"/>
    <m/>
    <x v="2"/>
    <x v="2"/>
    <m/>
    <m/>
    <x v="0"/>
    <m/>
    <m/>
    <x v="172"/>
    <m/>
  </r>
  <r>
    <s v="a57bbb73-92e8-4261-82df-ef75f6702960"/>
    <x v="7"/>
    <s v="20be8033-dfd2-4627-b528-092c8d4d2004"/>
    <s v="failed"/>
    <x v="28"/>
    <s v="2023-04-03T05:00:22.013000+00:00"/>
    <n v="119"/>
    <n v="113"/>
    <n v="0.94957983193277296"/>
    <x v="124"/>
    <x v="0"/>
    <n v="10"/>
    <s v="URL"/>
    <x v="10"/>
    <x v="10"/>
    <m/>
    <m/>
    <x v="0"/>
    <m/>
    <m/>
    <x v="176"/>
    <m/>
  </r>
  <r>
    <m/>
    <x v="7"/>
    <s v="2e0eae28-d24b-4aa2-b4ae-616a417029f0"/>
    <s v="completed"/>
    <x v="3"/>
    <s v="2023-04-01T01:27:22.521000+00:00"/>
    <n v="120"/>
    <n v="120"/>
    <n v="1"/>
    <x v="4"/>
    <x v="2"/>
    <n v="10"/>
    <m/>
    <x v="2"/>
    <x v="2"/>
    <m/>
    <m/>
    <x v="0"/>
    <m/>
    <m/>
    <x v="175"/>
    <m/>
  </r>
  <r>
    <m/>
    <x v="7"/>
    <s v="2e0eae28-d24b-4aa2-b4ae-616a417029f0"/>
    <s v="completed"/>
    <x v="3"/>
    <s v="2023-04-01T01:27:22.521000+00:00"/>
    <n v="120"/>
    <n v="120"/>
    <n v="1"/>
    <x v="4"/>
    <x v="2"/>
    <n v="10"/>
    <m/>
    <x v="2"/>
    <x v="2"/>
    <m/>
    <m/>
    <x v="0"/>
    <m/>
    <m/>
    <x v="175"/>
    <m/>
  </r>
  <r>
    <m/>
    <x v="7"/>
    <s v="d79b0a5a-d675-4f71-8fad-fd523343eafb"/>
    <s v="completed"/>
    <x v="3"/>
    <s v="2023-03-31T01:33:53.857000+00:00"/>
    <n v="120"/>
    <n v="120"/>
    <n v="1"/>
    <x v="4"/>
    <x v="0"/>
    <n v="10"/>
    <m/>
    <x v="2"/>
    <x v="2"/>
    <m/>
    <m/>
    <x v="0"/>
    <m/>
    <m/>
    <x v="174"/>
    <m/>
  </r>
  <r>
    <m/>
    <x v="7"/>
    <s v="d79b0a5a-d675-4f71-8fad-fd523343eafb"/>
    <s v="completed"/>
    <x v="3"/>
    <s v="2023-03-31T01:33:53.857000+00:00"/>
    <n v="120"/>
    <n v="120"/>
    <n v="1"/>
    <x v="4"/>
    <x v="0"/>
    <n v="10"/>
    <m/>
    <x v="2"/>
    <x v="2"/>
    <m/>
    <m/>
    <x v="0"/>
    <m/>
    <m/>
    <x v="174"/>
    <m/>
  </r>
  <r>
    <m/>
    <x v="7"/>
    <s v="668efdc0-0333-4411-9b5c-f8f3ccf839bc"/>
    <s v="stopped"/>
    <x v="3"/>
    <s v="2023-03-30T14:24:54.988000+00:00"/>
    <n v="119"/>
    <n v="4"/>
    <n v="3.3613445378151002E-2"/>
    <x v="4"/>
    <x v="2"/>
    <n v="10"/>
    <m/>
    <x v="2"/>
    <x v="2"/>
    <m/>
    <m/>
    <x v="0"/>
    <m/>
    <m/>
    <x v="172"/>
    <m/>
  </r>
  <r>
    <m/>
    <x v="9"/>
    <s v="5c7bc1bb-b0c4-4ab4-84c7-f0aa410fc879"/>
    <s v="completed"/>
    <x v="3"/>
    <s v="2023-04-02T09:03:53.935000+00:00"/>
    <n v="81"/>
    <n v="81"/>
    <n v="1"/>
    <x v="4"/>
    <x v="13"/>
    <n v="22"/>
    <m/>
    <x v="2"/>
    <x v="2"/>
    <m/>
    <m/>
    <x v="0"/>
    <m/>
    <m/>
    <x v="173"/>
    <m/>
  </r>
  <r>
    <m/>
    <x v="9"/>
    <s v="5c7bc1bb-b0c4-4ab4-84c7-f0aa410fc879"/>
    <s v="completed"/>
    <x v="3"/>
    <s v="2023-04-02T09:03:53.935000+00:00"/>
    <n v="81"/>
    <n v="81"/>
    <n v="1"/>
    <x v="4"/>
    <x v="13"/>
    <n v="22"/>
    <m/>
    <x v="2"/>
    <x v="2"/>
    <m/>
    <m/>
    <x v="0"/>
    <m/>
    <m/>
    <x v="173"/>
    <m/>
  </r>
  <r>
    <m/>
    <x v="9"/>
    <s v="e73e17c6-42de-4b8c-b77c-a67d2fa7fd29"/>
    <m/>
    <x v="3"/>
    <s v="2023-04-01T16:05:46.877000+00:00"/>
    <n v="7"/>
    <n v="5"/>
    <n v="0.71428571428571397"/>
    <x v="4"/>
    <x v="14"/>
    <n v="22"/>
    <m/>
    <x v="2"/>
    <x v="2"/>
    <m/>
    <m/>
    <x v="0"/>
    <m/>
    <m/>
    <x v="175"/>
    <m/>
  </r>
  <r>
    <s v="fa3b934d-00ee-4703-b022-7c3bcc8ba18d"/>
    <x v="9"/>
    <s v="feb6cf3b-46da-49ba-9aeb-8b6474fd1418"/>
    <s v="failed"/>
    <x v="29"/>
    <s v="2023-04-01T16:02:22.196000+00:00"/>
    <n v="6"/>
    <n v="1"/>
    <n v="0.16666666666666699"/>
    <x v="321"/>
    <x v="14"/>
    <n v="22"/>
    <s v="URL"/>
    <x v="0"/>
    <x v="0"/>
    <m/>
    <m/>
    <x v="0"/>
    <m/>
    <m/>
    <x v="175"/>
    <m/>
  </r>
  <r>
    <s v="fa3b934d-00ee-4703-b022-7c3bcc8ba18d"/>
    <x v="9"/>
    <s v="534b5028-20f6-4883-acb4-fa20b0ad308b"/>
    <s v="failed"/>
    <x v="29"/>
    <s v="2023-04-01T16:02:22.196000+00:00"/>
    <n v="7"/>
    <n v="1"/>
    <n v="0.14285714285714299"/>
    <x v="321"/>
    <x v="14"/>
    <n v="22"/>
    <s v="URL"/>
    <x v="0"/>
    <x v="0"/>
    <m/>
    <m/>
    <x v="0"/>
    <m/>
    <m/>
    <x v="175"/>
    <m/>
  </r>
  <r>
    <s v="66438757-5abd-4c54-bf4d-c1b30dd04851"/>
    <x v="9"/>
    <s v="b51fb2f2-2f5c-47c5-a90d-3b8ffec93d9e"/>
    <s v="failed"/>
    <x v="29"/>
    <s v="2023-04-01T03:02:47.098000+00:00"/>
    <n v="82"/>
    <n v="2"/>
    <n v="2.4390243902439001E-2"/>
    <x v="321"/>
    <x v="14"/>
    <n v="22"/>
    <s v="URL"/>
    <x v="0"/>
    <x v="0"/>
    <m/>
    <m/>
    <x v="0"/>
    <m/>
    <m/>
    <x v="175"/>
    <m/>
  </r>
  <r>
    <m/>
    <x v="9"/>
    <s v="e5d711a5-6870-4ce9-83e4-e354bdccc20f"/>
    <s v="completed"/>
    <x v="3"/>
    <s v="2023-03-31T09:46:51.029000+00:00"/>
    <n v="81"/>
    <n v="81"/>
    <n v="1"/>
    <x v="4"/>
    <x v="13"/>
    <n v="22"/>
    <m/>
    <x v="2"/>
    <x v="2"/>
    <m/>
    <m/>
    <x v="0"/>
    <m/>
    <m/>
    <x v="174"/>
    <m/>
  </r>
  <r>
    <m/>
    <x v="9"/>
    <s v="e5d711a5-6870-4ce9-83e4-e354bdccc20f"/>
    <s v="completed"/>
    <x v="3"/>
    <s v="2023-03-31T09:46:51.029000+00:00"/>
    <n v="81"/>
    <n v="81"/>
    <n v="1"/>
    <x v="4"/>
    <x v="13"/>
    <n v="22"/>
    <m/>
    <x v="2"/>
    <x v="2"/>
    <m/>
    <m/>
    <x v="0"/>
    <m/>
    <m/>
    <x v="17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16E73A-2D0E-433D-B120-951AA2A7D035}" name="PivotTable1" cacheId="3417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fieldListSortAscending="1">
  <location ref="A4:C9" firstHeaderRow="1" firstDataRow="1" firstDataCol="2" rowPageCount="2" colPageCount="1"/>
  <pivotFields count="22">
    <pivotField compact="0" outline="0" showAll="0"/>
    <pivotField axis="axisPage" compact="0" outline="0" showAll="0">
      <items count="12">
        <item x="2"/>
        <item x="0"/>
        <item x="3"/>
        <item x="1"/>
        <item x="5"/>
        <item x="6"/>
        <item x="7"/>
        <item x="4"/>
        <item x="9"/>
        <item x="8"/>
        <item m="1" x="10"/>
        <item t="default"/>
      </items>
    </pivotField>
    <pivotField compact="0" outline="0" showAll="0"/>
    <pivotField compact="0" outline="0" showAll="0"/>
    <pivotField axis="axisPage" compact="0" outline="0" multipleItemSelectionAllowed="1" showAll="0">
      <items count="69">
        <item x="12"/>
        <item x="16"/>
        <item x="11"/>
        <item x="10"/>
        <item x="17"/>
        <item x="4"/>
        <item x="15"/>
        <item x="8"/>
        <item x="9"/>
        <item x="7"/>
        <item x="14"/>
        <item x="5"/>
        <item x="13"/>
        <item x="34"/>
        <item x="6"/>
        <item x="43"/>
        <item x="1"/>
        <item x="49"/>
        <item x="18"/>
        <item x="2"/>
        <item x="35"/>
        <item x="45"/>
        <item x="50"/>
        <item x="59"/>
        <item x="57"/>
        <item x="51"/>
        <item x="40"/>
        <item x="38"/>
        <item x="47"/>
        <item x="56"/>
        <item x="54"/>
        <item x="39"/>
        <item x="37"/>
        <item x="36"/>
        <item x="60"/>
        <item x="30"/>
        <item x="42"/>
        <item x="23"/>
        <item x="19"/>
        <item x="46"/>
        <item x="53"/>
        <item x="27"/>
        <item x="22"/>
        <item x="41"/>
        <item x="25"/>
        <item x="61"/>
        <item x="55"/>
        <item x="29"/>
        <item x="31"/>
        <item x="28"/>
        <item x="26"/>
        <item x="62"/>
        <item x="48"/>
        <item x="52"/>
        <item x="58"/>
        <item x="44"/>
        <item x="24"/>
        <item x="20"/>
        <item x="33"/>
        <item x="21"/>
        <item x="32"/>
        <item h="1" x="0"/>
        <item x="3"/>
        <item h="1" x="63"/>
        <item h="1" x="64"/>
        <item h="1" x="65"/>
        <item h="1" x="66"/>
        <item h="1" x="6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sortType="ascending">
      <items count="30">
        <item h="1" sd="0" x="2"/>
        <item sd="0" x="10"/>
        <item sd="0" x="22"/>
        <item sd="0" x="14"/>
        <item sd="0" x="3"/>
        <item sd="0" x="18"/>
        <item sd="0" x="27"/>
        <item sd="0" x="20"/>
        <item sd="0" x="15"/>
        <item sd="0" x="23"/>
        <item sd="0" x="1"/>
        <item sd="0" x="9"/>
        <item sd="0" x="28"/>
        <item sd="0" x="5"/>
        <item sd="0" x="11"/>
        <item sd="0" x="6"/>
        <item sd="0" x="19"/>
        <item sd="0" x="26"/>
        <item sd="0" x="21"/>
        <item sd="0" x="8"/>
        <item sd="0" x="12"/>
        <item sd="0" x="25"/>
        <item sd="0" x="24"/>
        <item sd="0" x="16"/>
        <item sd="0" x="4"/>
        <item sd="0" x="13"/>
        <item sd="0" x="0"/>
        <item sd="0" x="7"/>
        <item sd="0" x="17"/>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axis="axisRow" compact="0" numFmtId="14" outline="0" showAll="0">
      <items count="1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t="default"/>
      </items>
    </pivotField>
    <pivotField compact="0" outline="0" showAll="0"/>
  </pivotFields>
  <rowFields count="2">
    <field x="14"/>
    <field x="20"/>
  </rowFields>
  <rowItems count="5">
    <i>
      <x v="4"/>
    </i>
    <i>
      <x v="25"/>
    </i>
    <i>
      <x v="1"/>
    </i>
    <i>
      <x v="26"/>
    </i>
    <i t="grand">
      <x/>
    </i>
  </rowItems>
  <colItems count="1">
    <i/>
  </colItems>
  <pageFields count="2">
    <pageField fld="1" hier="-1"/>
    <pageField fld="4" hier="-1"/>
  </pageFields>
  <dataFields count="1">
    <dataField name="Count of error description" fld="14" subtotal="count" baseField="0"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20" type="thisQuarter" evalOrder="-1" id="1">
      <autoFilter ref="A1">
        <filterColumn colId="0">
          <dynamicFilter type="thisQuarter" val="45017" maxVal="45108"/>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0DDEA1-0D2D-4321-B4D0-D673752DC426}" name="PivotTable2" cacheId="3417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fieldListSortAscending="1">
  <location ref="A6:L34" firstHeaderRow="1" firstDataRow="2" firstDataCol="2" rowPageCount="1" colPageCount="1"/>
  <pivotFields count="22">
    <pivotField compact="0" outline="0" showAll="0"/>
    <pivotField axis="axisCol" compact="0" outline="0" multipleItemSelectionAllowed="1" showAll="0">
      <items count="12">
        <item x="2"/>
        <item x="0"/>
        <item x="3"/>
        <item x="1"/>
        <item x="5"/>
        <item x="6"/>
        <item x="7"/>
        <item x="4"/>
        <item x="9"/>
        <item x="8"/>
        <item m="1" x="10"/>
        <item t="default"/>
      </items>
    </pivotField>
    <pivotField compact="0" outline="0" showAll="0"/>
    <pivotField compact="0" outline="0" showAll="0"/>
    <pivotField axis="axisPage" compact="0" outline="0" multipleItemSelectionAllowed="1" showAll="0">
      <items count="69">
        <item x="12"/>
        <item x="16"/>
        <item x="11"/>
        <item x="10"/>
        <item x="17"/>
        <item x="4"/>
        <item x="15"/>
        <item x="8"/>
        <item x="9"/>
        <item x="7"/>
        <item x="14"/>
        <item x="5"/>
        <item x="13"/>
        <item x="34"/>
        <item x="6"/>
        <item x="43"/>
        <item x="1"/>
        <item x="49"/>
        <item x="18"/>
        <item x="2"/>
        <item x="35"/>
        <item x="45"/>
        <item x="50"/>
        <item x="51"/>
        <item x="40"/>
        <item x="38"/>
        <item x="47"/>
        <item x="54"/>
        <item x="39"/>
        <item x="37"/>
        <item x="36"/>
        <item x="30"/>
        <item x="42"/>
        <item x="23"/>
        <item x="19"/>
        <item x="46"/>
        <item x="53"/>
        <item x="27"/>
        <item x="22"/>
        <item x="41"/>
        <item x="25"/>
        <item x="29"/>
        <item x="31"/>
        <item x="28"/>
        <item x="26"/>
        <item x="48"/>
        <item x="52"/>
        <item x="44"/>
        <item x="24"/>
        <item x="20"/>
        <item x="33"/>
        <item x="21"/>
        <item x="32"/>
        <item h="1" x="0"/>
        <item x="3"/>
        <item x="55"/>
        <item x="56"/>
        <item x="57"/>
        <item x="58"/>
        <item x="59"/>
        <item x="61"/>
        <item x="62"/>
        <item x="60"/>
        <item x="63"/>
        <item x="64"/>
        <item x="65"/>
        <item x="66"/>
        <item x="6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sortType="descending">
      <items count="40">
        <item sd="0" x="26"/>
        <item sd="0" x="9"/>
        <item sd="0" x="8"/>
        <item sd="0" x="15"/>
        <item sd="0" x="28"/>
        <item sd="0" x="31"/>
        <item sd="0" x="23"/>
        <item sd="0" x="21"/>
        <item sd="0" x="27"/>
        <item sd="0" x="25"/>
        <item sd="0" x="4"/>
        <item sd="0" x="22"/>
        <item sd="0" x="1"/>
        <item sd="0" x="3"/>
        <item sd="0" x="14"/>
        <item sd="0" x="7"/>
        <item sd="0" x="17"/>
        <item sd="0" x="16"/>
        <item sd="0" x="11"/>
        <item sd="0" x="6"/>
        <item sd="0" x="5"/>
        <item sd="0" x="13"/>
        <item sd="0" x="32"/>
        <item sd="0" x="30"/>
        <item sd="0" x="0"/>
        <item sd="0" x="19"/>
        <item sd="0" x="10"/>
        <item sd="0" x="18"/>
        <item sd="0" x="24"/>
        <item sd="0" x="20"/>
        <item sd="0" x="29"/>
        <item sd="0" x="12"/>
        <item h="1" sd="0" x="2"/>
        <item sd="0" x="33"/>
        <item sd="0" x="34"/>
        <item sd="0" x="35"/>
        <item sd="0" x="37"/>
        <item sd="0" x="36"/>
        <item sd="0" x="38"/>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40"/>
        <item x="141"/>
        <item x="139"/>
        <item x="142"/>
        <item x="143"/>
        <item x="144"/>
        <item x="145"/>
        <item x="148"/>
        <item x="146"/>
        <item x="147"/>
        <item x="149"/>
        <item x="150"/>
        <item x="154"/>
        <item x="152"/>
        <item x="153"/>
        <item x="155"/>
        <item x="156"/>
        <item x="151"/>
        <item x="158"/>
        <item x="159"/>
        <item x="157"/>
        <item x="161"/>
        <item x="162"/>
        <item x="160"/>
        <item x="163"/>
        <item x="164"/>
        <item x="165"/>
        <item x="166"/>
        <item x="167"/>
        <item x="168"/>
        <item x="169"/>
        <item x="170"/>
        <item x="171"/>
        <item x="172"/>
        <item x="173"/>
        <item x="174"/>
        <item x="175"/>
        <item x="176"/>
        <item t="default"/>
      </items>
    </pivotField>
    <pivotField compact="0" outline="0" showAll="0"/>
  </pivotFields>
  <rowFields count="2">
    <field x="13"/>
    <field x="20"/>
  </rowFields>
  <rowItems count="27">
    <i>
      <x v="17"/>
    </i>
    <i>
      <x v="12"/>
    </i>
    <i>
      <x v="19"/>
    </i>
    <i>
      <x v="16"/>
    </i>
    <i>
      <x v="24"/>
    </i>
    <i>
      <x v="4"/>
    </i>
    <i>
      <x v="20"/>
    </i>
    <i>
      <x v="15"/>
    </i>
    <i>
      <x v="18"/>
    </i>
    <i>
      <x v="26"/>
    </i>
    <i>
      <x v="27"/>
    </i>
    <i>
      <x v="38"/>
    </i>
    <i>
      <x v="8"/>
    </i>
    <i>
      <x v="29"/>
    </i>
    <i>
      <x v="9"/>
    </i>
    <i>
      <x v="21"/>
    </i>
    <i>
      <x v="25"/>
    </i>
    <i>
      <x v="11"/>
    </i>
    <i>
      <x v="1"/>
    </i>
    <i>
      <x v="13"/>
    </i>
    <i>
      <x v="10"/>
    </i>
    <i>
      <x v="14"/>
    </i>
    <i>
      <x v="28"/>
    </i>
    <i>
      <x v="37"/>
    </i>
    <i>
      <x v="36"/>
    </i>
    <i>
      <x v="5"/>
    </i>
    <i t="grand">
      <x/>
    </i>
  </rowItems>
  <colFields count="1">
    <field x="1"/>
  </colFields>
  <colItems count="10">
    <i>
      <x/>
    </i>
    <i>
      <x v="1"/>
    </i>
    <i>
      <x v="2"/>
    </i>
    <i>
      <x v="3"/>
    </i>
    <i>
      <x v="4"/>
    </i>
    <i>
      <x v="5"/>
    </i>
    <i>
      <x v="6"/>
    </i>
    <i>
      <x v="7"/>
    </i>
    <i>
      <x v="8"/>
    </i>
    <i t="grand">
      <x/>
    </i>
  </colItems>
  <pageFields count="1">
    <pageField fld="4" hier="-1"/>
  </pageFields>
  <dataFields count="1">
    <dataField name="Count of error code" fld="13" subtotal="count" baseField="0" baseItem="0"/>
  </dataFields>
  <chartFormats count="11">
    <chartFormat chart="0" format="0" series="1">
      <pivotArea type="data" outline="0" fieldPosition="0">
        <references count="1">
          <reference field="4294967294" count="1" selected="0">
            <x v="0"/>
          </reference>
        </references>
      </pivotArea>
    </chartFormat>
    <chartFormat chart="0" format="13" series="1">
      <pivotArea type="data" outline="0" fieldPosition="0">
        <references count="2">
          <reference field="4294967294" count="1" selected="0">
            <x v="0"/>
          </reference>
          <reference field="1" count="1" selected="0">
            <x v="1"/>
          </reference>
        </references>
      </pivotArea>
    </chartFormat>
    <chartFormat chart="0" format="14" series="1">
      <pivotArea type="data" outline="0" fieldPosition="0">
        <references count="2">
          <reference field="4294967294" count="1" selected="0">
            <x v="0"/>
          </reference>
          <reference field="1" count="1" selected="0">
            <x v="2"/>
          </reference>
        </references>
      </pivotArea>
    </chartFormat>
    <chartFormat chart="0" format="15" series="1">
      <pivotArea type="data" outline="0" fieldPosition="0">
        <references count="2">
          <reference field="4294967294" count="1" selected="0">
            <x v="0"/>
          </reference>
          <reference field="1" count="1" selected="0">
            <x v="3"/>
          </reference>
        </references>
      </pivotArea>
    </chartFormat>
    <chartFormat chart="0" format="16" series="1">
      <pivotArea type="data" outline="0" fieldPosition="0">
        <references count="2">
          <reference field="4294967294" count="1" selected="0">
            <x v="0"/>
          </reference>
          <reference field="1" count="1" selected="0">
            <x v="4"/>
          </reference>
        </references>
      </pivotArea>
    </chartFormat>
    <chartFormat chart="0" format="17" series="1">
      <pivotArea type="data" outline="0" fieldPosition="0">
        <references count="2">
          <reference field="4294967294" count="1" selected="0">
            <x v="0"/>
          </reference>
          <reference field="1" count="1" selected="0">
            <x v="5"/>
          </reference>
        </references>
      </pivotArea>
    </chartFormat>
    <chartFormat chart="0" format="18" series="1">
      <pivotArea type="data" outline="0" fieldPosition="0">
        <references count="2">
          <reference field="4294967294" count="1" selected="0">
            <x v="0"/>
          </reference>
          <reference field="1" count="1" selected="0">
            <x v="6"/>
          </reference>
        </references>
      </pivotArea>
    </chartFormat>
    <chartFormat chart="0" format="19" series="1">
      <pivotArea type="data" outline="0" fieldPosition="0">
        <references count="2">
          <reference field="4294967294" count="1" selected="0">
            <x v="0"/>
          </reference>
          <reference field="1" count="1" selected="0">
            <x v="7"/>
          </reference>
        </references>
      </pivotArea>
    </chartFormat>
    <chartFormat chart="0" format="20" series="1">
      <pivotArea type="data" outline="0" fieldPosition="0">
        <references count="2">
          <reference field="4294967294" count="1" selected="0">
            <x v="0"/>
          </reference>
          <reference field="1" count="1" selected="0">
            <x v="8"/>
          </reference>
        </references>
      </pivotArea>
    </chartFormat>
    <chartFormat chart="0" format="21" series="1">
      <pivotArea type="data" outline="0" fieldPosition="0">
        <references count="2">
          <reference field="4294967294" count="1" selected="0">
            <x v="0"/>
          </reference>
          <reference field="1" count="1" selected="0">
            <x v="9"/>
          </reference>
        </references>
      </pivotArea>
    </chartFormat>
    <chartFormat chart="0" format="22" series="1">
      <pivotArea type="data" outline="0" fieldPosition="0">
        <references count="2">
          <reference field="4294967294" count="1" selected="0">
            <x v="0"/>
          </reference>
          <reference field="1" count="1" selected="0">
            <x v="0"/>
          </reference>
        </references>
      </pivotArea>
    </chartFormat>
  </chartFormats>
  <pivotTableStyleInfo name="PivotStyleMedium9" showRowHeaders="1" showColHeaders="1" showRowStripes="0" showColStripes="0" showLastColumn="1"/>
  <filters count="1">
    <filter fld="20" type="lastMonth" evalOrder="-1" id="10">
      <autoFilter ref="A1">
        <filterColumn colId="0">
          <dynamicFilter type="lastMonth" val="44986" maxVal="4501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7776908-AA4E-41A1-8AD6-27C01CB3D360}" name="PivotTable1" cacheId="3417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fieldListSortAscending="1">
  <location ref="A5:C9" firstHeaderRow="1" firstDataRow="1" firstDataCol="2" rowPageCount="3" colPageCount="1"/>
  <pivotFields count="22">
    <pivotField compact="0" outline="0" showAll="0"/>
    <pivotField axis="axisPage" compact="0" outline="0" multipleItemSelectionAllowed="1" showAll="0">
      <items count="12">
        <item x="2"/>
        <item x="0"/>
        <item x="3"/>
        <item x="1"/>
        <item x="5"/>
        <item x="6"/>
        <item x="7"/>
        <item x="4"/>
        <item x="9"/>
        <item x="8"/>
        <item m="1" x="10"/>
        <item t="default"/>
      </items>
    </pivotField>
    <pivotField compact="0" outline="0" showAll="0"/>
    <pivotField compact="0" outline="0" showAll="0"/>
    <pivotField axis="axisPage" compact="0" outline="0" multipleItemSelectionAllowed="1" showAll="0">
      <items count="69">
        <item x="12"/>
        <item x="16"/>
        <item x="11"/>
        <item x="10"/>
        <item x="17"/>
        <item x="4"/>
        <item x="15"/>
        <item x="8"/>
        <item x="9"/>
        <item x="7"/>
        <item x="14"/>
        <item x="5"/>
        <item x="13"/>
        <item x="34"/>
        <item x="6"/>
        <item x="43"/>
        <item x="1"/>
        <item x="49"/>
        <item x="18"/>
        <item x="2"/>
        <item x="35"/>
        <item x="45"/>
        <item x="50"/>
        <item x="51"/>
        <item x="40"/>
        <item x="38"/>
        <item x="47"/>
        <item x="54"/>
        <item x="39"/>
        <item x="37"/>
        <item x="36"/>
        <item x="30"/>
        <item x="42"/>
        <item x="23"/>
        <item x="19"/>
        <item x="46"/>
        <item x="53"/>
        <item x="27"/>
        <item x="22"/>
        <item x="41"/>
        <item x="25"/>
        <item x="29"/>
        <item x="31"/>
        <item x="28"/>
        <item x="26"/>
        <item x="48"/>
        <item x="52"/>
        <item x="44"/>
        <item x="24"/>
        <item x="20"/>
        <item x="33"/>
        <item x="21"/>
        <item x="32"/>
        <item x="0"/>
        <item x="3"/>
        <item x="55"/>
        <item x="56"/>
        <item x="57"/>
        <item x="58"/>
        <item x="59"/>
        <item x="61"/>
        <item x="62"/>
        <item x="60"/>
        <item x="63"/>
        <item x="64"/>
        <item x="65"/>
        <item x="66"/>
        <item x="6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0">
        <item x="26"/>
        <item x="9"/>
        <item x="8"/>
        <item x="15"/>
        <item x="28"/>
        <item x="31"/>
        <item x="23"/>
        <item x="21"/>
        <item x="27"/>
        <item x="25"/>
        <item x="4"/>
        <item x="22"/>
        <item x="1"/>
        <item x="3"/>
        <item x="14"/>
        <item x="7"/>
        <item x="17"/>
        <item x="16"/>
        <item x="11"/>
        <item x="6"/>
        <item x="5"/>
        <item x="13"/>
        <item x="32"/>
        <item x="30"/>
        <item x="0"/>
        <item x="19"/>
        <item x="10"/>
        <item x="18"/>
        <item x="24"/>
        <item x="20"/>
        <item x="29"/>
        <item x="12"/>
        <item x="2"/>
        <item x="33"/>
        <item x="34"/>
        <item x="35"/>
        <item x="37"/>
        <item x="36"/>
        <item x="38"/>
        <item t="default"/>
      </items>
    </pivotField>
    <pivotField compact="0" outline="0" showAll="0"/>
    <pivotField compact="0" outline="0" showAll="0"/>
    <pivotField compact="0" outline="0" showAll="0"/>
    <pivotField axis="axisRow" dataField="1" compact="0" outline="0" showAll="0" sortType="descending">
      <items count="20">
        <item sd="0" x="7"/>
        <item sd="0" x="12"/>
        <item sd="0" x="9"/>
        <item sd="0" x="1"/>
        <item sd="0" x="2"/>
        <item sd="0" x="11"/>
        <item sd="0" x="4"/>
        <item sd="0" x="3"/>
        <item sd="0" x="10"/>
        <item sd="0" x="5"/>
        <item sd="0" x="8"/>
        <item sd="0" x="6"/>
        <item h="1" sd="0" x="0"/>
        <item sd="0" x="13"/>
        <item sd="0" x="14"/>
        <item sd="0" x="17"/>
        <item sd="0" x="16"/>
        <item sd="0" x="15"/>
        <item sd="0" x="18"/>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axis="axisRow" compact="0" outline="0" showAll="0" sortType="descending">
      <items count="178">
        <item x="176"/>
        <item x="173"/>
        <item x="175"/>
        <item x="174"/>
        <item x="172"/>
        <item x="171"/>
        <item x="170"/>
        <item x="163"/>
        <item x="164"/>
        <item x="165"/>
        <item x="166"/>
        <item x="167"/>
        <item x="169"/>
        <item x="168"/>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compact="0" outline="0" showAll="0"/>
  </pivotFields>
  <rowFields count="2">
    <field x="17"/>
    <field x="20"/>
  </rowFields>
  <rowItems count="4">
    <i>
      <x v="3"/>
    </i>
    <i>
      <x v="13"/>
    </i>
    <i>
      <x v="6"/>
    </i>
    <i t="grand">
      <x/>
    </i>
  </rowItems>
  <colItems count="1">
    <i/>
  </colItems>
  <pageFields count="3">
    <pageField fld="1" hier="-1"/>
    <pageField fld="4" hier="-1"/>
    <pageField fld="13" hier="-1"/>
  </pageFields>
  <dataFields count="1">
    <dataField name="Count of Diagnose" fld="17" subtotal="count" baseField="0" baseItem="0"/>
  </dataFields>
  <chartFormats count="2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7" count="1" selected="0">
            <x v="3"/>
          </reference>
        </references>
      </pivotArea>
    </chartFormat>
    <chartFormat chart="2" format="2">
      <pivotArea type="data" outline="0" fieldPosition="0">
        <references count="2">
          <reference field="4294967294" count="1" selected="0">
            <x v="0"/>
          </reference>
          <reference field="17" count="1" selected="0">
            <x v="6"/>
          </reference>
        </references>
      </pivotArea>
    </chartFormat>
    <chartFormat chart="2" format="3">
      <pivotArea type="data" outline="0" fieldPosition="0">
        <references count="2">
          <reference field="4294967294" count="1" selected="0">
            <x v="0"/>
          </reference>
          <reference field="17" count="1" selected="0">
            <x v="2"/>
          </reference>
        </references>
      </pivotArea>
    </chartFormat>
    <chartFormat chart="2" format="4">
      <pivotArea type="data" outline="0" fieldPosition="0">
        <references count="2">
          <reference field="4294967294" count="1" selected="0">
            <x v="0"/>
          </reference>
          <reference field="17" count="1" selected="0">
            <x v="5"/>
          </reference>
        </references>
      </pivotArea>
    </chartFormat>
    <chartFormat chart="2" format="5">
      <pivotArea type="data" outline="0" fieldPosition="0">
        <references count="2">
          <reference field="4294967294" count="1" selected="0">
            <x v="0"/>
          </reference>
          <reference field="17" count="1" selected="0">
            <x v="11"/>
          </reference>
        </references>
      </pivotArea>
    </chartFormat>
    <chartFormat chart="2" format="6">
      <pivotArea type="data" outline="0" fieldPosition="0">
        <references count="2">
          <reference field="4294967294" count="1" selected="0">
            <x v="0"/>
          </reference>
          <reference field="17" count="1" selected="0">
            <x v="4"/>
          </reference>
        </references>
      </pivotArea>
    </chartFormat>
    <chartFormat chart="2" format="7">
      <pivotArea type="data" outline="0" fieldPosition="0">
        <references count="2">
          <reference field="4294967294" count="1" selected="0">
            <x v="0"/>
          </reference>
          <reference field="17" count="1" selected="0">
            <x v="7"/>
          </reference>
        </references>
      </pivotArea>
    </chartFormat>
    <chartFormat chart="2" format="8">
      <pivotArea type="data" outline="0" fieldPosition="0">
        <references count="2">
          <reference field="4294967294" count="1" selected="0">
            <x v="0"/>
          </reference>
          <reference field="17" count="1" selected="0">
            <x v="10"/>
          </reference>
        </references>
      </pivotArea>
    </chartFormat>
    <chartFormat chart="2" format="9">
      <pivotArea type="data" outline="0" fieldPosition="0">
        <references count="2">
          <reference field="4294967294" count="1" selected="0">
            <x v="0"/>
          </reference>
          <reference field="17" count="1" selected="0">
            <x v="1"/>
          </reference>
        </references>
      </pivotArea>
    </chartFormat>
    <chartFormat chart="2" format="10">
      <pivotArea type="data" outline="0" fieldPosition="0">
        <references count="2">
          <reference field="4294967294" count="1" selected="0">
            <x v="0"/>
          </reference>
          <reference field="17" count="1" selected="0">
            <x v="0"/>
          </reference>
        </references>
      </pivotArea>
    </chartFormat>
    <chartFormat chart="2" format="11">
      <pivotArea type="data" outline="0" fieldPosition="0">
        <references count="2">
          <reference field="4294967294" count="1" selected="0">
            <x v="0"/>
          </reference>
          <reference field="17" count="1" selected="0">
            <x v="8"/>
          </reference>
        </references>
      </pivotArea>
    </chartFormat>
    <chartFormat chart="2" format="12">
      <pivotArea type="data" outline="0" fieldPosition="0">
        <references count="2">
          <reference field="4294967294" count="1" selected="0">
            <x v="0"/>
          </reference>
          <reference field="17" count="1" selected="0">
            <x v="9"/>
          </reference>
        </references>
      </pivotArea>
    </chartFormat>
    <chartFormat chart="2" format="13">
      <pivotArea type="data" outline="0" fieldPosition="0">
        <references count="2">
          <reference field="4294967294" count="1" selected="0">
            <x v="0"/>
          </reference>
          <reference field="17" count="1" selected="0">
            <x v="12"/>
          </reference>
        </references>
      </pivotArea>
    </chartFormat>
    <chartFormat chart="3" format="0" series="1">
      <pivotArea type="data" outline="0" fieldPosition="0">
        <references count="1">
          <reference field="4294967294" count="1" selected="0">
            <x v="0"/>
          </reference>
        </references>
      </pivotArea>
    </chartFormat>
    <chartFormat chart="2" format="14">
      <pivotArea type="data" outline="0" fieldPosition="0">
        <references count="2">
          <reference field="4294967294" count="1" selected="0">
            <x v="0"/>
          </reference>
          <reference field="17" count="1" selected="0">
            <x v="13"/>
          </reference>
        </references>
      </pivotArea>
    </chartFormat>
    <chartFormat chart="2" format="15">
      <pivotArea type="data" outline="0" fieldPosition="0">
        <references count="2">
          <reference field="4294967294" count="1" selected="0">
            <x v="0"/>
          </reference>
          <reference field="17" count="1" selected="0">
            <x v="15"/>
          </reference>
        </references>
      </pivotArea>
    </chartFormat>
    <chartFormat chart="2" format="16">
      <pivotArea type="data" outline="0" fieldPosition="0">
        <references count="2">
          <reference field="4294967294" count="1" selected="0">
            <x v="0"/>
          </reference>
          <reference field="17" count="1" selected="0">
            <x v="14"/>
          </reference>
        </references>
      </pivotArea>
    </chartFormat>
    <chartFormat chart="2" format="17">
      <pivotArea type="data" outline="0" fieldPosition="0">
        <references count="2">
          <reference field="4294967294" count="1" selected="0">
            <x v="0"/>
          </reference>
          <reference field="17" count="1" selected="0">
            <x v="17"/>
          </reference>
        </references>
      </pivotArea>
    </chartFormat>
    <chartFormat chart="2" format="18">
      <pivotArea type="data" outline="0" fieldPosition="0">
        <references count="2">
          <reference field="4294967294" count="1" selected="0">
            <x v="0"/>
          </reference>
          <reference field="17" count="1" selected="0">
            <x v="16"/>
          </reference>
        </references>
      </pivotArea>
    </chartFormat>
  </chartFormats>
  <pivotTableStyleInfo name="PivotStyleMedium9" showRowHeaders="1" showColHeaders="1" showRowStripes="0" showColStripes="0" showLastColumn="1"/>
  <filters count="1">
    <filter fld="20" type="dateNewerThan" evalOrder="-1" id="2">
      <autoFilter ref="A1">
        <filterColumn colId="0">
          <customFilters>
            <customFilter operator="greaterThan" val="4498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80744B-0800-45A3-9920-18776D8E2B73}" name="PivotTable2" cacheId="3417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38" firstHeaderRow="1" firstDataRow="1" firstDataCol="2" rowPageCount="1" colPageCount="1"/>
  <pivotFields count="22">
    <pivotField compact="0" outline="0" showAll="0"/>
    <pivotField axis="axisPage" compact="0" outline="0" showAll="0">
      <items count="12">
        <item x="2"/>
        <item x="0"/>
        <item x="3"/>
        <item x="1"/>
        <item x="5"/>
        <item x="6"/>
        <item x="7"/>
        <item x="4"/>
        <item x="9"/>
        <item x="8"/>
        <item m="1"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0">
        <item x="26"/>
        <item x="9"/>
        <item x="8"/>
        <item x="15"/>
        <item x="28"/>
        <item x="31"/>
        <item x="23"/>
        <item x="21"/>
        <item x="27"/>
        <item x="25"/>
        <item x="4"/>
        <item x="22"/>
        <item x="1"/>
        <item x="3"/>
        <item x="14"/>
        <item x="7"/>
        <item x="17"/>
        <item x="16"/>
        <item x="11"/>
        <item x="6"/>
        <item x="5"/>
        <item x="13"/>
        <item x="32"/>
        <item x="30"/>
        <item x="0"/>
        <item x="19"/>
        <item x="10"/>
        <item x="18"/>
        <item x="24"/>
        <item x="20"/>
        <item x="29"/>
        <item x="12"/>
        <item x="2"/>
        <item x="33"/>
        <item x="34"/>
        <item x="35"/>
        <item x="37"/>
        <item x="36"/>
        <item x="38"/>
        <item t="default"/>
      </items>
    </pivotField>
    <pivotField compact="0" outline="0" showAll="0"/>
    <pivotField compact="0" outline="0" showAll="0"/>
    <pivotField compact="0" outline="0" showAll="0"/>
    <pivotField axis="axisRow" compact="0" outline="0" showAll="0">
      <items count="20">
        <item x="7"/>
        <item x="12"/>
        <item x="9"/>
        <item x="1"/>
        <item x="2"/>
        <item x="11"/>
        <item x="4"/>
        <item x="3"/>
        <item x="10"/>
        <item x="5"/>
        <item x="8"/>
        <item x="6"/>
        <item h="1" x="0"/>
        <item x="13"/>
        <item x="14"/>
        <item x="17"/>
        <item x="16"/>
        <item x="15"/>
        <item h="1" x="18"/>
        <item t="default"/>
      </items>
    </pivotField>
    <pivotField compact="0" outline="0" showAll="0"/>
    <pivotField compact="0" outline="0" showAll="0"/>
    <pivotField compact="0" numFmtId="14" outline="0" showAll="0"/>
    <pivotField compact="0" outline="0" showAll="0"/>
  </pivotFields>
  <rowFields count="2">
    <field x="13"/>
    <field x="17"/>
  </rowFields>
  <rowItems count="35">
    <i>
      <x v="9"/>
      <x v="6"/>
    </i>
    <i t="default">
      <x v="9"/>
    </i>
    <i>
      <x v="11"/>
      <x/>
    </i>
    <i r="1">
      <x v="6"/>
    </i>
    <i r="1">
      <x v="9"/>
    </i>
    <i r="1">
      <x v="13"/>
    </i>
    <i r="1">
      <x v="17"/>
    </i>
    <i t="default">
      <x v="11"/>
    </i>
    <i>
      <x v="12"/>
      <x v="3"/>
    </i>
    <i r="1">
      <x v="7"/>
    </i>
    <i t="default">
      <x v="12"/>
    </i>
    <i>
      <x v="13"/>
      <x v="4"/>
    </i>
    <i r="1">
      <x v="5"/>
    </i>
    <i r="1">
      <x v="6"/>
    </i>
    <i t="default">
      <x v="13"/>
    </i>
    <i>
      <x v="15"/>
      <x v="13"/>
    </i>
    <i t="default">
      <x v="15"/>
    </i>
    <i>
      <x v="17"/>
      <x v="2"/>
    </i>
    <i r="1">
      <x v="14"/>
    </i>
    <i t="default">
      <x v="17"/>
    </i>
    <i>
      <x v="20"/>
      <x v="1"/>
    </i>
    <i t="default">
      <x v="20"/>
    </i>
    <i>
      <x v="22"/>
      <x v="10"/>
    </i>
    <i t="default">
      <x v="22"/>
    </i>
    <i>
      <x v="24"/>
      <x v="11"/>
    </i>
    <i t="default">
      <x v="24"/>
    </i>
    <i>
      <x v="25"/>
      <x v="8"/>
    </i>
    <i t="default">
      <x v="25"/>
    </i>
    <i>
      <x v="27"/>
      <x/>
    </i>
    <i r="1">
      <x v="6"/>
    </i>
    <i r="1">
      <x v="16"/>
    </i>
    <i t="default">
      <x v="27"/>
    </i>
    <i>
      <x v="33"/>
      <x v="15"/>
    </i>
    <i t="default">
      <x v="33"/>
    </i>
    <i t="grand">
      <x/>
    </i>
  </rowItems>
  <colItems count="1">
    <i/>
  </colItems>
  <pageFields count="1">
    <pageField fld="1" hier="-1"/>
  </page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DCFC447-CB16-443C-A258-F39195427EBA}" name="PivotTable3" cacheId="3417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D3:E43" firstHeaderRow="1" firstDataRow="1" firstDataCol="2" rowPageCount="1" colPageCount="1"/>
  <pivotFields count="22">
    <pivotField compact="0" outline="0" showAll="0"/>
    <pivotField axis="axisPage" compact="0" outline="0" showAll="0">
      <items count="12">
        <item x="2"/>
        <item x="0"/>
        <item x="3"/>
        <item x="1"/>
        <item x="5"/>
        <item x="6"/>
        <item x="7"/>
        <item x="4"/>
        <item x="9"/>
        <item x="8"/>
        <item m="1"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0">
        <item x="26"/>
        <item x="9"/>
        <item x="8"/>
        <item x="15"/>
        <item x="28"/>
        <item x="31"/>
        <item x="23"/>
        <item x="21"/>
        <item x="27"/>
        <item x="25"/>
        <item x="4"/>
        <item x="22"/>
        <item x="1"/>
        <item x="3"/>
        <item x="14"/>
        <item x="7"/>
        <item x="17"/>
        <item x="16"/>
        <item x="11"/>
        <item x="6"/>
        <item x="5"/>
        <item x="13"/>
        <item x="32"/>
        <item x="30"/>
        <item x="0"/>
        <item x="19"/>
        <item x="10"/>
        <item x="18"/>
        <item x="24"/>
        <item x="20"/>
        <item x="29"/>
        <item x="12"/>
        <item h="1" x="2"/>
        <item x="33"/>
        <item h="1" x="34"/>
        <item h="1" x="35"/>
        <item h="1" x="37"/>
        <item h="1" x="36"/>
        <item h="1" x="38"/>
        <item t="default"/>
      </items>
    </pivotField>
    <pivotField compact="0" outline="0" showAll="0"/>
    <pivotField compact="0" outline="0" showAll="0"/>
    <pivotField compact="0" outline="0" showAll="0"/>
    <pivotField axis="axisRow" compact="0" outline="0" showAll="0">
      <items count="20">
        <item x="7"/>
        <item x="12"/>
        <item x="9"/>
        <item x="1"/>
        <item x="2"/>
        <item x="11"/>
        <item x="4"/>
        <item x="3"/>
        <item x="10"/>
        <item x="5"/>
        <item x="8"/>
        <item x="6"/>
        <item h="1" x="0"/>
        <item x="13"/>
        <item x="14"/>
        <item x="17"/>
        <item x="16"/>
        <item x="15"/>
        <item h="1" x="18"/>
        <item t="default"/>
      </items>
    </pivotField>
    <pivotField compact="0" outline="0" showAll="0"/>
    <pivotField compact="0" outline="0" showAll="0"/>
    <pivotField compact="0" numFmtId="14" outline="0" showAll="0"/>
    <pivotField compact="0" outline="0" showAll="0"/>
  </pivotFields>
  <rowFields count="2">
    <field x="17"/>
    <field x="13"/>
  </rowFields>
  <rowItems count="40">
    <i>
      <x/>
      <x v="11"/>
    </i>
    <i r="1">
      <x v="27"/>
    </i>
    <i t="default">
      <x/>
    </i>
    <i>
      <x v="1"/>
      <x v="20"/>
    </i>
    <i t="default">
      <x v="1"/>
    </i>
    <i>
      <x v="2"/>
      <x v="17"/>
    </i>
    <i t="default">
      <x v="2"/>
    </i>
    <i>
      <x v="3"/>
      <x v="12"/>
    </i>
    <i t="default">
      <x v="3"/>
    </i>
    <i>
      <x v="4"/>
      <x v="13"/>
    </i>
    <i t="default">
      <x v="4"/>
    </i>
    <i>
      <x v="5"/>
      <x v="13"/>
    </i>
    <i t="default">
      <x v="5"/>
    </i>
    <i>
      <x v="6"/>
      <x v="9"/>
    </i>
    <i r="1">
      <x v="11"/>
    </i>
    <i r="1">
      <x v="13"/>
    </i>
    <i r="1">
      <x v="27"/>
    </i>
    <i t="default">
      <x v="6"/>
    </i>
    <i>
      <x v="7"/>
      <x v="12"/>
    </i>
    <i t="default">
      <x v="7"/>
    </i>
    <i>
      <x v="8"/>
      <x v="25"/>
    </i>
    <i t="default">
      <x v="8"/>
    </i>
    <i>
      <x v="9"/>
      <x v="11"/>
    </i>
    <i t="default">
      <x v="9"/>
    </i>
    <i>
      <x v="10"/>
      <x v="22"/>
    </i>
    <i t="default">
      <x v="10"/>
    </i>
    <i>
      <x v="11"/>
      <x v="24"/>
    </i>
    <i t="default">
      <x v="11"/>
    </i>
    <i>
      <x v="13"/>
      <x v="11"/>
    </i>
    <i r="1">
      <x v="15"/>
    </i>
    <i t="default">
      <x v="13"/>
    </i>
    <i>
      <x v="14"/>
      <x v="17"/>
    </i>
    <i t="default">
      <x v="14"/>
    </i>
    <i>
      <x v="15"/>
      <x v="33"/>
    </i>
    <i t="default">
      <x v="15"/>
    </i>
    <i>
      <x v="16"/>
      <x v="27"/>
    </i>
    <i t="default">
      <x v="16"/>
    </i>
    <i>
      <x v="17"/>
      <x v="11"/>
    </i>
    <i t="default">
      <x v="17"/>
    </i>
    <i t="grand">
      <x/>
    </i>
  </rowItems>
  <colItems count="1">
    <i/>
  </colItems>
  <pageFields count="1">
    <pageField fld="1" hier="-1"/>
  </page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2A3F18C-C9EF-4F3D-B6BB-AB5E07D263B3}" name="PivotTable4" cacheId="3417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4:AC1304" firstHeaderRow="1" firstDataRow="2" firstDataCol="2" rowPageCount="2" colPageCount="1"/>
  <pivotFields count="22">
    <pivotField compact="0" outline="0" showAll="0"/>
    <pivotField axis="axisPage" compact="0" outline="0" showAll="0">
      <items count="12">
        <item h="1" x="2"/>
        <item x="0"/>
        <item h="1" x="3"/>
        <item h="1" x="1"/>
        <item h="1" x="5"/>
        <item h="1" x="6"/>
        <item h="1" x="7"/>
        <item h="1" x="4"/>
        <item h="1" x="9"/>
        <item h="1" x="8"/>
        <item m="1"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sortType="descending">
      <items count="861">
        <item x="291"/>
        <item x="292"/>
        <item x="303"/>
        <item x="295"/>
        <item x="302"/>
        <item x="304"/>
        <item x="296"/>
        <item x="293"/>
        <item x="328"/>
        <item x="306"/>
        <item x="365"/>
        <item x="286"/>
        <item x="352"/>
        <item x="353"/>
        <item x="307"/>
        <item x="300"/>
        <item x="366"/>
        <item x="318"/>
        <item x="319"/>
        <item x="309"/>
        <item x="329"/>
        <item x="290"/>
        <item x="320"/>
        <item x="331"/>
        <item x="372"/>
        <item x="289"/>
        <item x="288"/>
        <item x="351"/>
        <item x="297"/>
        <item x="287"/>
        <item x="311"/>
        <item x="312"/>
        <item x="336"/>
        <item x="335"/>
        <item x="316"/>
        <item x="380"/>
        <item x="327"/>
        <item x="333"/>
        <item x="332"/>
        <item x="326"/>
        <item x="334"/>
        <item x="314"/>
        <item x="379"/>
        <item x="325"/>
        <item x="324"/>
        <item x="350"/>
        <item x="330"/>
        <item x="313"/>
        <item x="321"/>
        <item x="301"/>
        <item x="274"/>
        <item x="275"/>
        <item x="276"/>
        <item x="299"/>
        <item x="361"/>
        <item x="373"/>
        <item x="370"/>
        <item x="359"/>
        <item x="360"/>
        <item x="358"/>
        <item x="310"/>
        <item x="308"/>
        <item x="298"/>
        <item x="375"/>
        <item x="339"/>
        <item x="338"/>
        <item x="337"/>
        <item x="356"/>
        <item x="368"/>
        <item x="315"/>
        <item x="305"/>
        <item x="294"/>
        <item x="371"/>
        <item x="347"/>
        <item x="346"/>
        <item x="277"/>
        <item x="278"/>
        <item x="363"/>
        <item x="362"/>
        <item x="374"/>
        <item x="208"/>
        <item x="91"/>
        <item x="376"/>
        <item x="377"/>
        <item x="378"/>
        <item x="212"/>
        <item x="213"/>
        <item x="3"/>
        <item x="13"/>
        <item x="140"/>
        <item x="173"/>
        <item x="141"/>
        <item x="176"/>
        <item x="201"/>
        <item x="145"/>
        <item x="222"/>
        <item x="235"/>
        <item x="142"/>
        <item x="188"/>
        <item x="191"/>
        <item x="179"/>
        <item x="175"/>
        <item x="174"/>
        <item x="172"/>
        <item x="170"/>
        <item x="171"/>
        <item x="189"/>
        <item x="95"/>
        <item x="43"/>
        <item x="134"/>
        <item x="38"/>
        <item x="41"/>
        <item x="34"/>
        <item x="135"/>
        <item x="53"/>
        <item x="89"/>
        <item x="54"/>
        <item x="123"/>
        <item x="100"/>
        <item x="40"/>
        <item x="44"/>
        <item x="55"/>
        <item x="90"/>
        <item x="77"/>
        <item x="47"/>
        <item x="98"/>
        <item x="63"/>
        <item x="138"/>
        <item x="207"/>
        <item x="50"/>
        <item x="209"/>
        <item x="147"/>
        <item x="148"/>
        <item x="102"/>
        <item x="236"/>
        <item x="127"/>
        <item x="22"/>
        <item x="26"/>
        <item x="200"/>
        <item x="168"/>
        <item x="169"/>
        <item x="104"/>
        <item x="78"/>
        <item x="60"/>
        <item x="59"/>
        <item x="49"/>
        <item x="27"/>
        <item x="93"/>
        <item x="121"/>
        <item x="132"/>
        <item x="48"/>
        <item x="149"/>
        <item x="119"/>
        <item x="94"/>
        <item x="118"/>
        <item x="253"/>
        <item x="133"/>
        <item x="117"/>
        <item x="116"/>
        <item x="88"/>
        <item x="115"/>
        <item x="65"/>
        <item x="163"/>
        <item x="114"/>
        <item x="42"/>
        <item x="113"/>
        <item x="218"/>
        <item x="112"/>
        <item x="111"/>
        <item x="110"/>
        <item x="109"/>
        <item x="108"/>
        <item x="107"/>
        <item x="23"/>
        <item x="25"/>
        <item x="28"/>
        <item x="58"/>
        <item x="237"/>
        <item x="151"/>
        <item x="150"/>
        <item x="24"/>
        <item x="246"/>
        <item x="269"/>
        <item x="259"/>
        <item x="247"/>
        <item x="260"/>
        <item x="261"/>
        <item x="248"/>
        <item x="234"/>
        <item x="270"/>
        <item x="271"/>
        <item x="262"/>
        <item x="249"/>
        <item x="233"/>
        <item x="232"/>
        <item x="250"/>
        <item x="251"/>
        <item x="252"/>
        <item x="231"/>
        <item x="263"/>
        <item x="225"/>
        <item x="224"/>
        <item x="223"/>
        <item x="9"/>
        <item x="272"/>
        <item x="154"/>
        <item x="273"/>
        <item x="268"/>
        <item x="16"/>
        <item x="136"/>
        <item x="76"/>
        <item x="157"/>
        <item x="36"/>
        <item x="158"/>
        <item x="159"/>
        <item x="160"/>
        <item x="161"/>
        <item x="156"/>
        <item x="128"/>
        <item x="37"/>
        <item x="122"/>
        <item x="205"/>
        <item x="190"/>
        <item x="129"/>
        <item x="39"/>
        <item x="35"/>
        <item x="33"/>
        <item x="64"/>
        <item x="167"/>
        <item x="62"/>
        <item x="61"/>
        <item x="166"/>
        <item x="66"/>
        <item sd="0" x="17"/>
        <item x="144"/>
        <item x="92"/>
        <item x="79"/>
        <item x="80"/>
        <item x="214"/>
        <item x="165"/>
        <item x="19"/>
        <item x="20"/>
        <item x="162"/>
        <item x="215"/>
        <item x="242"/>
        <item x="21"/>
        <item x="1"/>
        <item x="0"/>
        <item x="2"/>
        <item x="69"/>
        <item x="120"/>
        <item x="164"/>
        <item x="258"/>
        <item x="239"/>
        <item x="18"/>
        <item x="195"/>
        <item x="238"/>
        <item x="29"/>
        <item x="15"/>
        <item x="12"/>
        <item x="125"/>
        <item x="219"/>
        <item x="216"/>
        <item x="143"/>
        <item x="14"/>
        <item x="220"/>
        <item x="254"/>
        <item x="217"/>
        <item x="87"/>
        <item x="11"/>
        <item x="10"/>
        <item x="86"/>
        <item x="5"/>
        <item x="6"/>
        <item x="7"/>
        <item x="255"/>
        <item x="8"/>
        <item x="240"/>
        <item x="230"/>
        <item x="241"/>
        <item x="229"/>
        <item x="228"/>
        <item x="227"/>
        <item x="256"/>
        <item x="243"/>
        <item x="221"/>
        <item x="244"/>
        <item x="285"/>
        <item x="281"/>
        <item x="322"/>
        <item x="323"/>
        <item x="355"/>
        <item x="382"/>
        <item x="383"/>
        <item x="280"/>
        <item x="279"/>
        <item x="317"/>
        <item x="342"/>
        <item x="341"/>
        <item x="340"/>
        <item x="384"/>
        <item x="385"/>
        <item x="386"/>
        <item x="348"/>
        <item x="392"/>
        <item x="343"/>
        <item x="364"/>
        <item x="357"/>
        <item x="354"/>
        <item x="349"/>
        <item x="345"/>
        <item x="344"/>
        <item x="282"/>
        <item x="283"/>
        <item x="369"/>
        <item x="381"/>
        <item x="284"/>
        <item x="387"/>
        <item x="388"/>
        <item x="180"/>
        <item x="206"/>
        <item x="389"/>
        <item x="184"/>
        <item x="185"/>
        <item x="186"/>
        <item x="105"/>
        <item x="130"/>
        <item x="390"/>
        <item x="193"/>
        <item x="187"/>
        <item x="192"/>
        <item x="194"/>
        <item x="183"/>
        <item x="182"/>
        <item x="181"/>
        <item x="211"/>
        <item x="202"/>
        <item x="178"/>
        <item x="177"/>
        <item x="210"/>
        <item x="203"/>
        <item x="204"/>
        <item x="99"/>
        <item x="146"/>
        <item x="68"/>
        <item x="96"/>
        <item x="46"/>
        <item x="131"/>
        <item x="103"/>
        <item x="137"/>
        <item x="367"/>
        <item x="31"/>
        <item x="67"/>
        <item x="51"/>
        <item x="52"/>
        <item x="45"/>
        <item x="57"/>
        <item x="126"/>
        <item x="81"/>
        <item x="30"/>
        <item x="32"/>
        <item x="56"/>
        <item x="101"/>
        <item x="391"/>
        <item x="71"/>
        <item x="267"/>
        <item x="155"/>
        <item x="266"/>
        <item x="257"/>
        <item x="152"/>
        <item x="153"/>
        <item x="106"/>
        <item x="265"/>
        <item x="264"/>
        <item x="97"/>
        <item x="72"/>
        <item x="197"/>
        <item x="199"/>
        <item x="75"/>
        <item x="74"/>
        <item x="83"/>
        <item x="82"/>
        <item x="84"/>
        <item x="70"/>
        <item x="245"/>
        <item x="85"/>
        <item x="73"/>
        <item x="198"/>
        <item x="139"/>
        <item x="124"/>
        <item x="226"/>
        <item x="196"/>
        <item x="4"/>
        <item x="394"/>
        <item x="393"/>
        <item x="401"/>
        <item x="398"/>
        <item x="400"/>
        <item x="396"/>
        <item x="399"/>
        <item x="395"/>
        <item x="402"/>
        <item x="397"/>
        <item x="405"/>
        <item x="403"/>
        <item x="404"/>
        <item x="406"/>
        <item x="407"/>
        <item x="410"/>
        <item x="408"/>
        <item x="409"/>
        <item x="411"/>
        <item x="412"/>
        <item x="414"/>
        <item x="413"/>
        <item x="415"/>
        <item x="416"/>
        <item x="417"/>
        <item x="418"/>
        <item x="419"/>
        <item x="420"/>
        <item x="425"/>
        <item x="423"/>
        <item x="422"/>
        <item x="421"/>
        <item x="424"/>
        <item x="433"/>
        <item x="441"/>
        <item x="442"/>
        <item x="443"/>
        <item x="444"/>
        <item x="445"/>
        <item x="447"/>
        <item x="448"/>
        <item x="449"/>
        <item x="430"/>
        <item x="431"/>
        <item x="432"/>
        <item x="434"/>
        <item x="446"/>
        <item x="440"/>
        <item x="450"/>
        <item x="451"/>
        <item x="437"/>
        <item x="438"/>
        <item x="439"/>
        <item x="436"/>
        <item x="429"/>
        <item x="428"/>
        <item x="426"/>
        <item x="427"/>
        <item x="435"/>
        <item x="463"/>
        <item x="464"/>
        <item x="483"/>
        <item x="470"/>
        <item x="471"/>
        <item x="472"/>
        <item x="473"/>
        <item x="474"/>
        <item x="475"/>
        <item x="476"/>
        <item x="477"/>
        <item x="461"/>
        <item x="465"/>
        <item x="466"/>
        <item x="467"/>
        <item x="468"/>
        <item x="469"/>
        <item x="462"/>
        <item x="458"/>
        <item x="479"/>
        <item x="480"/>
        <item x="481"/>
        <item x="460"/>
        <item x="484"/>
        <item x="457"/>
        <item x="456"/>
        <item x="455"/>
        <item x="454"/>
        <item x="453"/>
        <item x="452"/>
        <item x="478"/>
        <item x="482"/>
        <item x="459"/>
        <item x="506"/>
        <item x="502"/>
        <item x="496"/>
        <item x="500"/>
        <item x="503"/>
        <item x="504"/>
        <item x="487"/>
        <item x="489"/>
        <item x="491"/>
        <item x="492"/>
        <item x="493"/>
        <item x="495"/>
        <item x="516"/>
        <item x="517"/>
        <item x="518"/>
        <item x="513"/>
        <item x="509"/>
        <item x="497"/>
        <item x="514"/>
        <item x="512"/>
        <item x="490"/>
        <item x="494"/>
        <item x="511"/>
        <item x="508"/>
        <item x="510"/>
        <item x="507"/>
        <item x="505"/>
        <item x="501"/>
        <item x="486"/>
        <item x="515"/>
        <item x="498"/>
        <item x="499"/>
        <item x="488"/>
        <item x="485"/>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t="default"/>
      </items>
      <autoSortScope>
        <pivotArea dataOnly="0" outline="0" fieldPosition="0">
          <references count="1">
            <reference field="4294967294" count="1" selected="0">
              <x v="0"/>
            </reference>
          </references>
        </pivotArea>
      </autoSortScope>
    </pivotField>
    <pivotField axis="axisPage" compact="0" outline="0" showAll="0">
      <items count="27">
        <item x="13"/>
        <item x="1"/>
        <item x="7"/>
        <item x="9"/>
        <item x="5"/>
        <item x="11"/>
        <item x="2"/>
        <item x="0"/>
        <item x="4"/>
        <item x="12"/>
        <item x="15"/>
        <item x="14"/>
        <item x="3"/>
        <item x="8"/>
        <item x="10"/>
        <item x="16"/>
        <item x="6"/>
        <item x="17"/>
        <item x="20"/>
        <item x="19"/>
        <item x="18"/>
        <item x="21"/>
        <item x="23"/>
        <item x="22"/>
        <item x="24"/>
        <item x="25"/>
        <item t="default"/>
      </items>
    </pivotField>
    <pivotField compact="0" outline="0" showAll="0"/>
    <pivotField compact="0" outline="0" showAll="0"/>
    <pivotField axis="axisCol" compact="0" outline="0" showAll="0">
      <items count="40">
        <item x="26"/>
        <item x="9"/>
        <item x="8"/>
        <item x="15"/>
        <item x="28"/>
        <item x="31"/>
        <item x="23"/>
        <item x="21"/>
        <item x="27"/>
        <item x="25"/>
        <item x="4"/>
        <item x="22"/>
        <item x="1"/>
        <item x="3"/>
        <item x="14"/>
        <item x="7"/>
        <item x="17"/>
        <item x="16"/>
        <item x="11"/>
        <item x="6"/>
        <item x="5"/>
        <item x="13"/>
        <item x="32"/>
        <item x="30"/>
        <item x="0"/>
        <item x="19"/>
        <item x="10"/>
        <item x="18"/>
        <item x="24"/>
        <item x="20"/>
        <item x="29"/>
        <item x="12"/>
        <item x="2"/>
        <item x="33"/>
        <item x="34"/>
        <item x="35"/>
        <item x="37"/>
        <item x="36"/>
        <item x="38"/>
        <item t="default"/>
      </items>
    </pivotField>
    <pivotField compact="0" outline="0" showAll="0"/>
    <pivotField compact="0" outline="0" showAll="0"/>
    <pivotField compact="0" outline="0" showAll="0"/>
    <pivotField compact="0" outline="0" showAll="0"/>
    <pivotField compact="0" outline="0" showAll="0"/>
    <pivotField compact="0" outline="0" showAll="0"/>
    <pivotField axis="axisRow" compact="0" numFmtId="14" outline="0" showAll="0" sortType="descending">
      <items count="1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40"/>
        <item x="141"/>
        <item x="139"/>
        <item x="142"/>
        <item x="143"/>
        <item x="144"/>
        <item x="145"/>
        <item x="148"/>
        <item x="146"/>
        <item x="147"/>
        <item x="149"/>
        <item x="150"/>
        <item x="154"/>
        <item x="152"/>
        <item x="153"/>
        <item x="155"/>
        <item x="156"/>
        <item x="151"/>
        <item x="158"/>
        <item x="159"/>
        <item x="157"/>
        <item x="161"/>
        <item x="162"/>
        <item x="160"/>
        <item x="163"/>
        <item x="164"/>
        <item x="165"/>
        <item x="166"/>
        <item x="167"/>
        <item x="168"/>
        <item x="169"/>
        <item x="170"/>
        <item x="171"/>
        <item x="172"/>
        <item x="173"/>
        <item x="174"/>
        <item x="175"/>
        <item x="176"/>
        <item t="default"/>
      </items>
      <autoSortScope>
        <pivotArea dataOnly="0" outline="0" fieldPosition="0">
          <references count="1">
            <reference field="4294967294" count="1" selected="0">
              <x v="0"/>
            </reference>
          </references>
        </pivotArea>
      </autoSortScope>
    </pivotField>
    <pivotField compact="0" outline="0" showAll="0"/>
  </pivotFields>
  <rowFields count="2">
    <field x="9"/>
    <field x="20"/>
  </rowFields>
  <rowItems count="1299">
    <i>
      <x v="389"/>
      <x v="70"/>
    </i>
    <i r="1">
      <x v="152"/>
    </i>
    <i r="1">
      <x v="60"/>
    </i>
    <i r="1">
      <x v="167"/>
    </i>
    <i r="1">
      <x v="168"/>
    </i>
    <i r="1">
      <x v="123"/>
    </i>
    <i r="1">
      <x v="171"/>
    </i>
    <i r="1">
      <x v="169"/>
    </i>
    <i r="1">
      <x v="68"/>
    </i>
    <i r="1">
      <x v="166"/>
    </i>
    <i r="1">
      <x v="57"/>
    </i>
    <i r="1">
      <x v="157"/>
    </i>
    <i r="1">
      <x v="163"/>
    </i>
    <i r="1">
      <x v="170"/>
    </i>
    <i r="1">
      <x v="164"/>
    </i>
    <i r="1">
      <x v="158"/>
    </i>
    <i r="1">
      <x v="159"/>
    </i>
    <i t="default">
      <x v="389"/>
    </i>
    <i>
      <x v="245"/>
      <x v="97"/>
    </i>
    <i r="1">
      <x v="86"/>
    </i>
    <i r="1">
      <x v="3"/>
    </i>
    <i r="1">
      <x v="4"/>
    </i>
    <i r="1">
      <x v="93"/>
    </i>
    <i r="1">
      <x v="7"/>
    </i>
    <i r="1">
      <x v="100"/>
    </i>
    <i r="1">
      <x v="14"/>
    </i>
    <i r="1">
      <x v="78"/>
    </i>
    <i t="default">
      <x v="245"/>
    </i>
    <i>
      <x v="258"/>
      <x v="161"/>
    </i>
    <i r="1">
      <x v="96"/>
    </i>
    <i r="1">
      <x v="87"/>
    </i>
    <i r="1">
      <x v="75"/>
    </i>
    <i r="1">
      <x v="97"/>
    </i>
    <i r="1">
      <x v="79"/>
    </i>
    <i r="1">
      <x v="2"/>
    </i>
    <i r="1">
      <x v="86"/>
    </i>
    <i t="default">
      <x v="258"/>
    </i>
    <i>
      <x v="247"/>
      <x/>
    </i>
    <i t="default">
      <x v="247"/>
    </i>
    <i>
      <x v="242"/>
      <x v="86"/>
    </i>
    <i r="1">
      <x v="97"/>
    </i>
    <i r="1">
      <x v="94"/>
    </i>
    <i r="1">
      <x v="71"/>
    </i>
    <i r="1">
      <x v="70"/>
    </i>
    <i r="1">
      <x v="85"/>
    </i>
    <i t="default">
      <x v="242"/>
    </i>
    <i>
      <x v="212"/>
      <x v="60"/>
    </i>
    <i r="1">
      <x v="98"/>
    </i>
    <i r="1">
      <x v="70"/>
    </i>
    <i r="1">
      <x v="41"/>
    </i>
    <i r="1">
      <x v="61"/>
    </i>
    <i t="default">
      <x v="212"/>
    </i>
    <i>
      <x v="306"/>
      <x v="151"/>
    </i>
    <i r="1">
      <x v="135"/>
    </i>
    <i r="1">
      <x v="155"/>
    </i>
    <i r="1">
      <x v="140"/>
    </i>
    <i r="1">
      <x v="143"/>
    </i>
    <i t="default">
      <x v="306"/>
    </i>
    <i>
      <x v="408"/>
      <x v="156"/>
    </i>
    <i r="1">
      <x v="149"/>
    </i>
    <i r="1">
      <x v="170"/>
    </i>
    <i r="1">
      <x v="152"/>
    </i>
    <i r="1">
      <x v="154"/>
    </i>
    <i t="default">
      <x v="408"/>
    </i>
    <i>
      <x v="59"/>
      <x v="155"/>
    </i>
    <i r="1">
      <x v="130"/>
    </i>
    <i r="1">
      <x v="170"/>
    </i>
    <i r="1">
      <x v="137"/>
    </i>
    <i r="1">
      <x v="143"/>
    </i>
    <i t="default">
      <x v="59"/>
    </i>
    <i>
      <x v="135"/>
      <x v="81"/>
    </i>
    <i r="1">
      <x v="58"/>
    </i>
    <i r="1">
      <x v="63"/>
    </i>
    <i t="default">
      <x v="135"/>
    </i>
    <i>
      <x v="273"/>
      <x v="1"/>
    </i>
    <i r="1">
      <x v="171"/>
    </i>
    <i r="1">
      <x v="167"/>
    </i>
    <i t="default">
      <x v="273"/>
    </i>
    <i>
      <x v="271"/>
      <x v="75"/>
    </i>
    <i r="1">
      <x v="57"/>
    </i>
    <i r="1">
      <x v="39"/>
    </i>
    <i r="1">
      <x v="40"/>
    </i>
    <i t="default">
      <x v="271"/>
    </i>
    <i>
      <x v="180"/>
      <x v="168"/>
    </i>
    <i r="1">
      <x v="69"/>
    </i>
    <i t="default">
      <x v="180"/>
    </i>
    <i>
      <x v="233"/>
    </i>
    <i>
      <x v="153"/>
      <x v="95"/>
    </i>
    <i r="1">
      <x v="75"/>
    </i>
    <i r="1">
      <x v="46"/>
    </i>
    <i r="1">
      <x v="68"/>
    </i>
    <i t="default">
      <x v="153"/>
    </i>
    <i>
      <x v="436"/>
      <x v="164"/>
    </i>
    <i r="1">
      <x v="159"/>
    </i>
    <i r="1">
      <x v="146"/>
    </i>
    <i r="1">
      <x v="152"/>
    </i>
    <i t="default">
      <x v="436"/>
    </i>
    <i>
      <x v="419"/>
      <x v="164"/>
    </i>
    <i r="1">
      <x v="163"/>
    </i>
    <i r="1">
      <x v="143"/>
    </i>
    <i r="1">
      <x v="151"/>
    </i>
    <i t="default">
      <x v="419"/>
    </i>
    <i>
      <x v="78"/>
      <x v="159"/>
    </i>
    <i r="1">
      <x v="153"/>
    </i>
    <i r="1">
      <x v="124"/>
    </i>
    <i r="1">
      <x v="127"/>
    </i>
    <i t="default">
      <x v="78"/>
    </i>
    <i>
      <x v="437"/>
      <x v="165"/>
    </i>
    <i r="1">
      <x v="159"/>
    </i>
    <i r="1">
      <x v="146"/>
    </i>
    <i r="1">
      <x v="156"/>
    </i>
    <i t="default">
      <x v="437"/>
    </i>
    <i>
      <x v="463"/>
      <x v="164"/>
    </i>
    <i r="1">
      <x v="159"/>
    </i>
    <i r="1">
      <x v="152"/>
    </i>
    <i r="1">
      <x v="156"/>
    </i>
    <i t="default">
      <x v="463"/>
    </i>
    <i>
      <x v="75"/>
      <x v="147"/>
    </i>
    <i r="1">
      <x v="153"/>
    </i>
    <i r="1">
      <x v="149"/>
    </i>
    <i t="default">
      <x v="75"/>
    </i>
    <i>
      <x v="232"/>
      <x v="31"/>
    </i>
    <i r="1">
      <x v="99"/>
    </i>
    <i t="default">
      <x v="232"/>
    </i>
    <i>
      <x v="400"/>
      <x v="132"/>
    </i>
    <i r="1">
      <x v="149"/>
    </i>
    <i r="1">
      <x v="136"/>
    </i>
    <i t="default">
      <x v="400"/>
    </i>
    <i>
      <x v="56"/>
      <x v="126"/>
    </i>
    <i r="1">
      <x v="170"/>
    </i>
    <i r="1">
      <x v="153"/>
    </i>
    <i t="default">
      <x v="56"/>
    </i>
    <i>
      <x v="435"/>
      <x v="146"/>
    </i>
    <i r="1">
      <x v="164"/>
    </i>
    <i r="1">
      <x v="159"/>
    </i>
    <i t="default">
      <x v="435"/>
    </i>
    <i>
      <x v="274"/>
      <x v="1"/>
    </i>
    <i r="1">
      <x v="171"/>
    </i>
    <i t="default">
      <x v="274"/>
    </i>
    <i>
      <x v="51"/>
      <x v="128"/>
    </i>
    <i r="1">
      <x v="131"/>
    </i>
    <i t="default">
      <x v="51"/>
    </i>
    <i>
      <x v="278"/>
      <x v="89"/>
    </i>
    <i r="1">
      <x v="171"/>
    </i>
    <i r="1">
      <x v="167"/>
    </i>
    <i t="default">
      <x v="278"/>
    </i>
    <i>
      <x v="220"/>
      <x v="61"/>
    </i>
    <i r="1">
      <x v="100"/>
    </i>
    <i r="1">
      <x v="86"/>
    </i>
    <i t="default">
      <x v="220"/>
    </i>
    <i>
      <x v="280"/>
      <x v="89"/>
    </i>
    <i r="1">
      <x v="171"/>
    </i>
    <i r="1">
      <x v="167"/>
    </i>
    <i t="default">
      <x v="280"/>
    </i>
    <i>
      <x v="432"/>
      <x v="149"/>
    </i>
    <i r="1">
      <x v="170"/>
    </i>
    <i r="1">
      <x v="153"/>
    </i>
    <i t="default">
      <x v="432"/>
    </i>
    <i>
      <x v="281"/>
      <x v="89"/>
    </i>
    <i r="1">
      <x v="171"/>
    </i>
    <i r="1">
      <x v="167"/>
    </i>
    <i t="default">
      <x v="281"/>
    </i>
    <i>
      <x v="259"/>
      <x v="2"/>
    </i>
    <i r="1">
      <x v="57"/>
    </i>
    <i t="default">
      <x v="259"/>
    </i>
    <i>
      <x v="284"/>
      <x v="172"/>
    </i>
    <i r="1">
      <x v="166"/>
    </i>
    <i t="default">
      <x v="284"/>
    </i>
    <i>
      <x v="208"/>
      <x v="3"/>
    </i>
    <i r="1">
      <x v="98"/>
    </i>
    <i r="1">
      <x v="61"/>
    </i>
    <i t="default">
      <x v="208"/>
    </i>
    <i>
      <x v="251"/>
      <x v="71"/>
    </i>
    <i r="1">
      <x v="101"/>
    </i>
    <i r="1">
      <x v="93"/>
    </i>
    <i t="default">
      <x v="251"/>
    </i>
    <i>
      <x v="487"/>
      <x v="159"/>
    </i>
    <i r="1">
      <x v="165"/>
    </i>
    <i t="default">
      <x v="487"/>
    </i>
    <i>
      <x v="595"/>
      <x v="171"/>
    </i>
    <i r="1">
      <x v="167"/>
    </i>
    <i t="default">
      <x v="595"/>
    </i>
    <i>
      <x v="561"/>
      <x v="171"/>
    </i>
    <i r="1">
      <x v="167"/>
    </i>
    <i t="default">
      <x v="561"/>
    </i>
    <i>
      <x v="545"/>
      <x v="172"/>
    </i>
    <i r="1">
      <x v="167"/>
    </i>
    <i t="default">
      <x v="545"/>
    </i>
    <i>
      <x v="270"/>
      <x v="57"/>
    </i>
    <i r="1">
      <x v="2"/>
    </i>
    <i t="default">
      <x v="270"/>
    </i>
    <i>
      <x v="577"/>
      <x v="171"/>
    </i>
    <i r="1">
      <x v="167"/>
    </i>
    <i t="default">
      <x v="577"/>
    </i>
    <i>
      <x v="187"/>
      <x v="174"/>
    </i>
    <i r="1">
      <x v="167"/>
    </i>
    <i t="default">
      <x v="187"/>
    </i>
    <i>
      <x v="536"/>
      <x v="174"/>
    </i>
    <i r="1">
      <x v="167"/>
    </i>
    <i t="default">
      <x v="536"/>
    </i>
    <i>
      <x v="272"/>
      <x v="171"/>
    </i>
    <i r="1">
      <x v="1"/>
    </i>
    <i t="default">
      <x v="272"/>
    </i>
    <i>
      <x v="553"/>
      <x v="171"/>
    </i>
    <i r="1">
      <x v="167"/>
    </i>
    <i t="default">
      <x v="553"/>
    </i>
    <i>
      <x v="189"/>
      <x v="174"/>
    </i>
    <i r="1">
      <x v="167"/>
    </i>
    <i t="default">
      <x v="189"/>
    </i>
    <i>
      <x v="569"/>
      <x v="171"/>
    </i>
    <i r="1">
      <x v="167"/>
    </i>
    <i t="default">
      <x v="569"/>
    </i>
    <i>
      <x v="191"/>
      <x v="172"/>
    </i>
    <i r="1">
      <x v="167"/>
    </i>
    <i t="default">
      <x v="191"/>
    </i>
    <i>
      <x v="586"/>
      <x v="171"/>
    </i>
    <i r="1">
      <x v="167"/>
    </i>
    <i t="default">
      <x v="586"/>
    </i>
    <i>
      <x v="275"/>
      <x v="171"/>
    </i>
    <i r="1">
      <x v="167"/>
    </i>
    <i t="default">
      <x v="275"/>
    </i>
    <i>
      <x v="603"/>
      <x v="171"/>
    </i>
    <i r="1">
      <x v="167"/>
    </i>
    <i t="default">
      <x v="603"/>
    </i>
    <i>
      <x v="277"/>
      <x v="171"/>
    </i>
    <i r="1">
      <x v="167"/>
    </i>
    <i t="default">
      <x v="277"/>
    </i>
    <i>
      <x v="541"/>
      <x v="174"/>
    </i>
    <i r="1">
      <x v="167"/>
    </i>
    <i t="default">
      <x v="541"/>
    </i>
    <i>
      <x v="139"/>
      <x v="175"/>
    </i>
    <i r="1">
      <x v="72"/>
    </i>
    <i t="default">
      <x v="139"/>
    </i>
    <i>
      <x v="549"/>
      <x v="171"/>
    </i>
    <i r="1">
      <x v="167"/>
    </i>
    <i t="default">
      <x v="549"/>
    </i>
    <i>
      <x v="279"/>
      <x v="171"/>
    </i>
    <i r="1">
      <x v="167"/>
    </i>
    <i t="default">
      <x v="279"/>
    </i>
    <i>
      <x v="557"/>
      <x v="171"/>
    </i>
    <i r="1">
      <x v="167"/>
    </i>
    <i t="default">
      <x v="557"/>
    </i>
    <i>
      <x v="146"/>
      <x v="43"/>
    </i>
    <i r="1">
      <x v="7"/>
    </i>
    <i t="default">
      <x v="146"/>
    </i>
    <i>
      <x v="565"/>
      <x v="171"/>
    </i>
    <i r="1">
      <x v="167"/>
    </i>
    <i t="default">
      <x v="565"/>
    </i>
    <i>
      <x v="55"/>
      <x v="170"/>
    </i>
    <i r="1">
      <x v="127"/>
    </i>
    <i t="default">
      <x v="55"/>
    </i>
    <i>
      <x v="573"/>
      <x v="171"/>
    </i>
    <i r="1">
      <x v="167"/>
    </i>
    <i t="default">
      <x v="573"/>
    </i>
    <i>
      <x v="283"/>
      <x v="171"/>
    </i>
    <i r="1">
      <x v="167"/>
    </i>
    <i t="default">
      <x v="283"/>
    </i>
    <i>
      <x v="582"/>
      <x v="171"/>
    </i>
    <i r="1">
      <x v="167"/>
    </i>
    <i t="default">
      <x v="582"/>
    </i>
    <i>
      <x v="164"/>
      <x v="100"/>
    </i>
    <i r="1">
      <x v="69"/>
    </i>
    <i t="default">
      <x v="164"/>
    </i>
    <i>
      <x v="591"/>
      <x v="171"/>
    </i>
    <i r="1">
      <x v="167"/>
    </i>
    <i t="default">
      <x v="591"/>
    </i>
    <i>
      <x v="288"/>
      <x v="132"/>
    </i>
    <i t="default">
      <x v="288"/>
    </i>
    <i>
      <x v="599"/>
      <x v="171"/>
    </i>
    <i r="1">
      <x v="167"/>
    </i>
    <i t="default">
      <x v="599"/>
    </i>
    <i>
      <x v="292"/>
      <x v="164"/>
    </i>
    <i r="1">
      <x v="129"/>
    </i>
    <i t="default">
      <x v="292"/>
    </i>
    <i>
      <x v="607"/>
      <x v="172"/>
    </i>
    <i r="1">
      <x v="167"/>
    </i>
    <i t="default">
      <x v="607"/>
    </i>
    <i>
      <x v="293"/>
      <x v="164"/>
    </i>
    <i r="1">
      <x v="130"/>
    </i>
    <i t="default">
      <x v="293"/>
    </i>
    <i>
      <x v="538"/>
      <x v="174"/>
    </i>
    <i r="1">
      <x v="167"/>
    </i>
    <i t="default">
      <x v="538"/>
    </i>
    <i>
      <x v="294"/>
      <x v="129"/>
    </i>
    <i r="1">
      <x v="126"/>
    </i>
    <i t="default">
      <x v="294"/>
    </i>
    <i>
      <x v="543"/>
      <x v="174"/>
    </i>
    <i r="1">
      <x v="167"/>
    </i>
    <i t="default">
      <x v="543"/>
    </i>
    <i>
      <x v="297"/>
      <x v="165"/>
    </i>
    <i r="1">
      <x v="123"/>
    </i>
    <i t="default">
      <x v="297"/>
    </i>
    <i>
      <x v="547"/>
      <x v="172"/>
    </i>
    <i r="1">
      <x v="167"/>
    </i>
    <i t="default">
      <x v="547"/>
    </i>
    <i>
      <x v="298"/>
      <x v="165"/>
    </i>
    <i r="1">
      <x v="123"/>
    </i>
    <i t="default">
      <x v="298"/>
    </i>
    <i>
      <x v="551"/>
      <x v="171"/>
    </i>
    <i r="1">
      <x v="167"/>
    </i>
    <i t="default">
      <x v="551"/>
    </i>
    <i>
      <x v="299"/>
      <x v="165"/>
    </i>
    <i r="1">
      <x v="123"/>
    </i>
    <i t="default">
      <x v="299"/>
    </i>
    <i>
      <x v="555"/>
      <x v="171"/>
    </i>
    <i r="1">
      <x v="167"/>
    </i>
    <i t="default">
      <x v="555"/>
    </i>
    <i>
      <x v="300"/>
      <x v="133"/>
    </i>
    <i r="1">
      <x v="130"/>
    </i>
    <i t="default">
      <x v="300"/>
    </i>
    <i>
      <x v="559"/>
      <x v="171"/>
    </i>
    <i r="1">
      <x v="167"/>
    </i>
    <i t="default">
      <x v="559"/>
    </i>
    <i>
      <x v="179"/>
      <x v="168"/>
    </i>
    <i t="default">
      <x v="179"/>
    </i>
    <i>
      <x v="563"/>
      <x v="171"/>
    </i>
    <i r="1">
      <x v="167"/>
    </i>
    <i t="default">
      <x v="563"/>
    </i>
    <i>
      <x v="236"/>
      <x v="64"/>
    </i>
    <i r="1">
      <x v="37"/>
    </i>
    <i t="default">
      <x v="236"/>
    </i>
    <i>
      <x v="567"/>
      <x v="171"/>
    </i>
    <i r="1">
      <x v="167"/>
    </i>
    <i t="default">
      <x v="567"/>
    </i>
    <i>
      <x v="399"/>
      <x v="164"/>
    </i>
    <i r="1">
      <x v="132"/>
    </i>
    <i t="default">
      <x v="399"/>
    </i>
    <i>
      <x v="571"/>
      <x v="171"/>
    </i>
    <i r="1">
      <x v="167"/>
    </i>
    <i t="default">
      <x v="571"/>
    </i>
    <i>
      <x v="238"/>
      <x v="94"/>
    </i>
    <i r="1">
      <x v="85"/>
    </i>
    <i t="default">
      <x v="238"/>
    </i>
    <i>
      <x v="575"/>
      <x v="171"/>
    </i>
    <i r="1">
      <x v="167"/>
    </i>
    <i t="default">
      <x v="575"/>
    </i>
    <i>
      <x v="406"/>
      <x v="149"/>
    </i>
    <i r="1">
      <x v="137"/>
    </i>
    <i t="default">
      <x v="406"/>
    </i>
    <i>
      <x v="579"/>
      <x v="171"/>
    </i>
    <i r="1">
      <x v="167"/>
    </i>
    <i t="default">
      <x v="579"/>
    </i>
    <i>
      <x v="240"/>
      <x v="6"/>
    </i>
    <i r="1">
      <x v="3"/>
    </i>
    <i t="default">
      <x v="240"/>
    </i>
    <i>
      <x v="584"/>
      <x v="171"/>
    </i>
    <i r="1">
      <x v="167"/>
    </i>
    <i t="default">
      <x v="584"/>
    </i>
    <i>
      <x v="410"/>
      <x v="149"/>
    </i>
    <i r="1">
      <x v="137"/>
    </i>
    <i t="default">
      <x v="410"/>
    </i>
    <i>
      <x v="589"/>
      <x v="171"/>
    </i>
    <i r="1">
      <x v="167"/>
    </i>
    <i t="default">
      <x v="589"/>
    </i>
    <i>
      <x v="413"/>
      <x v="165"/>
    </i>
    <i r="1">
      <x v="140"/>
    </i>
    <i t="default">
      <x v="413"/>
    </i>
    <i>
      <x v="593"/>
      <x v="171"/>
    </i>
    <i r="1">
      <x v="167"/>
    </i>
    <i t="default">
      <x v="593"/>
    </i>
    <i>
      <x v="418"/>
      <x v="151"/>
    </i>
    <i r="1">
      <x v="143"/>
    </i>
    <i t="default">
      <x v="418"/>
    </i>
    <i>
      <x v="597"/>
      <x v="171"/>
    </i>
    <i r="1">
      <x v="167"/>
    </i>
    <i t="default">
      <x v="597"/>
    </i>
    <i>
      <x v="57"/>
      <x v="170"/>
    </i>
    <i r="1">
      <x v="124"/>
    </i>
    <i t="default">
      <x v="57"/>
    </i>
    <i>
      <x v="601"/>
      <x v="171"/>
    </i>
    <i r="1">
      <x v="167"/>
    </i>
    <i t="default">
      <x v="601"/>
    </i>
    <i>
      <x v="427"/>
      <x v="171"/>
    </i>
    <i r="1">
      <x v="149"/>
    </i>
    <i t="default">
      <x v="427"/>
    </i>
    <i>
      <x v="605"/>
      <x v="172"/>
    </i>
    <i r="1">
      <x v="167"/>
    </i>
    <i t="default">
      <x v="605"/>
    </i>
    <i>
      <x v="428"/>
      <x v="171"/>
    </i>
    <i r="1">
      <x v="149"/>
    </i>
    <i t="default">
      <x v="428"/>
    </i>
    <i>
      <x v="185"/>
      <x v="174"/>
    </i>
    <i r="1">
      <x v="167"/>
    </i>
    <i t="default">
      <x v="185"/>
    </i>
    <i>
      <x v="429"/>
      <x v="171"/>
    </i>
    <i r="1">
      <x v="149"/>
    </i>
    <i t="default">
      <x v="429"/>
    </i>
    <i>
      <x v="537"/>
      <x v="174"/>
    </i>
    <i r="1">
      <x v="167"/>
    </i>
    <i t="default">
      <x v="537"/>
    </i>
    <i>
      <x v="430"/>
      <x v="171"/>
    </i>
    <i r="1">
      <x v="149"/>
    </i>
    <i t="default">
      <x v="430"/>
    </i>
    <i>
      <x v="539"/>
      <x v="174"/>
    </i>
    <i r="1">
      <x v="167"/>
    </i>
    <i t="default">
      <x v="539"/>
    </i>
    <i>
      <x v="431"/>
      <x v="171"/>
    </i>
    <i r="1">
      <x v="149"/>
    </i>
    <i t="default">
      <x v="431"/>
    </i>
    <i>
      <x v="542"/>
      <x v="174"/>
    </i>
    <i r="1">
      <x v="167"/>
    </i>
    <i t="default">
      <x v="542"/>
    </i>
    <i>
      <x v="181"/>
      <x v="174"/>
    </i>
    <i r="1">
      <x v="169"/>
    </i>
    <i t="default">
      <x v="181"/>
    </i>
    <i>
      <x v="544"/>
      <x v="174"/>
    </i>
    <i r="1">
      <x v="167"/>
    </i>
    <i t="default">
      <x v="544"/>
    </i>
    <i>
      <x v="433"/>
      <x v="170"/>
    </i>
    <i r="1">
      <x v="149"/>
    </i>
    <i t="default">
      <x v="433"/>
    </i>
    <i>
      <x v="546"/>
      <x v="172"/>
    </i>
    <i r="1">
      <x v="167"/>
    </i>
    <i t="default">
      <x v="546"/>
    </i>
    <i>
      <x v="434"/>
      <x v="170"/>
    </i>
    <i r="1">
      <x v="149"/>
    </i>
    <i t="default">
      <x v="434"/>
    </i>
    <i>
      <x v="548"/>
      <x v="171"/>
    </i>
    <i r="1">
      <x v="167"/>
    </i>
    <i t="default">
      <x v="548"/>
    </i>
    <i>
      <x v="182"/>
      <x v="174"/>
    </i>
    <i r="1">
      <x v="167"/>
    </i>
    <i t="default">
      <x v="182"/>
    </i>
    <i>
      <x v="550"/>
      <x v="171"/>
    </i>
    <i r="1">
      <x v="167"/>
    </i>
    <i t="default">
      <x v="550"/>
    </i>
    <i>
      <x v="183"/>
      <x v="174"/>
    </i>
    <i r="1">
      <x v="167"/>
    </i>
    <i t="default">
      <x v="183"/>
    </i>
    <i>
      <x v="552"/>
      <x v="171"/>
    </i>
    <i r="1">
      <x v="167"/>
    </i>
    <i t="default">
      <x v="552"/>
    </i>
    <i>
      <x v="253"/>
      <x v="97"/>
    </i>
    <i r="1">
      <x v="93"/>
    </i>
    <i t="default">
      <x v="253"/>
    </i>
    <i>
      <x v="554"/>
      <x v="171"/>
    </i>
    <i r="1">
      <x v="167"/>
    </i>
    <i t="default">
      <x v="554"/>
    </i>
    <i>
      <x v="438"/>
      <x v="164"/>
    </i>
    <i r="1">
      <x v="146"/>
    </i>
    <i t="default">
      <x v="438"/>
    </i>
    <i>
      <x v="556"/>
      <x v="171"/>
    </i>
    <i r="1">
      <x v="167"/>
    </i>
    <i t="default">
      <x v="556"/>
    </i>
    <i>
      <x v="454"/>
      <x v="164"/>
    </i>
    <i r="1">
      <x v="154"/>
    </i>
    <i t="default">
      <x v="454"/>
    </i>
    <i>
      <x v="558"/>
      <x v="171"/>
    </i>
    <i r="1">
      <x v="167"/>
    </i>
    <i t="default">
      <x v="558"/>
    </i>
    <i>
      <x v="458"/>
      <x v="170"/>
    </i>
    <i r="1">
      <x v="153"/>
    </i>
    <i t="default">
      <x v="458"/>
    </i>
    <i>
      <x v="560"/>
      <x v="171"/>
    </i>
    <i r="1">
      <x v="167"/>
    </i>
    <i t="default">
      <x v="560"/>
    </i>
    <i>
      <x v="184"/>
      <x v="174"/>
    </i>
    <i r="1">
      <x v="167"/>
    </i>
    <i t="default">
      <x v="184"/>
    </i>
    <i>
      <x v="562"/>
      <x v="171"/>
    </i>
    <i r="1">
      <x v="167"/>
    </i>
    <i t="default">
      <x v="562"/>
    </i>
    <i>
      <x v="464"/>
      <x v="164"/>
    </i>
    <i r="1">
      <x v="152"/>
    </i>
    <i t="default">
      <x v="464"/>
    </i>
    <i>
      <x v="564"/>
      <x v="171"/>
    </i>
    <i r="1">
      <x v="167"/>
    </i>
    <i t="default">
      <x v="564"/>
    </i>
    <i>
      <x v="465"/>
      <x v="164"/>
    </i>
    <i r="1">
      <x v="152"/>
    </i>
    <i t="default">
      <x v="465"/>
    </i>
    <i>
      <x v="566"/>
      <x v="171"/>
    </i>
    <i r="1">
      <x v="167"/>
    </i>
    <i t="default">
      <x v="566"/>
    </i>
    <i>
      <x v="466"/>
      <x v="164"/>
    </i>
    <i r="1">
      <x v="152"/>
    </i>
    <i t="default">
      <x v="466"/>
    </i>
    <i>
      <x v="568"/>
      <x v="171"/>
    </i>
    <i r="1">
      <x v="167"/>
    </i>
    <i t="default">
      <x v="568"/>
    </i>
    <i>
      <x v="469"/>
      <x v="164"/>
    </i>
    <i r="1">
      <x v="152"/>
    </i>
    <i t="default">
      <x v="469"/>
    </i>
    <i>
      <x v="570"/>
      <x v="171"/>
    </i>
    <i r="1">
      <x v="167"/>
    </i>
    <i t="default">
      <x v="570"/>
    </i>
    <i>
      <x v="609"/>
      <x v="172"/>
    </i>
    <i r="1">
      <x v="166"/>
    </i>
    <i t="default">
      <x v="609"/>
    </i>
    <i>
      <x v="50"/>
      <x v="149"/>
    </i>
    <i r="1">
      <x v="128"/>
    </i>
    <i t="default">
      <x v="50"/>
    </i>
    <i>
      <x v="610"/>
      <x v="172"/>
    </i>
    <i r="1">
      <x v="166"/>
    </i>
    <i t="default">
      <x v="610"/>
    </i>
    <i>
      <x v="574"/>
      <x v="171"/>
    </i>
    <i r="1">
      <x v="167"/>
    </i>
    <i t="default">
      <x v="574"/>
    </i>
    <i>
      <x v="612"/>
      <x v="172"/>
    </i>
    <i r="1">
      <x v="166"/>
    </i>
    <i t="default">
      <x v="612"/>
    </i>
    <i>
      <x v="576"/>
      <x v="171"/>
    </i>
    <i r="1">
      <x v="167"/>
    </i>
    <i t="default">
      <x v="576"/>
    </i>
    <i>
      <x v="614"/>
      <x v="172"/>
    </i>
    <i r="1">
      <x v="166"/>
    </i>
    <i t="default">
      <x v="614"/>
    </i>
    <i>
      <x v="578"/>
      <x v="171"/>
    </i>
    <i r="1">
      <x v="167"/>
    </i>
    <i t="default">
      <x v="578"/>
    </i>
    <i>
      <x v="616"/>
      <x v="172"/>
    </i>
    <i r="1">
      <x v="166"/>
    </i>
    <i t="default">
      <x v="616"/>
    </i>
    <i>
      <x v="581"/>
      <x v="171"/>
    </i>
    <i r="1">
      <x v="167"/>
    </i>
    <i t="default">
      <x v="581"/>
    </i>
    <i>
      <x v="619"/>
      <x v="172"/>
    </i>
    <i r="1">
      <x v="166"/>
    </i>
    <i t="default">
      <x v="619"/>
    </i>
    <i>
      <x v="583"/>
      <x v="171"/>
    </i>
    <i r="1">
      <x v="167"/>
    </i>
    <i t="default">
      <x v="583"/>
    </i>
    <i>
      <x v="622"/>
      <x v="172"/>
    </i>
    <i r="1">
      <x v="166"/>
    </i>
    <i t="default">
      <x v="622"/>
    </i>
    <i>
      <x v="585"/>
      <x v="171"/>
    </i>
    <i r="1">
      <x v="167"/>
    </i>
    <i t="default">
      <x v="585"/>
    </i>
    <i>
      <x v="495"/>
      <x v="164"/>
    </i>
    <i r="1">
      <x v="159"/>
    </i>
    <i t="default">
      <x v="495"/>
    </i>
    <i>
      <x v="587"/>
      <x v="171"/>
    </i>
    <i r="1">
      <x v="167"/>
    </i>
    <i t="default">
      <x v="587"/>
    </i>
    <i>
      <x v="496"/>
      <x v="165"/>
    </i>
    <i r="1">
      <x v="159"/>
    </i>
    <i t="default">
      <x v="496"/>
    </i>
    <i>
      <x v="590"/>
      <x v="171"/>
    </i>
    <i r="1">
      <x v="167"/>
    </i>
    <i t="default">
      <x v="590"/>
    </i>
    <i>
      <x v="525"/>
      <x v="174"/>
    </i>
    <i r="1">
      <x v="167"/>
    </i>
    <i t="default">
      <x v="525"/>
    </i>
    <i>
      <x v="592"/>
      <x v="171"/>
    </i>
    <i r="1">
      <x v="167"/>
    </i>
    <i t="default">
      <x v="592"/>
    </i>
    <i>
      <x v="526"/>
      <x v="174"/>
    </i>
    <i r="1">
      <x v="167"/>
    </i>
    <i t="default">
      <x v="526"/>
    </i>
    <i>
      <x v="594"/>
      <x v="171"/>
    </i>
    <i r="1">
      <x v="167"/>
    </i>
    <i t="default">
      <x v="594"/>
    </i>
    <i>
      <x v="527"/>
      <x v="174"/>
    </i>
    <i r="1">
      <x v="167"/>
    </i>
    <i t="default">
      <x v="527"/>
    </i>
    <i>
      <x v="596"/>
      <x v="171"/>
    </i>
    <i r="1">
      <x v="167"/>
    </i>
    <i t="default">
      <x v="596"/>
    </i>
    <i>
      <x v="528"/>
      <x v="174"/>
    </i>
    <i r="1">
      <x v="167"/>
    </i>
    <i t="default">
      <x v="528"/>
    </i>
    <i>
      <x v="598"/>
      <x v="171"/>
    </i>
    <i r="1">
      <x v="167"/>
    </i>
    <i t="default">
      <x v="598"/>
    </i>
    <i>
      <x v="529"/>
      <x v="174"/>
    </i>
    <i r="1">
      <x v="167"/>
    </i>
    <i t="default">
      <x v="529"/>
    </i>
    <i>
      <x v="600"/>
      <x v="171"/>
    </i>
    <i r="1">
      <x v="167"/>
    </i>
    <i t="default">
      <x v="600"/>
    </i>
    <i>
      <x v="530"/>
      <x v="174"/>
    </i>
    <i r="1">
      <x v="167"/>
    </i>
    <i t="default">
      <x v="530"/>
    </i>
    <i>
      <x v="602"/>
      <x v="171"/>
    </i>
    <i r="1">
      <x v="167"/>
    </i>
    <i t="default">
      <x v="602"/>
    </i>
    <i>
      <x v="531"/>
      <x v="174"/>
    </i>
    <i r="1">
      <x v="167"/>
    </i>
    <i t="default">
      <x v="531"/>
    </i>
    <i>
      <x v="604"/>
      <x v="171"/>
    </i>
    <i r="1">
      <x v="167"/>
    </i>
    <i t="default">
      <x v="604"/>
    </i>
    <i>
      <x v="532"/>
      <x v="174"/>
    </i>
    <i r="1">
      <x v="167"/>
    </i>
    <i t="default">
      <x v="532"/>
    </i>
    <i>
      <x v="606"/>
      <x v="172"/>
    </i>
    <i r="1">
      <x v="167"/>
    </i>
    <i t="default">
      <x v="606"/>
    </i>
    <i>
      <x v="533"/>
      <x v="174"/>
    </i>
    <i r="1">
      <x v="167"/>
    </i>
    <i t="default">
      <x v="533"/>
    </i>
    <i>
      <x v="608"/>
      <x v="172"/>
    </i>
    <i r="1">
      <x v="166"/>
    </i>
    <i t="default">
      <x v="608"/>
    </i>
    <i>
      <x v="534"/>
      <x v="174"/>
    </i>
    <i r="1">
      <x v="167"/>
    </i>
    <i t="default">
      <x v="534"/>
    </i>
    <i>
      <x v="535"/>
      <x v="174"/>
    </i>
    <i r="1">
      <x v="167"/>
    </i>
    <i t="default">
      <x v="535"/>
    </i>
    <i>
      <x v="611"/>
      <x v="172"/>
    </i>
    <i r="1">
      <x v="166"/>
    </i>
    <i t="default">
      <x v="611"/>
    </i>
    <i>
      <x v="489"/>
      <x v="165"/>
    </i>
    <i r="1">
      <x v="157"/>
    </i>
    <i t="default">
      <x v="489"/>
    </i>
    <i>
      <x v="613"/>
      <x v="172"/>
    </i>
    <i r="1">
      <x v="166"/>
    </i>
    <i t="default">
      <x v="613"/>
    </i>
    <i>
      <x v="490"/>
      <x v="165"/>
    </i>
    <i r="1">
      <x v="157"/>
    </i>
    <i t="default">
      <x v="490"/>
    </i>
    <i>
      <x v="615"/>
      <x v="172"/>
    </i>
    <i r="1">
      <x v="166"/>
    </i>
    <i t="default">
      <x v="615"/>
    </i>
    <i>
      <x v="491"/>
      <x v="165"/>
    </i>
    <i r="1">
      <x v="159"/>
    </i>
    <i t="default">
      <x v="491"/>
    </i>
    <i>
      <x v="617"/>
      <x v="172"/>
    </i>
    <i r="1">
      <x v="166"/>
    </i>
    <i t="default">
      <x v="617"/>
    </i>
    <i>
      <x v="492"/>
      <x v="164"/>
    </i>
    <i r="1">
      <x v="159"/>
    </i>
    <i t="default">
      <x v="492"/>
    </i>
    <i>
      <x v="620"/>
      <x v="172"/>
    </i>
    <i r="1">
      <x v="166"/>
    </i>
    <i t="default">
      <x v="620"/>
    </i>
    <i>
      <x v="493"/>
      <x v="164"/>
    </i>
    <i r="1">
      <x v="159"/>
    </i>
    <i t="default">
      <x v="493"/>
    </i>
    <i>
      <x v="715"/>
      <x v="164"/>
    </i>
    <i t="default">
      <x v="715"/>
    </i>
    <i>
      <x v="494"/>
      <x v="164"/>
    </i>
    <i r="1">
      <x v="159"/>
    </i>
    <i t="default">
      <x v="494"/>
    </i>
    <i>
      <x v="572"/>
      <x v="171"/>
    </i>
    <i r="1">
      <x v="167"/>
    </i>
    <i t="default">
      <x v="572"/>
    </i>
    <i>
      <x v="817"/>
      <x v="172"/>
    </i>
    <i t="default">
      <x v="817"/>
    </i>
    <i>
      <x v="713"/>
      <x v="164"/>
    </i>
    <i t="default">
      <x v="713"/>
    </i>
    <i>
      <x v="681"/>
      <x v="164"/>
    </i>
    <i t="default">
      <x v="681"/>
    </i>
    <i>
      <x v="260"/>
      <x v="57"/>
    </i>
    <i t="default">
      <x v="260"/>
    </i>
    <i>
      <x v="785"/>
      <x v="172"/>
    </i>
    <i t="default">
      <x v="785"/>
    </i>
    <i>
      <x v="261"/>
      <x v="87"/>
    </i>
    <i t="default">
      <x v="261"/>
    </i>
    <i>
      <x v="849"/>
      <x v="174"/>
    </i>
    <i t="default">
      <x v="849"/>
    </i>
    <i>
      <x v="524"/>
      <x v="161"/>
    </i>
    <i t="default">
      <x v="524"/>
    </i>
    <i>
      <x v="697"/>
      <x v="164"/>
    </i>
    <i t="default">
      <x v="697"/>
    </i>
    <i>
      <x v="262"/>
      <x v="86"/>
    </i>
    <i t="default">
      <x v="262"/>
    </i>
    <i>
      <x v="766"/>
      <x v="171"/>
    </i>
    <i t="default">
      <x v="766"/>
    </i>
    <i>
      <x v="263"/>
      <x v="62"/>
    </i>
    <i t="default">
      <x v="263"/>
    </i>
    <i>
      <x v="801"/>
      <x v="172"/>
    </i>
    <i t="default">
      <x v="801"/>
    </i>
    <i>
      <x v="264"/>
      <x v="2"/>
    </i>
    <i t="default">
      <x v="264"/>
    </i>
    <i>
      <x v="833"/>
      <x v="172"/>
    </i>
    <i t="default">
      <x v="833"/>
    </i>
    <i>
      <x v="265"/>
      <x v="87"/>
    </i>
    <i t="default">
      <x v="265"/>
    </i>
    <i>
      <x v="673"/>
      <x v="165"/>
    </i>
    <i t="default">
      <x v="673"/>
    </i>
    <i>
      <x v="266"/>
      <x v="96"/>
    </i>
    <i t="default">
      <x v="266"/>
    </i>
    <i>
      <x v="689"/>
      <x v="164"/>
    </i>
    <i t="default">
      <x v="689"/>
    </i>
    <i>
      <x v="267"/>
      <x v="86"/>
    </i>
    <i t="default">
      <x v="267"/>
    </i>
    <i>
      <x v="705"/>
      <x v="164"/>
    </i>
    <i t="default">
      <x v="705"/>
    </i>
    <i>
      <x v="268"/>
      <x v="40"/>
    </i>
    <i t="default">
      <x v="268"/>
    </i>
    <i>
      <x v="721"/>
      <x v="170"/>
    </i>
    <i t="default">
      <x v="721"/>
    </i>
    <i>
      <x v="269"/>
      <x v="2"/>
    </i>
    <i t="default">
      <x v="269"/>
    </i>
    <i>
      <x v="774"/>
      <x v="171"/>
    </i>
    <i t="default">
      <x v="774"/>
    </i>
    <i>
      <x v="73"/>
      <x v="123"/>
    </i>
    <i t="default">
      <x v="73"/>
    </i>
    <i>
      <x v="793"/>
      <x v="172"/>
    </i>
    <i t="default">
      <x v="793"/>
    </i>
    <i>
      <x v="74"/>
      <x v="123"/>
    </i>
    <i t="default">
      <x v="74"/>
    </i>
    <i>
      <x v="809"/>
      <x v="172"/>
    </i>
    <i t="default">
      <x v="809"/>
    </i>
    <i>
      <x v="52"/>
      <x v="159"/>
    </i>
    <i t="default">
      <x v="52"/>
    </i>
    <i>
      <x v="825"/>
      <x v="172"/>
    </i>
    <i t="default">
      <x v="825"/>
    </i>
    <i>
      <x v="77"/>
      <x v="124"/>
    </i>
    <i t="default">
      <x v="77"/>
    </i>
    <i>
      <x v="841"/>
      <x v="172"/>
    </i>
    <i t="default">
      <x v="841"/>
    </i>
    <i>
      <x v="58"/>
      <x v="170"/>
    </i>
    <i t="default">
      <x v="58"/>
    </i>
    <i>
      <x v="669"/>
      <x v="165"/>
    </i>
    <i t="default">
      <x v="669"/>
    </i>
    <i>
      <x v="186"/>
      <x v="174"/>
    </i>
    <i t="default">
      <x v="186"/>
    </i>
    <i>
      <x v="677"/>
      <x v="164"/>
    </i>
    <i t="default">
      <x v="677"/>
    </i>
    <i>
      <x v="276"/>
      <x v="1"/>
    </i>
    <i t="default">
      <x v="276"/>
    </i>
    <i>
      <x v="685"/>
      <x v="164"/>
    </i>
    <i t="default">
      <x v="685"/>
    </i>
    <i>
      <x v="540"/>
      <x v="167"/>
    </i>
    <i t="default">
      <x v="540"/>
    </i>
    <i>
      <x v="693"/>
      <x v="164"/>
    </i>
    <i t="default">
      <x v="693"/>
    </i>
    <i>
      <x v="79"/>
      <x v="149"/>
    </i>
    <i t="default">
      <x v="79"/>
    </i>
    <i>
      <x v="701"/>
      <x v="164"/>
    </i>
    <i t="default">
      <x v="701"/>
    </i>
    <i>
      <x v="188"/>
      <x v="174"/>
    </i>
    <i t="default">
      <x v="188"/>
    </i>
    <i>
      <x v="709"/>
      <x v="164"/>
    </i>
    <i t="default">
      <x v="709"/>
    </i>
    <i>
      <x v="53"/>
      <x v="153"/>
    </i>
    <i t="default">
      <x v="53"/>
    </i>
    <i>
      <x v="717"/>
      <x v="170"/>
    </i>
    <i t="default">
      <x v="717"/>
    </i>
    <i>
      <x v="190"/>
      <x v="167"/>
    </i>
    <i t="default">
      <x v="190"/>
    </i>
    <i>
      <x v="725"/>
      <x v="170"/>
    </i>
    <i t="default">
      <x v="725"/>
    </i>
    <i>
      <x v="136"/>
      <x v="68"/>
    </i>
    <i t="default">
      <x v="136"/>
    </i>
    <i>
      <x v="770"/>
      <x v="171"/>
    </i>
    <i t="default">
      <x v="770"/>
    </i>
    <i>
      <x v="282"/>
      <x v="89"/>
    </i>
    <i t="default">
      <x v="282"/>
    </i>
    <i>
      <x v="781"/>
      <x v="174"/>
    </i>
    <i t="default">
      <x v="781"/>
    </i>
    <i>
      <x v="194"/>
      <x v="172"/>
    </i>
    <i t="default">
      <x v="194"/>
    </i>
    <i>
      <x v="789"/>
      <x v="172"/>
    </i>
    <i t="default">
      <x v="789"/>
    </i>
    <i>
      <x v="197"/>
      <x v="172"/>
    </i>
    <i t="default">
      <x v="197"/>
    </i>
    <i>
      <x v="797"/>
      <x v="172"/>
    </i>
    <i t="default">
      <x v="797"/>
    </i>
    <i>
      <x v="285"/>
      <x v="88"/>
    </i>
    <i t="default">
      <x v="285"/>
    </i>
    <i>
      <x v="805"/>
      <x v="172"/>
    </i>
    <i t="default">
      <x v="805"/>
    </i>
    <i>
      <x v="286"/>
      <x v="166"/>
    </i>
    <i t="default">
      <x v="286"/>
    </i>
    <i>
      <x v="813"/>
      <x v="172"/>
    </i>
    <i t="default">
      <x v="813"/>
    </i>
    <i>
      <x v="199"/>
      <x v="172"/>
    </i>
    <i t="default">
      <x v="199"/>
    </i>
    <i>
      <x v="821"/>
      <x v="172"/>
    </i>
    <i t="default">
      <x v="821"/>
    </i>
    <i>
      <x v="289"/>
      <x v="134"/>
    </i>
    <i t="default">
      <x v="289"/>
    </i>
    <i>
      <x v="829"/>
      <x v="172"/>
    </i>
    <i t="default">
      <x v="829"/>
    </i>
    <i>
      <x v="291"/>
      <x v="126"/>
    </i>
    <i t="default">
      <x v="291"/>
    </i>
    <i>
      <x v="837"/>
      <x v="172"/>
    </i>
    <i t="default">
      <x v="837"/>
    </i>
    <i>
      <x v="200"/>
      <x v="172"/>
    </i>
    <i t="default">
      <x v="200"/>
    </i>
    <i>
      <x v="845"/>
      <x v="172"/>
    </i>
    <i t="default">
      <x v="845"/>
    </i>
    <i>
      <x v="201"/>
      <x v="172"/>
    </i>
    <i t="default">
      <x v="201"/>
    </i>
    <i>
      <x v="853"/>
      <x v="174"/>
    </i>
    <i t="default">
      <x v="853"/>
    </i>
    <i>
      <x v="202"/>
      <x v="172"/>
    </i>
    <i t="default">
      <x v="202"/>
    </i>
    <i>
      <x v="671"/>
      <x v="165"/>
    </i>
    <i t="default">
      <x v="671"/>
    </i>
    <i>
      <x v="138"/>
      <x v="76"/>
    </i>
    <i t="default">
      <x v="138"/>
    </i>
    <i>
      <x v="675"/>
      <x v="165"/>
    </i>
    <i t="default">
      <x v="675"/>
    </i>
    <i>
      <x v="209"/>
      <x v="70"/>
    </i>
    <i t="default">
      <x v="209"/>
    </i>
    <i>
      <x v="679"/>
      <x v="164"/>
    </i>
    <i t="default">
      <x v="679"/>
    </i>
    <i>
      <x v="210"/>
      <x v="70"/>
    </i>
    <i t="default">
      <x v="210"/>
    </i>
    <i>
      <x v="683"/>
      <x v="164"/>
    </i>
    <i t="default">
      <x v="683"/>
    </i>
    <i>
      <x v="211"/>
      <x v="70"/>
    </i>
    <i t="default">
      <x v="211"/>
    </i>
    <i>
      <x v="687"/>
      <x v="164"/>
    </i>
    <i t="default">
      <x v="687"/>
    </i>
    <i>
      <x v="304"/>
      <x v="135"/>
    </i>
    <i t="default">
      <x v="304"/>
    </i>
    <i>
      <x v="691"/>
      <x v="164"/>
    </i>
    <i t="default">
      <x v="691"/>
    </i>
    <i>
      <x v="64"/>
      <x v="123"/>
    </i>
    <i t="default">
      <x v="64"/>
    </i>
    <i>
      <x v="695"/>
      <x v="164"/>
    </i>
    <i t="default">
      <x v="695"/>
    </i>
    <i>
      <x v="310"/>
      <x v="123"/>
    </i>
    <i t="default">
      <x v="310"/>
    </i>
    <i>
      <x v="699"/>
      <x v="164"/>
    </i>
    <i t="default">
      <x v="699"/>
    </i>
    <i>
      <x v="311"/>
      <x v="123"/>
    </i>
    <i t="default">
      <x v="311"/>
    </i>
    <i>
      <x v="703"/>
      <x v="164"/>
    </i>
    <i t="default">
      <x v="703"/>
    </i>
    <i>
      <x v="314"/>
      <x v="126"/>
    </i>
    <i t="default">
      <x v="314"/>
    </i>
    <i>
      <x v="707"/>
      <x v="164"/>
    </i>
    <i t="default">
      <x v="707"/>
    </i>
    <i>
      <x v="315"/>
      <x v="129"/>
    </i>
    <i t="default">
      <x v="315"/>
    </i>
    <i>
      <x v="711"/>
      <x v="164"/>
    </i>
    <i t="default">
      <x v="711"/>
    </i>
    <i>
      <x v="316"/>
      <x v="164"/>
    </i>
    <i t="default">
      <x v="316"/>
    </i>
    <i>
      <x v="68"/>
      <x v="153"/>
    </i>
    <i t="default">
      <x v="68"/>
    </i>
    <i>
      <x v="213"/>
      <x v="70"/>
    </i>
    <i t="default">
      <x v="213"/>
    </i>
    <i>
      <x v="719"/>
      <x v="170"/>
    </i>
    <i t="default">
      <x v="719"/>
    </i>
    <i>
      <x v="391"/>
      <x v="76"/>
    </i>
    <i t="default">
      <x v="391"/>
    </i>
    <i>
      <x v="723"/>
      <x v="170"/>
    </i>
    <i t="default">
      <x v="723"/>
    </i>
    <i>
      <x v="395"/>
      <x v="170"/>
    </i>
    <i t="default">
      <x v="395"/>
    </i>
    <i>
      <x v="727"/>
      <x v="171"/>
    </i>
    <i t="default">
      <x v="727"/>
    </i>
    <i>
      <x v="397"/>
      <x v="137"/>
    </i>
    <i t="default">
      <x v="397"/>
    </i>
    <i>
      <x v="768"/>
      <x v="171"/>
    </i>
    <i t="default">
      <x v="768"/>
    </i>
    <i>
      <x v="214"/>
      <x v="70"/>
    </i>
    <i t="default">
      <x v="214"/>
    </i>
    <i>
      <x v="772"/>
      <x v="171"/>
    </i>
    <i t="default">
      <x v="772"/>
    </i>
    <i>
      <x v="215"/>
      <x v="70"/>
    </i>
    <i t="default">
      <x v="215"/>
    </i>
    <i>
      <x v="779"/>
      <x v="174"/>
    </i>
    <i t="default">
      <x v="779"/>
    </i>
    <i>
      <x v="405"/>
      <x v="135"/>
    </i>
    <i t="default">
      <x v="405"/>
    </i>
    <i>
      <x v="783"/>
      <x v="172"/>
    </i>
    <i t="default">
      <x v="783"/>
    </i>
    <i>
      <x v="216"/>
      <x v="70"/>
    </i>
    <i t="default">
      <x v="216"/>
    </i>
    <i>
      <x v="787"/>
      <x v="172"/>
    </i>
    <i t="default">
      <x v="787"/>
    </i>
    <i>
      <x v="218"/>
      <x v="58"/>
    </i>
    <i t="default">
      <x v="218"/>
    </i>
    <i>
      <x v="791"/>
      <x v="172"/>
    </i>
    <i t="default">
      <x v="791"/>
    </i>
    <i>
      <x v="219"/>
      <x v="61"/>
    </i>
    <i t="default">
      <x v="219"/>
    </i>
    <i>
      <x v="795"/>
      <x v="172"/>
    </i>
    <i t="default">
      <x v="795"/>
    </i>
    <i>
      <x v="412"/>
      <x v="149"/>
    </i>
    <i t="default">
      <x v="412"/>
    </i>
    <i>
      <x v="799"/>
      <x v="172"/>
    </i>
    <i t="default">
      <x v="799"/>
    </i>
    <i>
      <x v="580"/>
      <x v="167"/>
    </i>
    <i t="default">
      <x v="580"/>
    </i>
    <i>
      <x v="803"/>
      <x v="172"/>
    </i>
    <i t="default">
      <x v="803"/>
    </i>
    <i>
      <x v="140"/>
      <x v="72"/>
    </i>
    <i t="default">
      <x v="140"/>
    </i>
    <i>
      <x v="807"/>
      <x v="172"/>
    </i>
    <i t="default">
      <x v="807"/>
    </i>
    <i>
      <x v="222"/>
      <x v="98"/>
    </i>
    <i t="default">
      <x v="222"/>
    </i>
    <i>
      <x v="811"/>
      <x v="172"/>
    </i>
    <i t="default">
      <x v="811"/>
    </i>
    <i>
      <x v="223"/>
      <x v="58"/>
    </i>
    <i t="default">
      <x v="223"/>
    </i>
    <i>
      <x v="815"/>
      <x v="172"/>
    </i>
    <i t="default">
      <x v="815"/>
    </i>
    <i>
      <x v="421"/>
      <x v="164"/>
    </i>
    <i t="default">
      <x v="421"/>
    </i>
    <i>
      <x v="819"/>
      <x v="172"/>
    </i>
    <i t="default">
      <x v="819"/>
    </i>
    <i>
      <x v="224"/>
      <x v="14"/>
    </i>
    <i t="default">
      <x v="224"/>
    </i>
    <i>
      <x v="823"/>
      <x v="172"/>
    </i>
    <i t="default">
      <x v="823"/>
    </i>
    <i>
      <x v="226"/>
      <x v="13"/>
    </i>
    <i t="default">
      <x v="226"/>
    </i>
    <i>
      <x v="827"/>
      <x v="172"/>
    </i>
    <i t="default">
      <x v="827"/>
    </i>
    <i>
      <x v="229"/>
      <x v="28"/>
    </i>
    <i t="default">
      <x v="229"/>
    </i>
    <i>
      <x v="831"/>
      <x v="172"/>
    </i>
    <i t="default">
      <x v="831"/>
    </i>
    <i>
      <x v="588"/>
      <x v="167"/>
    </i>
    <i t="default">
      <x v="588"/>
    </i>
    <i>
      <x v="835"/>
      <x v="172"/>
    </i>
    <i t="default">
      <x v="835"/>
    </i>
    <i>
      <x v="230"/>
      <x v="28"/>
    </i>
    <i t="default">
      <x v="230"/>
    </i>
    <i>
      <x v="839"/>
      <x v="172"/>
    </i>
    <i t="default">
      <x v="839"/>
    </i>
    <i>
      <x v="141"/>
      <x v="53"/>
    </i>
    <i t="default">
      <x v="141"/>
    </i>
    <i>
      <x v="843"/>
      <x v="172"/>
    </i>
    <i t="default">
      <x v="843"/>
    </i>
    <i>
      <x v="144"/>
      <x v="27"/>
    </i>
    <i t="default">
      <x v="144"/>
    </i>
    <i>
      <x v="847"/>
      <x v="172"/>
    </i>
    <i t="default">
      <x v="847"/>
    </i>
    <i>
      <x v="145"/>
      <x v="157"/>
    </i>
    <i t="default">
      <x v="145"/>
    </i>
    <i>
      <x v="851"/>
      <x v="174"/>
    </i>
    <i t="default">
      <x v="851"/>
    </i>
    <i>
      <x v="65"/>
      <x v="123"/>
    </i>
    <i t="default">
      <x v="65"/>
    </i>
    <i>
      <x v="668"/>
      <x v="165"/>
    </i>
    <i t="default">
      <x v="668"/>
    </i>
    <i>
      <x v="239"/>
      <x v="71"/>
    </i>
    <i t="default">
      <x v="239"/>
    </i>
    <i>
      <x v="670"/>
      <x v="165"/>
    </i>
    <i t="default">
      <x v="670"/>
    </i>
    <i>
      <x v="149"/>
      <x v="58"/>
    </i>
    <i t="default">
      <x v="149"/>
    </i>
    <i>
      <x v="672"/>
      <x v="165"/>
    </i>
    <i t="default">
      <x v="672"/>
    </i>
    <i>
      <x v="241"/>
      <x v="3"/>
    </i>
    <i t="default">
      <x v="241"/>
    </i>
    <i>
      <x v="674"/>
      <x v="165"/>
    </i>
    <i t="default">
      <x v="674"/>
    </i>
    <i>
      <x v="66"/>
      <x v="123"/>
    </i>
    <i t="default">
      <x v="66"/>
    </i>
    <i>
      <x v="676"/>
      <x v="165"/>
    </i>
    <i t="default">
      <x v="676"/>
    </i>
    <i>
      <x v="243"/>
      <x v="85"/>
    </i>
    <i t="default">
      <x v="243"/>
    </i>
    <i>
      <x v="678"/>
      <x v="164"/>
    </i>
    <i t="default">
      <x v="678"/>
    </i>
    <i>
      <x v="455"/>
      <x v="153"/>
    </i>
    <i t="default">
      <x v="455"/>
    </i>
    <i>
      <x v="680"/>
      <x v="164"/>
    </i>
    <i t="default">
      <x v="680"/>
    </i>
    <i>
      <x v="456"/>
      <x v="153"/>
    </i>
    <i t="default">
      <x v="456"/>
    </i>
    <i>
      <x v="682"/>
      <x v="164"/>
    </i>
    <i t="default">
      <x v="682"/>
    </i>
    <i>
      <x v="457"/>
      <x v="153"/>
    </i>
    <i t="default">
      <x v="457"/>
    </i>
    <i>
      <x v="684"/>
      <x v="164"/>
    </i>
    <i t="default">
      <x v="684"/>
    </i>
    <i>
      <x v="244"/>
      <x v="93"/>
    </i>
    <i t="default">
      <x v="244"/>
    </i>
    <i>
      <x v="686"/>
      <x v="164"/>
    </i>
    <i t="default">
      <x v="686"/>
    </i>
    <i>
      <x v="459"/>
      <x v="151"/>
    </i>
    <i t="default">
      <x v="459"/>
    </i>
    <i>
      <x v="688"/>
      <x v="164"/>
    </i>
    <i t="default">
      <x v="688"/>
    </i>
    <i>
      <x v="460"/>
      <x v="151"/>
    </i>
    <i t="default">
      <x v="460"/>
    </i>
    <i>
      <x v="690"/>
      <x v="164"/>
    </i>
    <i t="default">
      <x v="690"/>
    </i>
    <i>
      <x v="461"/>
      <x v="151"/>
    </i>
    <i t="default">
      <x v="461"/>
    </i>
    <i>
      <x v="692"/>
      <x v="164"/>
    </i>
    <i t="default">
      <x v="692"/>
    </i>
    <i>
      <x v="462"/>
      <x v="151"/>
    </i>
    <i t="default">
      <x v="462"/>
    </i>
    <i>
      <x v="694"/>
      <x v="164"/>
    </i>
    <i t="default">
      <x v="694"/>
    </i>
    <i>
      <x v="155"/>
      <x v="95"/>
    </i>
    <i t="default">
      <x v="155"/>
    </i>
    <i>
      <x v="696"/>
      <x v="164"/>
    </i>
    <i t="default">
      <x v="696"/>
    </i>
    <i>
      <x v="246"/>
      <x/>
    </i>
    <i t="default">
      <x v="246"/>
    </i>
    <i>
      <x v="698"/>
      <x v="164"/>
    </i>
    <i t="default">
      <x v="698"/>
    </i>
    <i>
      <x v="156"/>
      <x v="59"/>
    </i>
    <i t="default">
      <x v="156"/>
    </i>
    <i>
      <x v="700"/>
      <x v="164"/>
    </i>
    <i t="default">
      <x v="700"/>
    </i>
    <i>
      <x v="248"/>
      <x/>
    </i>
    <i t="default">
      <x v="248"/>
    </i>
    <i>
      <x v="702"/>
      <x v="164"/>
    </i>
    <i t="default">
      <x v="702"/>
    </i>
    <i>
      <x v="467"/>
      <x v="152"/>
    </i>
    <i t="default">
      <x v="467"/>
    </i>
    <i>
      <x v="704"/>
      <x v="164"/>
    </i>
    <i t="default">
      <x v="704"/>
    </i>
    <i>
      <x v="468"/>
      <x v="152"/>
    </i>
    <i t="default">
      <x v="468"/>
    </i>
    <i>
      <x v="706"/>
      <x v="164"/>
    </i>
    <i t="default">
      <x v="706"/>
    </i>
    <i>
      <x v="249"/>
      <x v="36"/>
    </i>
    <i t="default">
      <x v="249"/>
    </i>
    <i>
      <x v="708"/>
      <x v="164"/>
    </i>
    <i t="default">
      <x v="708"/>
    </i>
    <i>
      <x v="485"/>
      <x v="165"/>
    </i>
    <i t="default">
      <x v="485"/>
    </i>
    <i>
      <x v="710"/>
      <x v="164"/>
    </i>
    <i t="default">
      <x v="710"/>
    </i>
    <i>
      <x v="486"/>
      <x v="164"/>
    </i>
    <i t="default">
      <x v="486"/>
    </i>
    <i>
      <x v="712"/>
      <x v="164"/>
    </i>
    <i t="default">
      <x v="712"/>
    </i>
    <i>
      <x v="250"/>
      <x v="55"/>
    </i>
    <i t="default">
      <x v="250"/>
    </i>
    <i>
      <x v="714"/>
      <x v="164"/>
    </i>
    <i t="default">
      <x v="714"/>
    </i>
    <i>
      <x v="67"/>
      <x v="124"/>
    </i>
    <i t="default">
      <x v="67"/>
    </i>
    <i>
      <x v="716"/>
      <x v="164"/>
    </i>
    <i t="default">
      <x v="716"/>
    </i>
    <i>
      <x v="618"/>
      <x v="166"/>
    </i>
    <i t="default">
      <x v="618"/>
    </i>
    <i>
      <x v="718"/>
      <x v="170"/>
    </i>
    <i t="default">
      <x v="718"/>
    </i>
    <i>
      <x v="252"/>
      <x v="97"/>
    </i>
    <i t="default">
      <x v="252"/>
    </i>
    <i>
      <x v="720"/>
      <x v="170"/>
    </i>
    <i t="default">
      <x v="720"/>
    </i>
    <i>
      <x v="175"/>
      <x v="9"/>
    </i>
    <i t="default">
      <x v="175"/>
    </i>
    <i>
      <x v="722"/>
      <x v="170"/>
    </i>
    <i t="default">
      <x v="722"/>
    </i>
    <i>
      <x v="621"/>
      <x v="166"/>
    </i>
    <i t="default">
      <x v="621"/>
    </i>
    <i>
      <x v="724"/>
      <x v="170"/>
    </i>
    <i t="default">
      <x v="724"/>
    </i>
    <i>
      <x v="256"/>
      <x v="93"/>
    </i>
    <i t="default">
      <x v="256"/>
    </i>
    <i>
      <x v="726"/>
      <x v="170"/>
    </i>
    <i t="default">
      <x v="726"/>
    </i>
    <i>
      <x v="623"/>
      <x v="166"/>
    </i>
    <i t="default">
      <x v="623"/>
    </i>
    <i>
      <x v="765"/>
      <x v="171"/>
    </i>
    <i t="default">
      <x v="765"/>
    </i>
    <i>
      <x v="624"/>
      <x v="166"/>
    </i>
    <i t="default">
      <x v="624"/>
    </i>
    <i>
      <x v="767"/>
      <x v="171"/>
    </i>
    <i t="default">
      <x v="767"/>
    </i>
    <i>
      <x v="625"/>
      <x v="166"/>
    </i>
    <i t="default">
      <x v="625"/>
    </i>
    <i>
      <x v="769"/>
      <x v="171"/>
    </i>
    <i t="default">
      <x v="769"/>
    </i>
    <i>
      <x v="626"/>
      <x v="166"/>
    </i>
    <i t="default">
      <x v="626"/>
    </i>
    <i>
      <x v="771"/>
      <x v="171"/>
    </i>
    <i t="default">
      <x v="771"/>
    </i>
    <i>
      <x v="627"/>
      <x v="166"/>
    </i>
    <i t="default">
      <x v="627"/>
    </i>
    <i>
      <x v="773"/>
      <x v="171"/>
    </i>
    <i t="default">
      <x v="773"/>
    </i>
    <i>
      <x v="628"/>
      <x v="166"/>
    </i>
    <i t="default">
      <x v="628"/>
    </i>
    <i>
      <x v="775"/>
      <x v="171"/>
    </i>
    <i t="default">
      <x v="775"/>
    </i>
    <i>
      <x v="629"/>
      <x v="166"/>
    </i>
    <i t="default">
      <x v="629"/>
    </i>
    <i>
      <x v="780"/>
      <x v="174"/>
    </i>
    <i t="default">
      <x v="780"/>
    </i>
    <i>
      <x v="630"/>
      <x v="166"/>
    </i>
    <i t="default">
      <x v="630"/>
    </i>
    <i>
      <x v="782"/>
      <x v="172"/>
    </i>
    <i t="default">
      <x v="782"/>
    </i>
    <i>
      <x v="631"/>
      <x v="166"/>
    </i>
    <i t="default">
      <x v="631"/>
    </i>
    <i>
      <x v="784"/>
      <x v="172"/>
    </i>
    <i t="default">
      <x v="784"/>
    </i>
    <i>
      <x v="632"/>
      <x v="166"/>
    </i>
    <i t="default">
      <x v="632"/>
    </i>
    <i>
      <x v="786"/>
      <x v="172"/>
    </i>
    <i t="default">
      <x v="786"/>
    </i>
    <i>
      <x v="633"/>
      <x v="166"/>
    </i>
    <i t="default">
      <x v="633"/>
    </i>
    <i>
      <x v="788"/>
      <x v="172"/>
    </i>
    <i t="default">
      <x v="788"/>
    </i>
    <i>
      <x v="634"/>
      <x v="166"/>
    </i>
    <i t="default">
      <x v="634"/>
    </i>
    <i>
      <x v="790"/>
      <x v="172"/>
    </i>
    <i t="default">
      <x v="790"/>
    </i>
    <i>
      <x v="635"/>
      <x v="166"/>
    </i>
    <i t="default">
      <x v="635"/>
    </i>
    <i>
      <x v="792"/>
      <x v="172"/>
    </i>
    <i t="default">
      <x v="792"/>
    </i>
    <i>
      <x v="636"/>
      <x v="166"/>
    </i>
    <i t="default">
      <x v="636"/>
    </i>
    <i>
      <x v="794"/>
      <x v="172"/>
    </i>
    <i t="default">
      <x v="794"/>
    </i>
    <i>
      <x v="637"/>
      <x v="166"/>
    </i>
    <i t="default">
      <x v="637"/>
    </i>
    <i>
      <x v="796"/>
      <x v="172"/>
    </i>
    <i t="default">
      <x v="796"/>
    </i>
    <i>
      <x v="638"/>
      <x v="166"/>
    </i>
    <i t="default">
      <x v="638"/>
    </i>
    <i>
      <x v="798"/>
      <x v="172"/>
    </i>
    <i t="default">
      <x v="798"/>
    </i>
    <i>
      <x v="639"/>
      <x v="166"/>
    </i>
    <i t="default">
      <x v="639"/>
    </i>
    <i>
      <x v="800"/>
      <x v="172"/>
    </i>
    <i t="default">
      <x v="800"/>
    </i>
    <i>
      <x v="640"/>
      <x v="166"/>
    </i>
    <i t="default">
      <x v="640"/>
    </i>
    <i>
      <x v="802"/>
      <x v="172"/>
    </i>
    <i t="default">
      <x v="802"/>
    </i>
    <i>
      <x v="641"/>
      <x v="166"/>
    </i>
    <i t="default">
      <x v="641"/>
    </i>
    <i>
      <x v="804"/>
      <x v="172"/>
    </i>
    <i t="default">
      <x v="804"/>
    </i>
    <i>
      <x v="642"/>
      <x v="166"/>
    </i>
    <i t="default">
      <x v="642"/>
    </i>
    <i>
      <x v="806"/>
      <x v="172"/>
    </i>
    <i t="default">
      <x v="806"/>
    </i>
    <i>
      <x v="643"/>
      <x v="166"/>
    </i>
    <i t="default">
      <x v="643"/>
    </i>
    <i>
      <x v="808"/>
      <x v="172"/>
    </i>
    <i t="default">
      <x v="808"/>
    </i>
    <i>
      <x v="644"/>
      <x v="166"/>
    </i>
    <i t="default">
      <x v="644"/>
    </i>
    <i>
      <x v="810"/>
      <x v="172"/>
    </i>
    <i t="default">
      <x v="810"/>
    </i>
    <i>
      <x v="645"/>
      <x v="166"/>
    </i>
    <i t="default">
      <x v="645"/>
    </i>
    <i>
      <x v="812"/>
      <x v="172"/>
    </i>
    <i t="default">
      <x v="812"/>
    </i>
    <i>
      <x v="646"/>
      <x v="165"/>
    </i>
    <i t="default">
      <x v="646"/>
    </i>
    <i>
      <x v="814"/>
      <x v="172"/>
    </i>
    <i t="default">
      <x v="814"/>
    </i>
    <i>
      <x v="647"/>
      <x v="165"/>
    </i>
    <i t="default">
      <x v="647"/>
    </i>
    <i>
      <x v="816"/>
      <x v="172"/>
    </i>
    <i t="default">
      <x v="816"/>
    </i>
    <i>
      <x v="648"/>
      <x v="165"/>
    </i>
    <i t="default">
      <x v="648"/>
    </i>
    <i>
      <x v="818"/>
      <x v="172"/>
    </i>
    <i t="default">
      <x v="818"/>
    </i>
    <i>
      <x v="649"/>
      <x v="165"/>
    </i>
    <i t="default">
      <x v="649"/>
    </i>
    <i>
      <x v="820"/>
      <x v="172"/>
    </i>
    <i t="default">
      <x v="820"/>
    </i>
    <i>
      <x v="650"/>
      <x v="165"/>
    </i>
    <i t="default">
      <x v="650"/>
    </i>
    <i>
      <x v="822"/>
      <x v="172"/>
    </i>
    <i t="default">
      <x v="822"/>
    </i>
    <i>
      <x v="651"/>
      <x v="165"/>
    </i>
    <i t="default">
      <x v="651"/>
    </i>
    <i>
      <x v="824"/>
      <x v="172"/>
    </i>
    <i t="default">
      <x v="824"/>
    </i>
    <i>
      <x v="652"/>
      <x v="165"/>
    </i>
    <i t="default">
      <x v="652"/>
    </i>
    <i>
      <x v="826"/>
      <x v="172"/>
    </i>
    <i t="default">
      <x v="826"/>
    </i>
    <i>
      <x v="653"/>
      <x v="165"/>
    </i>
    <i t="default">
      <x v="653"/>
    </i>
    <i>
      <x v="828"/>
      <x v="172"/>
    </i>
    <i t="default">
      <x v="828"/>
    </i>
    <i>
      <x v="654"/>
      <x v="165"/>
    </i>
    <i t="default">
      <x v="654"/>
    </i>
    <i>
      <x v="830"/>
      <x v="172"/>
    </i>
    <i t="default">
      <x v="830"/>
    </i>
    <i>
      <x v="655"/>
      <x v="165"/>
    </i>
    <i t="default">
      <x v="655"/>
    </i>
    <i>
      <x v="832"/>
      <x v="172"/>
    </i>
    <i t="default">
      <x v="832"/>
    </i>
    <i>
      <x v="656"/>
      <x v="165"/>
    </i>
    <i t="default">
      <x v="656"/>
    </i>
    <i>
      <x v="834"/>
      <x v="172"/>
    </i>
    <i t="default">
      <x v="834"/>
    </i>
    <i>
      <x v="657"/>
      <x v="165"/>
    </i>
    <i t="default">
      <x v="657"/>
    </i>
    <i>
      <x v="836"/>
      <x v="172"/>
    </i>
    <i t="default">
      <x v="836"/>
    </i>
    <i>
      <x v="658"/>
      <x v="165"/>
    </i>
    <i t="default">
      <x v="658"/>
    </i>
    <i>
      <x v="838"/>
      <x v="172"/>
    </i>
    <i t="default">
      <x v="838"/>
    </i>
    <i>
      <x v="659"/>
      <x v="165"/>
    </i>
    <i t="default">
      <x v="659"/>
    </i>
    <i>
      <x v="840"/>
      <x v="172"/>
    </i>
    <i t="default">
      <x v="840"/>
    </i>
    <i>
      <x v="660"/>
      <x v="165"/>
    </i>
    <i t="default">
      <x v="660"/>
    </i>
    <i>
      <x v="842"/>
      <x v="172"/>
    </i>
    <i t="default">
      <x v="842"/>
    </i>
    <i>
      <x v="661"/>
      <x v="165"/>
    </i>
    <i t="default">
      <x v="661"/>
    </i>
    <i>
      <x v="844"/>
      <x v="172"/>
    </i>
    <i t="default">
      <x v="844"/>
    </i>
    <i>
      <x v="662"/>
      <x v="165"/>
    </i>
    <i t="default">
      <x v="662"/>
    </i>
    <i>
      <x v="846"/>
      <x v="172"/>
    </i>
    <i t="default">
      <x v="846"/>
    </i>
    <i>
      <x v="663"/>
      <x v="165"/>
    </i>
    <i t="default">
      <x v="663"/>
    </i>
    <i>
      <x v="848"/>
      <x v="172"/>
    </i>
    <i t="default">
      <x v="848"/>
    </i>
    <i>
      <x v="664"/>
      <x v="165"/>
    </i>
    <i t="default">
      <x v="664"/>
    </i>
    <i>
      <x v="850"/>
      <x v="174"/>
    </i>
    <i t="default">
      <x v="850"/>
    </i>
    <i>
      <x v="665"/>
      <x v="165"/>
    </i>
    <i t="default">
      <x v="665"/>
    </i>
    <i>
      <x v="852"/>
      <x v="174"/>
    </i>
    <i t="default">
      <x v="852"/>
    </i>
    <i>
      <x v="666"/>
      <x v="165"/>
    </i>
    <i t="default">
      <x v="666"/>
    </i>
    <i>
      <x v="854"/>
      <x v="174"/>
    </i>
    <i t="default">
      <x v="854"/>
    </i>
    <i>
      <x v="71"/>
      <x v="153"/>
    </i>
    <i t="default">
      <x v="71"/>
    </i>
    <i>
      <x v="667"/>
      <x v="165"/>
    </i>
    <i t="default">
      <x v="667"/>
    </i>
    <i>
      <x v="392"/>
      <x v="153"/>
    </i>
    <i r="1">
      <x v="125"/>
    </i>
    <i r="1">
      <x v="87"/>
    </i>
    <i r="1">
      <x v="2"/>
    </i>
    <i r="1">
      <x v="142"/>
    </i>
    <i r="1">
      <x v="3"/>
    </i>
    <i r="1">
      <x v="174"/>
    </i>
    <i r="1">
      <x v="13"/>
    </i>
    <i r="1">
      <x v="100"/>
    </i>
    <i r="1">
      <x v="16"/>
    </i>
    <i r="1">
      <x v="133"/>
    </i>
    <i r="1">
      <x v="18"/>
    </i>
    <i r="1">
      <x v="147"/>
    </i>
    <i r="1">
      <x v="20"/>
    </i>
    <i r="1">
      <x v="165"/>
    </i>
    <i r="1">
      <x v="21"/>
    </i>
    <i r="1">
      <x v="82"/>
    </i>
    <i r="1">
      <x v="26"/>
    </i>
    <i r="1">
      <x v="96"/>
    </i>
    <i r="1">
      <x v="27"/>
    </i>
    <i r="1">
      <x v="123"/>
    </i>
    <i r="1">
      <x v="28"/>
    </i>
    <i r="1">
      <x v="128"/>
    </i>
    <i r="1">
      <x v="29"/>
    </i>
    <i r="1">
      <x v="135"/>
    </i>
    <i r="1">
      <x v="30"/>
    </i>
    <i r="1">
      <x v="144"/>
    </i>
    <i r="1">
      <x v="32"/>
    </i>
    <i r="1">
      <x v="150"/>
    </i>
    <i r="1">
      <x v="34"/>
    </i>
    <i r="1">
      <x v="157"/>
    </i>
    <i r="1">
      <x v="35"/>
    </i>
    <i r="1">
      <x v="168"/>
    </i>
    <i r="1">
      <x v="37"/>
    </i>
    <i r="1">
      <x v="1"/>
    </i>
    <i r="1">
      <x v="39"/>
    </i>
    <i r="1">
      <x v="86"/>
    </i>
    <i r="1">
      <x v="40"/>
    </i>
    <i r="1">
      <x v="93"/>
    </i>
    <i r="1">
      <x v="43"/>
    </i>
    <i r="1">
      <x v="97"/>
    </i>
    <i r="1">
      <x v="45"/>
    </i>
    <i r="1">
      <x v="101"/>
    </i>
    <i r="1">
      <x v="47"/>
    </i>
    <i r="1">
      <x v="124"/>
    </i>
    <i r="1">
      <x v="50"/>
    </i>
    <i r="1">
      <x v="126"/>
    </i>
    <i r="1">
      <x v="51"/>
    </i>
    <i r="1">
      <x v="131"/>
    </i>
    <i r="1">
      <x v="52"/>
    </i>
    <i r="1">
      <x v="134"/>
    </i>
    <i r="1">
      <x v="53"/>
    </i>
    <i r="1">
      <x v="137"/>
    </i>
    <i r="1">
      <x v="56"/>
    </i>
    <i r="1">
      <x v="143"/>
    </i>
    <i r="1">
      <x v="58"/>
    </i>
    <i r="1">
      <x v="145"/>
    </i>
    <i r="1">
      <x v="60"/>
    </i>
    <i r="1">
      <x v="148"/>
    </i>
    <i r="1">
      <x v="66"/>
    </i>
    <i r="1">
      <x v="152"/>
    </i>
    <i r="1">
      <x v="71"/>
    </i>
    <i r="1">
      <x v="155"/>
    </i>
    <i r="1">
      <x v="72"/>
    </i>
    <i r="1">
      <x v="158"/>
    </i>
    <i r="1">
      <x v="73"/>
    </i>
    <i r="1">
      <x v="166"/>
    </i>
    <i r="1">
      <x v="76"/>
    </i>
    <i r="1">
      <x v="169"/>
    </i>
    <i r="1">
      <x v="77"/>
    </i>
    <i r="1">
      <x v="175"/>
    </i>
    <i r="1">
      <x v="78"/>
    </i>
    <i r="1">
      <x v="79"/>
    </i>
    <i t="default">
      <x v="392"/>
    </i>
    <i t="grand">
      <x/>
    </i>
  </rowItems>
  <colFields count="1">
    <field x="13"/>
  </colFields>
  <colItems count="27">
    <i>
      <x/>
    </i>
    <i>
      <x v="1"/>
    </i>
    <i>
      <x v="2"/>
    </i>
    <i>
      <x v="6"/>
    </i>
    <i>
      <x v="7"/>
    </i>
    <i>
      <x v="8"/>
    </i>
    <i>
      <x v="9"/>
    </i>
    <i>
      <x v="10"/>
    </i>
    <i>
      <x v="11"/>
    </i>
    <i>
      <x v="12"/>
    </i>
    <i>
      <x v="13"/>
    </i>
    <i>
      <x v="14"/>
    </i>
    <i>
      <x v="15"/>
    </i>
    <i>
      <x v="17"/>
    </i>
    <i>
      <x v="18"/>
    </i>
    <i>
      <x v="19"/>
    </i>
    <i>
      <x v="20"/>
    </i>
    <i>
      <x v="21"/>
    </i>
    <i>
      <x v="24"/>
    </i>
    <i>
      <x v="25"/>
    </i>
    <i>
      <x v="26"/>
    </i>
    <i>
      <x v="27"/>
    </i>
    <i>
      <x v="28"/>
    </i>
    <i>
      <x v="29"/>
    </i>
    <i>
      <x v="32"/>
    </i>
    <i>
      <x v="38"/>
    </i>
    <i t="grand">
      <x/>
    </i>
  </colItems>
  <pageFields count="2">
    <pageField fld="1" item="1" hier="-1"/>
    <pageField fld="10" hier="-1"/>
  </pageFields>
  <dataFields count="1">
    <dataField name="Count of failed_path" fld="9"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3119BA-0A13-47E8-9515-F71A351D6D0C}" name="Table1" displayName="Table1" ref="A1:B19" totalsRowShown="0" tableBorderDxfId="13">
  <autoFilter ref="A1:B19" xr:uid="{D53119BA-0A13-47E8-9515-F71A351D6D0C}"/>
  <tableColumns count="2">
    <tableColumn id="1" xr3:uid="{E3A934BC-57A2-404C-BFFC-53316D479D90}" name="ID"/>
    <tableColumn id="2" xr3:uid="{B16D0B22-05E7-443A-96E9-0DB30E8897FD}" name="Error " dataDxfId="12"/>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D24D1B-7A86-4888-A99F-8ABFCA8D60A1}" name="Table2" displayName="Table2" ref="A3:U139" totalsRowShown="0">
  <autoFilter ref="A3:U139" xr:uid="{02D24D1B-7A86-4888-A99F-8ABFCA8D60A1}"/>
  <tableColumns count="21">
    <tableColumn id="1" xr3:uid="{FDED3837-E32E-4A12-8B50-0CB78CCBCED2}" name="DatabaseId"/>
    <tableColumn id="2" xr3:uid="{544A569F-337D-4150-83E1-2934A8395068}" name="Robot"/>
    <tableColumn id="3" xr3:uid="{0B49FC68-AAED-4F4B-90A2-9C01E3560669}" name="treatmentId"/>
    <tableColumn id="4" xr3:uid="{08DC896D-A0EC-4AE9-9E03-BEF166FF88CF}" name="status"/>
    <tableColumn id="5" xr3:uid="{9B454B61-68A9-4AB6-BC0E-C0BD6EE3948F}" name="recovery"/>
    <tableColumn id="6" xr3:uid="{025D0DCF-78DC-4803-9B74-E2AEF757AB76}" name="datetime"/>
    <tableColumn id="7" xr3:uid="{95B1DF0D-2B4B-4457-BB58-C2B1DF8282C9}" name="datetime Excel" dataDxfId="11"/>
    <tableColumn id="8" xr3:uid="{89392F1D-EC3F-44A2-9D10-3BF2616A06F2}" name="total lanes"/>
    <tableColumn id="9" xr3:uid="{34A5FA10-02A7-4092-9DC1-54CEE54DDA5C}" name="completed"/>
    <tableColumn id="10" xr3:uid="{57AB70E5-C9E8-4024-9C60-861BA2E62E1D}" name="percentage"/>
    <tableColumn id="11" xr3:uid="{9276A3DE-826A-4AE4-AF2A-D68A920AC6D2}" name="failed_path"/>
    <tableColumn id="12" xr3:uid="{C6179195-77C4-474E-90BD-421A132C39FD}" name="mission"/>
    <tableColumn id="13" xr3:uid="{76D31C9E-EBAD-4C52-9D4C-4BC2353CEB81}" name="map"/>
    <tableColumn id="14" xr3:uid="{A1AA829B-1F4C-4579-9022-8EF86F23E6AE}" name="url"/>
    <tableColumn id="15" xr3:uid="{CFC9879C-D028-414D-8B57-6A26E414B3BB}" name="error code"/>
    <tableColumn id="16" xr3:uid="{E2F995FE-AD5E-4062-B966-568F575CC433}" name="error description"/>
    <tableColumn id="17" xr3:uid="{5EAB4EAC-DB3C-433E-8CFF-32E0896F3B16}" name="beeld analyse"/>
    <tableColumn id="18" xr3:uid="{5EFB4485-244C-4E3F-A207-BA15280DA2B9}" name="data-analyse"/>
    <tableColumn id="19" xr3:uid="{3851F9AB-11A1-4B02-AF47-40A96063EFF6}" name="Diagnose"/>
    <tableColumn id="20" xr3:uid="{553C8A1F-AC30-48E7-BC62-69B649B8C809}" name="remarks VRS"/>
    <tableColumn id="21" xr3:uid="{AEAE77A2-B835-49C6-BB13-DA22B5400C0A}" name="Parameter chang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EDAA47-7387-4252-B9FB-5F729C93C243}" name="Table3" displayName="Table3" ref="A1:V2316" totalsRowShown="0" headerRowDxfId="10">
  <autoFilter ref="A1:V2316" xr:uid="{29EDAA47-7387-4252-B9FB-5F729C93C243}">
    <filterColumn colId="20">
      <dynamicFilter type="lastQuarter" val="44927" maxVal="45017"/>
    </filterColumn>
  </autoFilter>
  <sortState xmlns:xlrd2="http://schemas.microsoft.com/office/spreadsheetml/2017/richdata2" ref="A2:V2316">
    <sortCondition ref="F1:F2316"/>
  </sortState>
  <tableColumns count="22">
    <tableColumn id="1" xr3:uid="{35D96A57-0D2D-4177-8419-74A6B214CC3E}" name="DatabaseId"/>
    <tableColumn id="2" xr3:uid="{01EA743F-5423-4199-A23B-F3644409EE28}" name="Robot" dataDxfId="9"/>
    <tableColumn id="3" xr3:uid="{ECA12CED-14DF-472F-889C-E9E7DC6FF6D3}" name="treatmentId" dataDxfId="8"/>
    <tableColumn id="4" xr3:uid="{A65A8FE1-72F9-4787-A19E-DAB1F6698D62}" name="status" dataDxfId="7"/>
    <tableColumn id="5" xr3:uid="{294050A1-5769-434C-86B3-BD74DFF2A017}" name="recovery"/>
    <tableColumn id="6" xr3:uid="{7C0BC4C6-B112-4B09-A43C-0B22B7C1CF8B}" name="datetime" dataDxfId="6"/>
    <tableColumn id="7" xr3:uid="{B10B16FF-1BC6-4D47-8649-A0DA60A159A5}" name="total lanes" dataDxfId="5"/>
    <tableColumn id="8" xr3:uid="{7B66B9B2-7D7E-4529-B7B3-D65FB98059A5}" name="completed" dataDxfId="4"/>
    <tableColumn id="9" xr3:uid="{1E4B8355-8EB1-4DE2-9D91-F477CC6F03F0}" name="percentage" dataDxfId="3"/>
    <tableColumn id="10" xr3:uid="{BEB27B97-DD13-4603-8877-9DAEC87912C1}" name="failed_path"/>
    <tableColumn id="11" xr3:uid="{13A15845-A033-4DD3-9ED7-FED3EFDEE05D}" name="mission" dataDxfId="2"/>
    <tableColumn id="12" xr3:uid="{7B460DCA-01EB-4B47-8A5E-E9E06FBA2667}" name="map" dataDxfId="1"/>
    <tableColumn id="13" xr3:uid="{FC13447D-6977-4FA5-BDD0-00CB4A337FC7}" name="url"/>
    <tableColumn id="14" xr3:uid="{423C6ACC-6531-431D-BB4F-79F0F9FAAD40}" name="error code"/>
    <tableColumn id="15" xr3:uid="{B16E8919-7775-4140-890E-94DF562AA992}" name="error description">
      <calculatedColumnFormula>_xlfn.XLOOKUP(N2,'Error-codes'!$C$2:$C$130,'Error-codes'!$B$2:$B$130, "None")</calculatedColumnFormula>
    </tableColumn>
    <tableColumn id="16" xr3:uid="{8D30F582-0163-469D-A1FD-A026113B5A50}" name="beeld analyse"/>
    <tableColumn id="17" xr3:uid="{054955F6-3FEA-4149-B432-DA1A1FEB6089}" name="data-analyse"/>
    <tableColumn id="18" xr3:uid="{30F7603D-2E97-4147-84E5-E11B2C1E85FB}" name="Diagnose"/>
    <tableColumn id="19" xr3:uid="{4D4739A1-F7A8-40C3-B580-792E9158430C}" name="remarks VRS"/>
    <tableColumn id="20" xr3:uid="{84A3059B-22BC-445B-9BDB-913A538A6CEF}" name="Parameter change"/>
    <tableColumn id="21" xr3:uid="{A6018135-31DD-459C-9EEF-FEA80F007FA1}" name="Date Excel" dataDxfId="0">
      <calculatedColumnFormula>DATEVALUE(LEFT(F2,10))</calculatedColumnFormula>
    </tableColumn>
    <tableColumn id="22" xr3:uid="{63E977D5-EDB2-44BF-B74A-FFACDA9E0D73}" name="Column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ribble.octin.io/?mode=Single+log&amp;log_id=f38e4063-2f68-462b-8111-080673c647ae" TargetMode="External"/><Relationship Id="rId299" Type="http://schemas.openxmlformats.org/officeDocument/2006/relationships/hyperlink" Target="https://dribble.octin.io/?mode=Single+log&amp;log_id=81a0605d-1ebe-4ff2-85b1-b773e2fef663" TargetMode="External"/><Relationship Id="rId21" Type="http://schemas.openxmlformats.org/officeDocument/2006/relationships/hyperlink" Target="https://dribble.octin.io/?mode=Single+log&amp;log_id=06f6872c-b3b6-4f47-a83e-39e733bbb8de" TargetMode="External"/><Relationship Id="rId63" Type="http://schemas.openxmlformats.org/officeDocument/2006/relationships/hyperlink" Target="https://dribble.octin.io/?mode=Single+log&amp;log_id=531cf508-8419-41df-bc9d-7b87ed763afd" TargetMode="External"/><Relationship Id="rId159" Type="http://schemas.openxmlformats.org/officeDocument/2006/relationships/hyperlink" Target="https://dribble.octin.io/?mode=Single+log&amp;log_id=643671ed-a8a4-46c4-b9fe-8c4bc9042d6b" TargetMode="External"/><Relationship Id="rId324" Type="http://schemas.openxmlformats.org/officeDocument/2006/relationships/hyperlink" Target="https://dribble.octin.io/kibana/app/dashboards" TargetMode="External"/><Relationship Id="rId170" Type="http://schemas.openxmlformats.org/officeDocument/2006/relationships/hyperlink" Target="https://dribble.octin.io/kibana/app/dashboards" TargetMode="External"/><Relationship Id="rId226" Type="http://schemas.openxmlformats.org/officeDocument/2006/relationships/hyperlink" Target="https://dribble.octin.io/kibana/app/dashboards" TargetMode="External"/><Relationship Id="rId268" Type="http://schemas.openxmlformats.org/officeDocument/2006/relationships/hyperlink" Target="https://dribble.octin.io/kibana/app/dashboards" TargetMode="External"/><Relationship Id="rId32" Type="http://schemas.openxmlformats.org/officeDocument/2006/relationships/hyperlink" Target="https://dribble.octin.io/kibana/app/dashboards" TargetMode="External"/><Relationship Id="rId74" Type="http://schemas.openxmlformats.org/officeDocument/2006/relationships/hyperlink" Target="https://dribble.octin.io/kibana/app/dashboards" TargetMode="External"/><Relationship Id="rId128" Type="http://schemas.openxmlformats.org/officeDocument/2006/relationships/hyperlink" Target="https://dribble.octin.io/kibana/app/dashboards" TargetMode="External"/><Relationship Id="rId5" Type="http://schemas.openxmlformats.org/officeDocument/2006/relationships/hyperlink" Target="https://dribble.octin.io/?mode=Single+log&amp;log_id=e87b647b-575c-44b0-9818-3664b797f2e6" TargetMode="External"/><Relationship Id="rId181" Type="http://schemas.openxmlformats.org/officeDocument/2006/relationships/hyperlink" Target="https://dribble.octin.io/?mode=Single+log&amp;log_id=42020332-4898-4d84-9ba3-77f7c6fc4b79" TargetMode="External"/><Relationship Id="rId237" Type="http://schemas.openxmlformats.org/officeDocument/2006/relationships/hyperlink" Target="https://dribble.octin.io/?mode=Single+log&amp;log_id=3320714b-9a36-47d6-b834-368f8f1a4c03" TargetMode="External"/><Relationship Id="rId279" Type="http://schemas.openxmlformats.org/officeDocument/2006/relationships/hyperlink" Target="https://dribble.octin.io/?mode=Single+log&amp;log_id=4d2b19d8-0549-42b7-96c1-deb7a8607538" TargetMode="External"/><Relationship Id="rId43" Type="http://schemas.openxmlformats.org/officeDocument/2006/relationships/hyperlink" Target="https://dribble.octin.io/?mode=Single+log&amp;log_id=dfbef9a9-ebdd-4664-a57b-c608b4fb9bc5" TargetMode="External"/><Relationship Id="rId139" Type="http://schemas.openxmlformats.org/officeDocument/2006/relationships/hyperlink" Target="https://dribble.octin.io/?mode=Single+log&amp;log_id=9eb255f3-4694-4d48-8cbd-01d841138420" TargetMode="External"/><Relationship Id="rId290" Type="http://schemas.openxmlformats.org/officeDocument/2006/relationships/hyperlink" Target="https://dribble.octin.io/kibana/app/dashboards" TargetMode="External"/><Relationship Id="rId304" Type="http://schemas.openxmlformats.org/officeDocument/2006/relationships/hyperlink" Target="https://dribble.octin.io/kibana/app/dashboards" TargetMode="External"/><Relationship Id="rId85" Type="http://schemas.openxmlformats.org/officeDocument/2006/relationships/hyperlink" Target="https://dribble.octin.io/?mode=Single+log&amp;log_id=dcb067eb-12d8-4303-9f22-f35543f49b1f" TargetMode="External"/><Relationship Id="rId150" Type="http://schemas.openxmlformats.org/officeDocument/2006/relationships/hyperlink" Target="https://dribble.octin.io/kibana/app/dashboards" TargetMode="External"/><Relationship Id="rId192" Type="http://schemas.openxmlformats.org/officeDocument/2006/relationships/hyperlink" Target="https://dribble.octin.io/kibana/app/dashboards" TargetMode="External"/><Relationship Id="rId206" Type="http://schemas.openxmlformats.org/officeDocument/2006/relationships/hyperlink" Target="https://dribble.octin.io/kibana/app/dashboards" TargetMode="External"/><Relationship Id="rId248" Type="http://schemas.openxmlformats.org/officeDocument/2006/relationships/hyperlink" Target="https://dribble.octin.io/kibana/app/dashboards" TargetMode="External"/><Relationship Id="rId12" Type="http://schemas.openxmlformats.org/officeDocument/2006/relationships/hyperlink" Target="https://dribble.octin.io/kibana/app/dashboards" TargetMode="External"/><Relationship Id="rId108" Type="http://schemas.openxmlformats.org/officeDocument/2006/relationships/hyperlink" Target="https://dribble.octin.io/kibana/app/dashboards" TargetMode="External"/><Relationship Id="rId315" Type="http://schemas.openxmlformats.org/officeDocument/2006/relationships/hyperlink" Target="https://dribble.octin.io/?mode=Single+log&amp;log_id=550dbbfa-ad87-490a-b6cb-97e9868db400" TargetMode="External"/><Relationship Id="rId54" Type="http://schemas.openxmlformats.org/officeDocument/2006/relationships/hyperlink" Target="https://dribble.octin.io/kibana/app/dashboards" TargetMode="External"/><Relationship Id="rId96" Type="http://schemas.openxmlformats.org/officeDocument/2006/relationships/hyperlink" Target="https://dribble.octin.io/kibana/app/dashboards" TargetMode="External"/><Relationship Id="rId161" Type="http://schemas.openxmlformats.org/officeDocument/2006/relationships/hyperlink" Target="https://dribble.octin.io/?mode=Single+log&amp;log_id=36a1dfb9-c27d-4159-9878-9e62455c2257" TargetMode="External"/><Relationship Id="rId217" Type="http://schemas.openxmlformats.org/officeDocument/2006/relationships/hyperlink" Target="https://dribble.octin.io/?mode=Single+log&amp;log_id=28009ca8-fb00-438b-88e6-d3751e924339" TargetMode="External"/><Relationship Id="rId259" Type="http://schemas.openxmlformats.org/officeDocument/2006/relationships/hyperlink" Target="https://dribble.octin.io/?mode=Single+log&amp;log_id=806a3753-f6bf-4d63-97cb-e7a491edb19c" TargetMode="External"/><Relationship Id="rId23" Type="http://schemas.openxmlformats.org/officeDocument/2006/relationships/hyperlink" Target="https://dribble.octin.io/?mode=Single+log&amp;log_id=0aff9435-84ff-4f73-8981-8e0ab0194a34" TargetMode="External"/><Relationship Id="rId119" Type="http://schemas.openxmlformats.org/officeDocument/2006/relationships/hyperlink" Target="https://dribble.octin.io/?mode=Single+log&amp;log_id=1e30e97e-a939-494e-b85d-53df1aa777fd" TargetMode="External"/><Relationship Id="rId270" Type="http://schemas.openxmlformats.org/officeDocument/2006/relationships/hyperlink" Target="https://dribble.octin.io/kibana/app/dashboards" TargetMode="External"/><Relationship Id="rId65" Type="http://schemas.openxmlformats.org/officeDocument/2006/relationships/hyperlink" Target="https://dribble.octin.io/?mode=Single+log&amp;log_id=33d91ba2-8028-4529-a963-839d5e82f8cd" TargetMode="External"/><Relationship Id="rId130" Type="http://schemas.openxmlformats.org/officeDocument/2006/relationships/hyperlink" Target="https://dribble.octin.io/kibana/app/dashboards" TargetMode="External"/><Relationship Id="rId172" Type="http://schemas.openxmlformats.org/officeDocument/2006/relationships/hyperlink" Target="https://dribble.octin.io/kibana/app/dashboards" TargetMode="External"/><Relationship Id="rId228" Type="http://schemas.openxmlformats.org/officeDocument/2006/relationships/hyperlink" Target="https://dribble.octin.io/kibana/app/dashboards" TargetMode="External"/><Relationship Id="rId281" Type="http://schemas.openxmlformats.org/officeDocument/2006/relationships/hyperlink" Target="https://dribble.octin.io/?mode=Single+log&amp;log_id=256b483e-b92f-45a3-bf57-5532025ad4cb" TargetMode="External"/><Relationship Id="rId34" Type="http://schemas.openxmlformats.org/officeDocument/2006/relationships/hyperlink" Target="https://dribble.octin.io/kibana/app/dashboards" TargetMode="External"/><Relationship Id="rId55" Type="http://schemas.openxmlformats.org/officeDocument/2006/relationships/hyperlink" Target="https://dribble.octin.io/?mode=Single+log&amp;log_id=2caf6c90-815d-4058-87b5-7c093574952d" TargetMode="External"/><Relationship Id="rId76" Type="http://schemas.openxmlformats.org/officeDocument/2006/relationships/hyperlink" Target="https://dribble.octin.io/kibana/app/dashboards" TargetMode="External"/><Relationship Id="rId97" Type="http://schemas.openxmlformats.org/officeDocument/2006/relationships/hyperlink" Target="https://dribble.octin.io/?mode=Single+log&amp;log_id=634e8989-6d4c-4d32-a63a-99c3b557aad0" TargetMode="External"/><Relationship Id="rId120" Type="http://schemas.openxmlformats.org/officeDocument/2006/relationships/hyperlink" Target="https://dribble.octin.io/kibana/app/dashboards" TargetMode="External"/><Relationship Id="rId141" Type="http://schemas.openxmlformats.org/officeDocument/2006/relationships/hyperlink" Target="https://dribble.octin.io/?mode=Single+log&amp;log_id=b3ccbb42-4421-4b20-bbc0-b4fbbe531877" TargetMode="External"/><Relationship Id="rId7" Type="http://schemas.openxmlformats.org/officeDocument/2006/relationships/hyperlink" Target="https://dribble.octin.io/?mode=Single+log&amp;log_id=03965871-66ad-4e0f-8692-28b0a095a2bc" TargetMode="External"/><Relationship Id="rId162" Type="http://schemas.openxmlformats.org/officeDocument/2006/relationships/hyperlink" Target="https://dribble.octin.io/kibana/app/dashboards" TargetMode="External"/><Relationship Id="rId183" Type="http://schemas.openxmlformats.org/officeDocument/2006/relationships/hyperlink" Target="https://dribble.octin.io/?mode=Single+log&amp;log_id=3863ec98-7acb-4755-ac86-20ced35403a1" TargetMode="External"/><Relationship Id="rId218" Type="http://schemas.openxmlformats.org/officeDocument/2006/relationships/hyperlink" Target="https://dribble.octin.io/kibana/app/dashboards" TargetMode="External"/><Relationship Id="rId239" Type="http://schemas.openxmlformats.org/officeDocument/2006/relationships/hyperlink" Target="https://dribble.octin.io/?mode=Single+log&amp;log_id=d42ca90e-a8eb-4205-8c65-7a2e7df9f5b0" TargetMode="External"/><Relationship Id="rId250" Type="http://schemas.openxmlformats.org/officeDocument/2006/relationships/hyperlink" Target="https://dribble.octin.io/kibana/app/dashboards" TargetMode="External"/><Relationship Id="rId271" Type="http://schemas.openxmlformats.org/officeDocument/2006/relationships/hyperlink" Target="https://dribble.octin.io/?mode=Single+log&amp;log_id=bdebb232-1f0b-4e5c-ab48-ae74f386b669" TargetMode="External"/><Relationship Id="rId292" Type="http://schemas.openxmlformats.org/officeDocument/2006/relationships/hyperlink" Target="https://dribble.octin.io/kibana/app/dashboards" TargetMode="External"/><Relationship Id="rId306" Type="http://schemas.openxmlformats.org/officeDocument/2006/relationships/hyperlink" Target="https://dribble.octin.io/kibana/app/dashboards" TargetMode="External"/><Relationship Id="rId24" Type="http://schemas.openxmlformats.org/officeDocument/2006/relationships/hyperlink" Target="https://dribble.octin.io/kibana/app/dashboards" TargetMode="External"/><Relationship Id="rId45" Type="http://schemas.openxmlformats.org/officeDocument/2006/relationships/hyperlink" Target="https://dribble.octin.io/?mode=Single+log&amp;log_id=92ef0173-b269-4e12-8a93-b7d4d9183251" TargetMode="External"/><Relationship Id="rId66" Type="http://schemas.openxmlformats.org/officeDocument/2006/relationships/hyperlink" Target="https://dribble.octin.io/kibana/app/dashboards" TargetMode="External"/><Relationship Id="rId87" Type="http://schemas.openxmlformats.org/officeDocument/2006/relationships/hyperlink" Target="https://dribble.octin.io/?mode=Single+log&amp;log_id=5079d829-77dd-4022-9079-e2654c00ec98" TargetMode="External"/><Relationship Id="rId110" Type="http://schemas.openxmlformats.org/officeDocument/2006/relationships/hyperlink" Target="https://dribble.octin.io/kibana/app/dashboards" TargetMode="External"/><Relationship Id="rId131" Type="http://schemas.openxmlformats.org/officeDocument/2006/relationships/hyperlink" Target="https://dribble.octin.io/?mode=Single+log&amp;log_id=17cd2657-d29b-4142-a1d7-e03b248757ff" TargetMode="External"/><Relationship Id="rId152" Type="http://schemas.openxmlformats.org/officeDocument/2006/relationships/hyperlink" Target="https://dribble.octin.io/kibana/app/dashboards" TargetMode="External"/><Relationship Id="rId173" Type="http://schemas.openxmlformats.org/officeDocument/2006/relationships/hyperlink" Target="https://dribble.octin.io/?mode=Single+log&amp;log_id=0345b7f2-751f-4133-a1c2-e87e324bf97b" TargetMode="External"/><Relationship Id="rId194" Type="http://schemas.openxmlformats.org/officeDocument/2006/relationships/hyperlink" Target="https://dribble.octin.io/kibana/app/dashboards" TargetMode="External"/><Relationship Id="rId208" Type="http://schemas.openxmlformats.org/officeDocument/2006/relationships/hyperlink" Target="https://dribble.octin.io/kibana/app/dashboards" TargetMode="External"/><Relationship Id="rId229" Type="http://schemas.openxmlformats.org/officeDocument/2006/relationships/hyperlink" Target="https://dribble.octin.io/?mode=Single+log&amp;log_id=2837d406-0c8e-49f6-a10d-0fa5eecf5eb6" TargetMode="External"/><Relationship Id="rId240" Type="http://schemas.openxmlformats.org/officeDocument/2006/relationships/hyperlink" Target="https://dribble.octin.io/kibana/app/dashboards" TargetMode="External"/><Relationship Id="rId261" Type="http://schemas.openxmlformats.org/officeDocument/2006/relationships/hyperlink" Target="https://dribble.octin.io/?mode=Single+log&amp;log_id=2854a0d8-7513-4ed9-af73-985c0a129b64" TargetMode="External"/><Relationship Id="rId14" Type="http://schemas.openxmlformats.org/officeDocument/2006/relationships/hyperlink" Target="https://dribble.octin.io/kibana/app/dashboards" TargetMode="External"/><Relationship Id="rId35" Type="http://schemas.openxmlformats.org/officeDocument/2006/relationships/hyperlink" Target="https://dribble.octin.io/?mode=Single+log&amp;log_id=da07d50c-0386-4a4c-9a9c-5259c27981fe" TargetMode="External"/><Relationship Id="rId56" Type="http://schemas.openxmlformats.org/officeDocument/2006/relationships/hyperlink" Target="https://dribble.octin.io/kibana/app/dashboards" TargetMode="External"/><Relationship Id="rId77" Type="http://schemas.openxmlformats.org/officeDocument/2006/relationships/hyperlink" Target="https://dribble.octin.io/?mode=Single+log&amp;log_id=8486e948-3ee0-4089-8c7f-c9f0516cbb02" TargetMode="External"/><Relationship Id="rId100" Type="http://schemas.openxmlformats.org/officeDocument/2006/relationships/hyperlink" Target="https://dribble.octin.io/kibana/app/dashboards" TargetMode="External"/><Relationship Id="rId282" Type="http://schemas.openxmlformats.org/officeDocument/2006/relationships/hyperlink" Target="https://dribble.octin.io/kibana/app/dashboards" TargetMode="External"/><Relationship Id="rId317" Type="http://schemas.openxmlformats.org/officeDocument/2006/relationships/hyperlink" Target="https://dribble.octin.io/?mode=Single+log&amp;log_id=54ed8e33-b078-476c-ae08-d18370b54092" TargetMode="External"/><Relationship Id="rId8" Type="http://schemas.openxmlformats.org/officeDocument/2006/relationships/hyperlink" Target="https://dribble.octin.io/kibana/app/dashboards" TargetMode="External"/><Relationship Id="rId98" Type="http://schemas.openxmlformats.org/officeDocument/2006/relationships/hyperlink" Target="https://dribble.octin.io/kibana/app/dashboards" TargetMode="External"/><Relationship Id="rId121" Type="http://schemas.openxmlformats.org/officeDocument/2006/relationships/hyperlink" Target="https://dribble.octin.io/?mode=Single+log&amp;log_id=4a11d69c-4375-44a0-8998-4dee928321b0" TargetMode="External"/><Relationship Id="rId142" Type="http://schemas.openxmlformats.org/officeDocument/2006/relationships/hyperlink" Target="https://dribble.octin.io/kibana/app/dashboards" TargetMode="External"/><Relationship Id="rId163" Type="http://schemas.openxmlformats.org/officeDocument/2006/relationships/hyperlink" Target="https://dribble.octin.io/?mode=Single+log&amp;log_id=9fab8b2d-c5fe-43f0-8d30-690a6c391015" TargetMode="External"/><Relationship Id="rId184" Type="http://schemas.openxmlformats.org/officeDocument/2006/relationships/hyperlink" Target="https://dribble.octin.io/kibana/app/dashboards" TargetMode="External"/><Relationship Id="rId219" Type="http://schemas.openxmlformats.org/officeDocument/2006/relationships/hyperlink" Target="https://dribble.octin.io/?mode=Single+log&amp;log_id=3295ff2c-dd94-4b52-a9d9-5cd2af5b0e81" TargetMode="External"/><Relationship Id="rId230" Type="http://schemas.openxmlformats.org/officeDocument/2006/relationships/hyperlink" Target="https://dribble.octin.io/kibana/app/dashboards" TargetMode="External"/><Relationship Id="rId251" Type="http://schemas.openxmlformats.org/officeDocument/2006/relationships/hyperlink" Target="https://dribble.octin.io/?mode=Single+log&amp;log_id=f90bb712-cd56-48e9-82c1-2d94af4da606" TargetMode="External"/><Relationship Id="rId25" Type="http://schemas.openxmlformats.org/officeDocument/2006/relationships/hyperlink" Target="https://dribble.octin.io/?mode=Single+log&amp;log_id=1b0588bd-29bf-49d2-8c40-8f814e735a28" TargetMode="External"/><Relationship Id="rId46" Type="http://schemas.openxmlformats.org/officeDocument/2006/relationships/hyperlink" Target="https://dribble.octin.io/kibana/app/dashboards" TargetMode="External"/><Relationship Id="rId67" Type="http://schemas.openxmlformats.org/officeDocument/2006/relationships/hyperlink" Target="https://dribble.octin.io/?mode=Single+log&amp;log_id=d56cf962-2c76-428e-a72b-99199d446f16" TargetMode="External"/><Relationship Id="rId272" Type="http://schemas.openxmlformats.org/officeDocument/2006/relationships/hyperlink" Target="https://dribble.octin.io/kibana/app/dashboards" TargetMode="External"/><Relationship Id="rId293" Type="http://schemas.openxmlformats.org/officeDocument/2006/relationships/hyperlink" Target="https://dribble.octin.io/?mode=Single+log&amp;log_id=3a0777c8-4860-4156-b8d7-fa3574303fc7" TargetMode="External"/><Relationship Id="rId307" Type="http://schemas.openxmlformats.org/officeDocument/2006/relationships/hyperlink" Target="https://dribble.octin.io/?mode=Single+log&amp;log_id=c37603c9-3f67-48da-be96-0a5f23819042" TargetMode="External"/><Relationship Id="rId88" Type="http://schemas.openxmlformats.org/officeDocument/2006/relationships/hyperlink" Target="https://dribble.octin.io/kibana/app/dashboards" TargetMode="External"/><Relationship Id="rId111" Type="http://schemas.openxmlformats.org/officeDocument/2006/relationships/hyperlink" Target="https://dribble.octin.io/?mode=Single+log&amp;log_id=4ea29856-a74a-4f41-a76f-1094297a263c" TargetMode="External"/><Relationship Id="rId132" Type="http://schemas.openxmlformats.org/officeDocument/2006/relationships/hyperlink" Target="https://dribble.octin.io/kibana/app/dashboards" TargetMode="External"/><Relationship Id="rId153" Type="http://schemas.openxmlformats.org/officeDocument/2006/relationships/hyperlink" Target="https://dribble.octin.io/?mode=Single+log&amp;log_id=ff208b44-bff9-4541-b440-b166bb9798d9" TargetMode="External"/><Relationship Id="rId174" Type="http://schemas.openxmlformats.org/officeDocument/2006/relationships/hyperlink" Target="https://dribble.octin.io/kibana/app/dashboards" TargetMode="External"/><Relationship Id="rId195" Type="http://schemas.openxmlformats.org/officeDocument/2006/relationships/hyperlink" Target="https://dribble.octin.io/?mode=Single+log&amp;log_id=7a141440-7718-4a5b-aa74-7361c339681e" TargetMode="External"/><Relationship Id="rId209" Type="http://schemas.openxmlformats.org/officeDocument/2006/relationships/hyperlink" Target="https://dribble.octin.io/?mode=Single+log&amp;log_id=0f87d519-ff80-4ecc-b93d-2c589fb53e41" TargetMode="External"/><Relationship Id="rId220" Type="http://schemas.openxmlformats.org/officeDocument/2006/relationships/hyperlink" Target="https://dribble.octin.io/kibana/app/dashboards" TargetMode="External"/><Relationship Id="rId241" Type="http://schemas.openxmlformats.org/officeDocument/2006/relationships/hyperlink" Target="https://dribble.octin.io/?mode=Single+log&amp;log_id=9ef56a0d-16cd-48ab-849a-970240a0238f" TargetMode="External"/><Relationship Id="rId15" Type="http://schemas.openxmlformats.org/officeDocument/2006/relationships/hyperlink" Target="https://dribble.octin.io/?mode=Single+log&amp;log_id=45f03c2f-810b-412b-ae9f-a0f3be8c9523" TargetMode="External"/><Relationship Id="rId36" Type="http://schemas.openxmlformats.org/officeDocument/2006/relationships/hyperlink" Target="https://dribble.octin.io/kibana/app/dashboards" TargetMode="External"/><Relationship Id="rId57" Type="http://schemas.openxmlformats.org/officeDocument/2006/relationships/hyperlink" Target="https://dribble.octin.io/?mode=Single+log&amp;log_id=862c1163-e961-4d8f-8369-8b4eb9b444ec" TargetMode="External"/><Relationship Id="rId262" Type="http://schemas.openxmlformats.org/officeDocument/2006/relationships/hyperlink" Target="https://dribble.octin.io/kibana/app/dashboards" TargetMode="External"/><Relationship Id="rId283" Type="http://schemas.openxmlformats.org/officeDocument/2006/relationships/hyperlink" Target="https://dribble.octin.io/?mode=Single+log&amp;log_id=0a9dce57-6979-4fd4-861c-6d55f0d49220" TargetMode="External"/><Relationship Id="rId318" Type="http://schemas.openxmlformats.org/officeDocument/2006/relationships/hyperlink" Target="https://dribble.octin.io/kibana/app/dashboards" TargetMode="External"/><Relationship Id="rId78" Type="http://schemas.openxmlformats.org/officeDocument/2006/relationships/hyperlink" Target="https://dribble.octin.io/kibana/app/dashboards" TargetMode="External"/><Relationship Id="rId99" Type="http://schemas.openxmlformats.org/officeDocument/2006/relationships/hyperlink" Target="https://dribble.octin.io/?mode=Single+log&amp;log_id=722cb8d3-dd06-468f-91e8-e64d280c4314" TargetMode="External"/><Relationship Id="rId101" Type="http://schemas.openxmlformats.org/officeDocument/2006/relationships/hyperlink" Target="https://dribble.octin.io/?mode=Single+log&amp;log_id=b5b3beaa-dfd3-4fa6-a8c7-b9e69c4229ab" TargetMode="External"/><Relationship Id="rId122" Type="http://schemas.openxmlformats.org/officeDocument/2006/relationships/hyperlink" Target="https://dribble.octin.io/kibana/app/dashboards" TargetMode="External"/><Relationship Id="rId143" Type="http://schemas.openxmlformats.org/officeDocument/2006/relationships/hyperlink" Target="https://dribble.octin.io/?mode=Single+log&amp;log_id=4e27362a-f706-4d0a-b6e7-39389bf25b29" TargetMode="External"/><Relationship Id="rId164" Type="http://schemas.openxmlformats.org/officeDocument/2006/relationships/hyperlink" Target="https://dribble.octin.io/kibana/app/dashboards" TargetMode="External"/><Relationship Id="rId185" Type="http://schemas.openxmlformats.org/officeDocument/2006/relationships/hyperlink" Target="https://dribble.octin.io/?mode=Single+log&amp;log_id=ceb9a9e8-a929-4a48-a794-77747341d639" TargetMode="External"/><Relationship Id="rId9" Type="http://schemas.openxmlformats.org/officeDocument/2006/relationships/hyperlink" Target="https://dribble.octin.io/?mode=Single+log&amp;log_id=8a4714b7-8ba2-4f19-a4df-b061bcc66be8" TargetMode="External"/><Relationship Id="rId210" Type="http://schemas.openxmlformats.org/officeDocument/2006/relationships/hyperlink" Target="https://dribble.octin.io/kibana/app/dashboards" TargetMode="External"/><Relationship Id="rId26" Type="http://schemas.openxmlformats.org/officeDocument/2006/relationships/hyperlink" Target="https://dribble.octin.io/kibana/app/dashboards" TargetMode="External"/><Relationship Id="rId231" Type="http://schemas.openxmlformats.org/officeDocument/2006/relationships/hyperlink" Target="https://dribble.octin.io/?mode=Single+log&amp;log_id=3ada1a4c-82c6-49ab-8d15-d4b4231830ef" TargetMode="External"/><Relationship Id="rId252" Type="http://schemas.openxmlformats.org/officeDocument/2006/relationships/hyperlink" Target="https://dribble.octin.io/kibana/app/dashboards" TargetMode="External"/><Relationship Id="rId273" Type="http://schemas.openxmlformats.org/officeDocument/2006/relationships/hyperlink" Target="https://dribble.octin.io/?mode=Single+log&amp;log_id=59d3014d-e395-4c33-8a47-7ea73c1c967a" TargetMode="External"/><Relationship Id="rId294" Type="http://schemas.openxmlformats.org/officeDocument/2006/relationships/hyperlink" Target="https://dribble.octin.io/kibana/app/dashboards" TargetMode="External"/><Relationship Id="rId308" Type="http://schemas.openxmlformats.org/officeDocument/2006/relationships/hyperlink" Target="https://dribble.octin.io/kibana/app/dashboards" TargetMode="External"/><Relationship Id="rId47" Type="http://schemas.openxmlformats.org/officeDocument/2006/relationships/hyperlink" Target="https://dribble.octin.io/?mode=Single+log&amp;log_id=ddfcc3d3-11aa-45ad-9494-2964b8684616" TargetMode="External"/><Relationship Id="rId68" Type="http://schemas.openxmlformats.org/officeDocument/2006/relationships/hyperlink" Target="https://dribble.octin.io/kibana/app/dashboards" TargetMode="External"/><Relationship Id="rId89" Type="http://schemas.openxmlformats.org/officeDocument/2006/relationships/hyperlink" Target="https://dribble.octin.io/?mode=Single+log&amp;log_id=2b0353ea-6b67-42db-9143-fc72df15d869" TargetMode="External"/><Relationship Id="rId112" Type="http://schemas.openxmlformats.org/officeDocument/2006/relationships/hyperlink" Target="https://dribble.octin.io/kibana/app/dashboards" TargetMode="External"/><Relationship Id="rId133" Type="http://schemas.openxmlformats.org/officeDocument/2006/relationships/hyperlink" Target="https://dribble.octin.io/?mode=Single+log&amp;log_id=96999c74-85b1-439f-9119-e9039352e7ff" TargetMode="External"/><Relationship Id="rId154" Type="http://schemas.openxmlformats.org/officeDocument/2006/relationships/hyperlink" Target="https://dribble.octin.io/kibana/app/dashboards" TargetMode="External"/><Relationship Id="rId175" Type="http://schemas.openxmlformats.org/officeDocument/2006/relationships/hyperlink" Target="https://dribble.octin.io/?mode=Single+log&amp;log_id=aa5bae68-a5c2-4d4c-9d4c-3769e27c7498" TargetMode="External"/><Relationship Id="rId196" Type="http://schemas.openxmlformats.org/officeDocument/2006/relationships/hyperlink" Target="https://dribble.octin.io/kibana/app/dashboards" TargetMode="External"/><Relationship Id="rId200" Type="http://schemas.openxmlformats.org/officeDocument/2006/relationships/hyperlink" Target="https://dribble.octin.io/kibana/app/dashboards" TargetMode="External"/><Relationship Id="rId16" Type="http://schemas.openxmlformats.org/officeDocument/2006/relationships/hyperlink" Target="https://dribble.octin.io/kibana/app/dashboards" TargetMode="External"/><Relationship Id="rId221" Type="http://schemas.openxmlformats.org/officeDocument/2006/relationships/hyperlink" Target="https://dribble.octin.io/?mode=Single+log&amp;log_id=e3f9e34c-a183-4846-8266-53b0e4584fa1" TargetMode="External"/><Relationship Id="rId242" Type="http://schemas.openxmlformats.org/officeDocument/2006/relationships/hyperlink" Target="https://dribble.octin.io/kibana/app/dashboards" TargetMode="External"/><Relationship Id="rId263" Type="http://schemas.openxmlformats.org/officeDocument/2006/relationships/hyperlink" Target="https://dribble.octin.io/?mode=Single+log&amp;log_id=eec7afb0-c512-4310-923a-4f74ab1cb2cb" TargetMode="External"/><Relationship Id="rId284" Type="http://schemas.openxmlformats.org/officeDocument/2006/relationships/hyperlink" Target="https://dribble.octin.io/kibana/app/dashboards" TargetMode="External"/><Relationship Id="rId319" Type="http://schemas.openxmlformats.org/officeDocument/2006/relationships/hyperlink" Target="https://dribble.octin.io/?mode=Single+log&amp;log_id=00d7743f-abdd-4f90-9023-8737c7992c94" TargetMode="External"/><Relationship Id="rId37" Type="http://schemas.openxmlformats.org/officeDocument/2006/relationships/hyperlink" Target="https://dribble.octin.io/?mode=Single+log&amp;log_id=2178bd22-acc4-4b79-8701-6e8e1ef96e30" TargetMode="External"/><Relationship Id="rId58" Type="http://schemas.openxmlformats.org/officeDocument/2006/relationships/hyperlink" Target="https://dribble.octin.io/kibana/app/dashboards" TargetMode="External"/><Relationship Id="rId79" Type="http://schemas.openxmlformats.org/officeDocument/2006/relationships/hyperlink" Target="https://dribble.octin.io/?mode=Single+log&amp;log_id=5f2ef70f-5c77-4cd3-bb9e-49fe2c5264a6" TargetMode="External"/><Relationship Id="rId102" Type="http://schemas.openxmlformats.org/officeDocument/2006/relationships/hyperlink" Target="https://dribble.octin.io/kibana/app/dashboards" TargetMode="External"/><Relationship Id="rId123" Type="http://schemas.openxmlformats.org/officeDocument/2006/relationships/hyperlink" Target="https://dribble.octin.io/?mode=Single+log&amp;log_id=7826c206-0529-4851-87e5-a3fc5c8b02b4" TargetMode="External"/><Relationship Id="rId144" Type="http://schemas.openxmlformats.org/officeDocument/2006/relationships/hyperlink" Target="https://dribble.octin.io/kibana/app/dashboards" TargetMode="External"/><Relationship Id="rId90" Type="http://schemas.openxmlformats.org/officeDocument/2006/relationships/hyperlink" Target="https://dribble.octin.io/kibana/app/dashboards" TargetMode="External"/><Relationship Id="rId165" Type="http://schemas.openxmlformats.org/officeDocument/2006/relationships/hyperlink" Target="https://dribble.octin.io/?mode=Single+log&amp;log_id=6c461c75-f7e5-4593-a4d7-b1b21fe7eb65" TargetMode="External"/><Relationship Id="rId186" Type="http://schemas.openxmlformats.org/officeDocument/2006/relationships/hyperlink" Target="https://dribble.octin.io/kibana/app/dashboards" TargetMode="External"/><Relationship Id="rId211" Type="http://schemas.openxmlformats.org/officeDocument/2006/relationships/hyperlink" Target="https://dribble.octin.io/?mode=Single+log&amp;log_id=6e5f819e-9ed4-4252-af91-b78eafaf2df8" TargetMode="External"/><Relationship Id="rId232" Type="http://schemas.openxmlformats.org/officeDocument/2006/relationships/hyperlink" Target="https://dribble.octin.io/kibana/app/dashboards" TargetMode="External"/><Relationship Id="rId253" Type="http://schemas.openxmlformats.org/officeDocument/2006/relationships/hyperlink" Target="https://dribble.octin.io/?mode=Single+log&amp;log_id=a371565a-88b0-41d8-9fb5-0227a7175c07" TargetMode="External"/><Relationship Id="rId274" Type="http://schemas.openxmlformats.org/officeDocument/2006/relationships/hyperlink" Target="https://dribble.octin.io/kibana/app/dashboards" TargetMode="External"/><Relationship Id="rId295" Type="http://schemas.openxmlformats.org/officeDocument/2006/relationships/hyperlink" Target="https://dribble.octin.io/?mode=Single+log&amp;log_id=8544a7db-335e-4c02-8c62-755846dd6d82" TargetMode="External"/><Relationship Id="rId309" Type="http://schemas.openxmlformats.org/officeDocument/2006/relationships/hyperlink" Target="https://dribble.octin.io/?mode=Single+log&amp;log_id=935f4491-8261-4ca5-88d1-2666a0688b5e" TargetMode="External"/><Relationship Id="rId27" Type="http://schemas.openxmlformats.org/officeDocument/2006/relationships/hyperlink" Target="https://dribble.octin.io/?mode=Single+log&amp;log_id=4fac7a0c-6a34-43b0-aa0a-d7c29ab2b767" TargetMode="External"/><Relationship Id="rId48" Type="http://schemas.openxmlformats.org/officeDocument/2006/relationships/hyperlink" Target="https://dribble.octin.io/kibana/app/dashboards" TargetMode="External"/><Relationship Id="rId69" Type="http://schemas.openxmlformats.org/officeDocument/2006/relationships/hyperlink" Target="https://dribble.octin.io/?mode=Single+log&amp;log_id=0864d398-177b-4ebb-b147-fdda6a35ae13" TargetMode="External"/><Relationship Id="rId113" Type="http://schemas.openxmlformats.org/officeDocument/2006/relationships/hyperlink" Target="https://dribble.octin.io/?mode=Single+log&amp;log_id=6e3df9c1-ca11-4779-b49a-c18e5e4fcfb2" TargetMode="External"/><Relationship Id="rId134" Type="http://schemas.openxmlformats.org/officeDocument/2006/relationships/hyperlink" Target="https://dribble.octin.io/kibana/app/dashboards" TargetMode="External"/><Relationship Id="rId320" Type="http://schemas.openxmlformats.org/officeDocument/2006/relationships/hyperlink" Target="https://dribble.octin.io/kibana/app/dashboards" TargetMode="External"/><Relationship Id="rId80" Type="http://schemas.openxmlformats.org/officeDocument/2006/relationships/hyperlink" Target="https://dribble.octin.io/kibana/app/dashboards" TargetMode="External"/><Relationship Id="rId155" Type="http://schemas.openxmlformats.org/officeDocument/2006/relationships/hyperlink" Target="https://dribble.octin.io/?mode=Single+log&amp;log_id=e4fc8641-a022-4935-a971-914c0c7726cb" TargetMode="External"/><Relationship Id="rId176" Type="http://schemas.openxmlformats.org/officeDocument/2006/relationships/hyperlink" Target="https://dribble.octin.io/kibana/app/dashboards" TargetMode="External"/><Relationship Id="rId197" Type="http://schemas.openxmlformats.org/officeDocument/2006/relationships/hyperlink" Target="https://dribble.octin.io/?mode=Single+log&amp;log_id=9fc27f53-f123-4285-83b7-99d1146f1ecf" TargetMode="External"/><Relationship Id="rId201" Type="http://schemas.openxmlformats.org/officeDocument/2006/relationships/hyperlink" Target="https://dribble.octin.io/?mode=Single+log&amp;log_id=65eb0b84-743e-4cbf-911a-7d99fa82e61b" TargetMode="External"/><Relationship Id="rId222" Type="http://schemas.openxmlformats.org/officeDocument/2006/relationships/hyperlink" Target="https://dribble.octin.io/kibana/app/dashboards" TargetMode="External"/><Relationship Id="rId243" Type="http://schemas.openxmlformats.org/officeDocument/2006/relationships/hyperlink" Target="https://dribble.octin.io/?mode=Single+log&amp;log_id=89d23ecb-f215-4fd2-a3f9-724d69ad19fe" TargetMode="External"/><Relationship Id="rId264" Type="http://schemas.openxmlformats.org/officeDocument/2006/relationships/hyperlink" Target="https://dribble.octin.io/kibana/app/dashboards" TargetMode="External"/><Relationship Id="rId285" Type="http://schemas.openxmlformats.org/officeDocument/2006/relationships/hyperlink" Target="https://dribble.octin.io/?mode=Single+log&amp;log_id=2acb9cd4-c56a-4d1d-b585-faa4ae52d245" TargetMode="External"/><Relationship Id="rId17" Type="http://schemas.openxmlformats.org/officeDocument/2006/relationships/hyperlink" Target="https://dribble.octin.io/?mode=Single+log&amp;log_id=0e197814-954c-439a-89c1-a274f62b4381" TargetMode="External"/><Relationship Id="rId38" Type="http://schemas.openxmlformats.org/officeDocument/2006/relationships/hyperlink" Target="https://dribble.octin.io/kibana/app/dashboards" TargetMode="External"/><Relationship Id="rId59" Type="http://schemas.openxmlformats.org/officeDocument/2006/relationships/hyperlink" Target="https://dribble.octin.io/?mode=Single+log&amp;log_id=917389e3-e8e0-4bd8-94f4-6bca423b7f75" TargetMode="External"/><Relationship Id="rId103" Type="http://schemas.openxmlformats.org/officeDocument/2006/relationships/hyperlink" Target="https://dribble.octin.io/?mode=Single+log&amp;log_id=712fa123-7129-4c26-a18c-19d678e843e3" TargetMode="External"/><Relationship Id="rId124" Type="http://schemas.openxmlformats.org/officeDocument/2006/relationships/hyperlink" Target="https://dribble.octin.io/kibana/app/dashboards" TargetMode="External"/><Relationship Id="rId310" Type="http://schemas.openxmlformats.org/officeDocument/2006/relationships/hyperlink" Target="https://dribble.octin.io/kibana/app/dashboards" TargetMode="External"/><Relationship Id="rId70" Type="http://schemas.openxmlformats.org/officeDocument/2006/relationships/hyperlink" Target="https://dribble.octin.io/kibana/app/dashboards" TargetMode="External"/><Relationship Id="rId91" Type="http://schemas.openxmlformats.org/officeDocument/2006/relationships/hyperlink" Target="https://dribble.octin.io/?mode=Single+log&amp;log_id=e0ed333b-7510-4f00-8e7e-6504c4eaad98" TargetMode="External"/><Relationship Id="rId145" Type="http://schemas.openxmlformats.org/officeDocument/2006/relationships/hyperlink" Target="https://dribble.octin.io/?mode=Single+log&amp;log_id=c697c21c-f7d6-400e-b044-801efaaaf97d" TargetMode="External"/><Relationship Id="rId166" Type="http://schemas.openxmlformats.org/officeDocument/2006/relationships/hyperlink" Target="https://dribble.octin.io/kibana/app/dashboards" TargetMode="External"/><Relationship Id="rId187" Type="http://schemas.openxmlformats.org/officeDocument/2006/relationships/hyperlink" Target="https://dribble.octin.io/?mode=Single+log&amp;log_id=5cbf76bd-8daa-4175-8eef-328067c4d761" TargetMode="External"/><Relationship Id="rId1" Type="http://schemas.openxmlformats.org/officeDocument/2006/relationships/hyperlink" Target="https://dribble.octin.io/?mode=Single+log&amp;log_id=f7620a9a-8788-44b0-9b0f-1fe1af17c34e" TargetMode="External"/><Relationship Id="rId212" Type="http://schemas.openxmlformats.org/officeDocument/2006/relationships/hyperlink" Target="https://dribble.octin.io/kibana/app/dashboards" TargetMode="External"/><Relationship Id="rId233" Type="http://schemas.openxmlformats.org/officeDocument/2006/relationships/hyperlink" Target="https://dribble.octin.io/?mode=Single+log&amp;log_id=8a86a657-b8f8-413c-9c6d-ebf77eb98a83" TargetMode="External"/><Relationship Id="rId254" Type="http://schemas.openxmlformats.org/officeDocument/2006/relationships/hyperlink" Target="https://dribble.octin.io/kibana/app/dashboards" TargetMode="External"/><Relationship Id="rId28" Type="http://schemas.openxmlformats.org/officeDocument/2006/relationships/hyperlink" Target="https://dribble.octin.io/kibana/app/dashboards" TargetMode="External"/><Relationship Id="rId49" Type="http://schemas.openxmlformats.org/officeDocument/2006/relationships/hyperlink" Target="https://dribble.octin.io/?mode=Single+log&amp;log_id=e6ddbddc-f2b5-4ab0-a7ac-a79c090374df" TargetMode="External"/><Relationship Id="rId114" Type="http://schemas.openxmlformats.org/officeDocument/2006/relationships/hyperlink" Target="https://dribble.octin.io/kibana/app/dashboards" TargetMode="External"/><Relationship Id="rId275" Type="http://schemas.openxmlformats.org/officeDocument/2006/relationships/hyperlink" Target="https://dribble.octin.io/?mode=Single+log&amp;log_id=ad47feab-40ca-433b-a674-2b767549218d" TargetMode="External"/><Relationship Id="rId296" Type="http://schemas.openxmlformats.org/officeDocument/2006/relationships/hyperlink" Target="https://dribble.octin.io/kibana/app/dashboards" TargetMode="External"/><Relationship Id="rId300" Type="http://schemas.openxmlformats.org/officeDocument/2006/relationships/hyperlink" Target="https://dribble.octin.io/kibana/app/dashboards" TargetMode="External"/><Relationship Id="rId60" Type="http://schemas.openxmlformats.org/officeDocument/2006/relationships/hyperlink" Target="https://dribble.octin.io/kibana/app/dashboards" TargetMode="External"/><Relationship Id="rId81" Type="http://schemas.openxmlformats.org/officeDocument/2006/relationships/hyperlink" Target="https://dribble.octin.io/?mode=Single+log&amp;log_id=b619cc2c-9fc4-42d4-98db-52b7f0aa05e4" TargetMode="External"/><Relationship Id="rId135" Type="http://schemas.openxmlformats.org/officeDocument/2006/relationships/hyperlink" Target="https://dribble.octin.io/?mode=Single+log&amp;log_id=87bc15ad-cb50-448a-a403-c12c3ee8c387" TargetMode="External"/><Relationship Id="rId156" Type="http://schemas.openxmlformats.org/officeDocument/2006/relationships/hyperlink" Target="https://dribble.octin.io/kibana/app/dashboards" TargetMode="External"/><Relationship Id="rId177" Type="http://schemas.openxmlformats.org/officeDocument/2006/relationships/hyperlink" Target="https://dribble.octin.io/?mode=Single+log&amp;log_id=4569a49d-72f9-480d-949a-4116d16f9a37" TargetMode="External"/><Relationship Id="rId198" Type="http://schemas.openxmlformats.org/officeDocument/2006/relationships/hyperlink" Target="https://dribble.octin.io/kibana/app/dashboards" TargetMode="External"/><Relationship Id="rId321" Type="http://schemas.openxmlformats.org/officeDocument/2006/relationships/hyperlink" Target="https://dribble.octin.io/?mode=Single+log&amp;log_id=bd842b45-b9dc-453c-b96a-8665922009fc" TargetMode="External"/><Relationship Id="rId202" Type="http://schemas.openxmlformats.org/officeDocument/2006/relationships/hyperlink" Target="https://dribble.octin.io/kibana/app/dashboards" TargetMode="External"/><Relationship Id="rId223" Type="http://schemas.openxmlformats.org/officeDocument/2006/relationships/hyperlink" Target="https://dribble.octin.io/?mode=Single+log&amp;log_id=67a075d2-cbfe-4967-a145-17e5146dc66b" TargetMode="External"/><Relationship Id="rId244" Type="http://schemas.openxmlformats.org/officeDocument/2006/relationships/hyperlink" Target="https://dribble.octin.io/kibana/app/dashboards" TargetMode="External"/><Relationship Id="rId18" Type="http://schemas.openxmlformats.org/officeDocument/2006/relationships/hyperlink" Target="https://dribble.octin.io/kibana/app/dashboards" TargetMode="External"/><Relationship Id="rId39" Type="http://schemas.openxmlformats.org/officeDocument/2006/relationships/hyperlink" Target="https://dribble.octin.io/?mode=Single+log&amp;log_id=c8e1d79b-a2a8-4a95-b3d5-6861f69f4e43" TargetMode="External"/><Relationship Id="rId265" Type="http://schemas.openxmlformats.org/officeDocument/2006/relationships/hyperlink" Target="https://dribble.octin.io/?mode=Single+log&amp;log_id=856a4da4-8114-44bb-8ccf-04268602455e" TargetMode="External"/><Relationship Id="rId286" Type="http://schemas.openxmlformats.org/officeDocument/2006/relationships/hyperlink" Target="https://dribble.octin.io/kibana/app/dashboards" TargetMode="External"/><Relationship Id="rId50" Type="http://schemas.openxmlformats.org/officeDocument/2006/relationships/hyperlink" Target="https://dribble.octin.io/kibana/app/dashboards" TargetMode="External"/><Relationship Id="rId104" Type="http://schemas.openxmlformats.org/officeDocument/2006/relationships/hyperlink" Target="https://dribble.octin.io/kibana/app/dashboards" TargetMode="External"/><Relationship Id="rId125" Type="http://schemas.openxmlformats.org/officeDocument/2006/relationships/hyperlink" Target="https://dribble.octin.io/?mode=Single+log&amp;log_id=dae4dd58-a8de-4505-bf43-d56c6ac4e24c" TargetMode="External"/><Relationship Id="rId146" Type="http://schemas.openxmlformats.org/officeDocument/2006/relationships/hyperlink" Target="https://dribble.octin.io/kibana/app/dashboards" TargetMode="External"/><Relationship Id="rId167" Type="http://schemas.openxmlformats.org/officeDocument/2006/relationships/hyperlink" Target="https://dribble.octin.io/?mode=Single+log&amp;log_id=ec0ccf0d-e95d-4ca0-b263-c8425d4e49c0" TargetMode="External"/><Relationship Id="rId188" Type="http://schemas.openxmlformats.org/officeDocument/2006/relationships/hyperlink" Target="https://dribble.octin.io/kibana/app/dashboards" TargetMode="External"/><Relationship Id="rId311" Type="http://schemas.openxmlformats.org/officeDocument/2006/relationships/hyperlink" Target="https://dribble.octin.io/?mode=Single+log&amp;log_id=15069aab-d9df-4af0-9e16-7b5dd3ee589a" TargetMode="External"/><Relationship Id="rId71" Type="http://schemas.openxmlformats.org/officeDocument/2006/relationships/hyperlink" Target="https://dribble.octin.io/?mode=Single+log&amp;log_id=0a9ee04e-90f6-458d-8380-3ced3e5d9527" TargetMode="External"/><Relationship Id="rId92" Type="http://schemas.openxmlformats.org/officeDocument/2006/relationships/hyperlink" Target="https://dribble.octin.io/kibana/app/dashboards" TargetMode="External"/><Relationship Id="rId213" Type="http://schemas.openxmlformats.org/officeDocument/2006/relationships/hyperlink" Target="https://dribble.octin.io/?mode=Single+log&amp;log_id=23dd2cd4-d919-4b65-b35f-a8f18babb882" TargetMode="External"/><Relationship Id="rId234" Type="http://schemas.openxmlformats.org/officeDocument/2006/relationships/hyperlink" Target="https://dribble.octin.io/kibana/app/dashboards" TargetMode="External"/><Relationship Id="rId2" Type="http://schemas.openxmlformats.org/officeDocument/2006/relationships/hyperlink" Target="https://dribble.octin.io/kibana/app/dashboards" TargetMode="External"/><Relationship Id="rId29" Type="http://schemas.openxmlformats.org/officeDocument/2006/relationships/hyperlink" Target="https://dribble.octin.io/?mode=Single+log&amp;log_id=774b4522-2c62-41b2-ab8c-90f75e70eabb" TargetMode="External"/><Relationship Id="rId255" Type="http://schemas.openxmlformats.org/officeDocument/2006/relationships/hyperlink" Target="https://dribble.octin.io/?mode=Single+log&amp;log_id=e3205a13-9c50-49b7-91cf-ef0c7271bc6e" TargetMode="External"/><Relationship Id="rId276" Type="http://schemas.openxmlformats.org/officeDocument/2006/relationships/hyperlink" Target="https://dribble.octin.io/kibana/app/dashboards" TargetMode="External"/><Relationship Id="rId297" Type="http://schemas.openxmlformats.org/officeDocument/2006/relationships/hyperlink" Target="https://dribble.octin.io/?mode=Single+log&amp;log_id=bbd22aae-81dc-459c-95fe-7a4dd9e45bc5" TargetMode="External"/><Relationship Id="rId40" Type="http://schemas.openxmlformats.org/officeDocument/2006/relationships/hyperlink" Target="https://dribble.octin.io/kibana/app/dashboards" TargetMode="External"/><Relationship Id="rId115" Type="http://schemas.openxmlformats.org/officeDocument/2006/relationships/hyperlink" Target="https://dribble.octin.io/?mode=Single+log&amp;log_id=e074d90c-eaf7-4e21-a2c8-33f430ce0427" TargetMode="External"/><Relationship Id="rId136" Type="http://schemas.openxmlformats.org/officeDocument/2006/relationships/hyperlink" Target="https://dribble.octin.io/kibana/app/dashboards" TargetMode="External"/><Relationship Id="rId157" Type="http://schemas.openxmlformats.org/officeDocument/2006/relationships/hyperlink" Target="https://dribble.octin.io/?mode=Single+log&amp;log_id=a899f7ed-ba58-4afb-a8fd-f52883ec2c18" TargetMode="External"/><Relationship Id="rId178" Type="http://schemas.openxmlformats.org/officeDocument/2006/relationships/hyperlink" Target="https://dribble.octin.io/kibana/app/dashboards" TargetMode="External"/><Relationship Id="rId301" Type="http://schemas.openxmlformats.org/officeDocument/2006/relationships/hyperlink" Target="https://dribble.octin.io/?mode=Single+log&amp;log_id=2356f5d5-1d82-4d1b-9e4d-6a1c5e028ed5" TargetMode="External"/><Relationship Id="rId322" Type="http://schemas.openxmlformats.org/officeDocument/2006/relationships/hyperlink" Target="https://dribble.octin.io/kibana/app/dashboards" TargetMode="External"/><Relationship Id="rId61" Type="http://schemas.openxmlformats.org/officeDocument/2006/relationships/hyperlink" Target="https://dribble.octin.io/?mode=Single+log&amp;log_id=461e2039-6e9d-4fc3-8d7c-7e55ecc0e569" TargetMode="External"/><Relationship Id="rId82" Type="http://schemas.openxmlformats.org/officeDocument/2006/relationships/hyperlink" Target="https://dribble.octin.io/kibana/app/dashboards" TargetMode="External"/><Relationship Id="rId199" Type="http://schemas.openxmlformats.org/officeDocument/2006/relationships/hyperlink" Target="https://dribble.octin.io/?mode=Single+log&amp;log_id=6a41364e-0c62-494b-9f30-3c212eb91104" TargetMode="External"/><Relationship Id="rId203" Type="http://schemas.openxmlformats.org/officeDocument/2006/relationships/hyperlink" Target="https://dribble.octin.io/?mode=Single+log&amp;log_id=1bddb9ed-ed43-4150-818e-51c01a4a25ea" TargetMode="External"/><Relationship Id="rId19" Type="http://schemas.openxmlformats.org/officeDocument/2006/relationships/hyperlink" Target="https://dribble.octin.io/?mode=Single+log&amp;log_id=24474d47-f03c-4e66-820f-e746c5f022b8" TargetMode="External"/><Relationship Id="rId224" Type="http://schemas.openxmlformats.org/officeDocument/2006/relationships/hyperlink" Target="https://dribble.octin.io/kibana/app/dashboards" TargetMode="External"/><Relationship Id="rId245" Type="http://schemas.openxmlformats.org/officeDocument/2006/relationships/hyperlink" Target="https://dribble.octin.io/?mode=Single+log&amp;log_id=2b229780-a523-4034-a074-fe0f59797fae" TargetMode="External"/><Relationship Id="rId266" Type="http://schemas.openxmlformats.org/officeDocument/2006/relationships/hyperlink" Target="https://dribble.octin.io/kibana/app/dashboards" TargetMode="External"/><Relationship Id="rId287" Type="http://schemas.openxmlformats.org/officeDocument/2006/relationships/hyperlink" Target="https://dribble.octin.io/?mode=Single+log&amp;log_id=b9bdf44d-93b7-4cf4-9a39-db2581dc0919" TargetMode="External"/><Relationship Id="rId30" Type="http://schemas.openxmlformats.org/officeDocument/2006/relationships/hyperlink" Target="https://dribble.octin.io/kibana/app/dashboards" TargetMode="External"/><Relationship Id="rId105" Type="http://schemas.openxmlformats.org/officeDocument/2006/relationships/hyperlink" Target="https://dribble.octin.io/?mode=Single+log&amp;log_id=a1d6e675-e75c-41b2-b0ea-f2dc795d3cca" TargetMode="External"/><Relationship Id="rId126" Type="http://schemas.openxmlformats.org/officeDocument/2006/relationships/hyperlink" Target="https://dribble.octin.io/kibana/app/dashboards" TargetMode="External"/><Relationship Id="rId147" Type="http://schemas.openxmlformats.org/officeDocument/2006/relationships/hyperlink" Target="https://dribble.octin.io/?mode=Single+log&amp;log_id=12cda4d6-7837-4514-8007-1c9cffe4d737" TargetMode="External"/><Relationship Id="rId168" Type="http://schemas.openxmlformats.org/officeDocument/2006/relationships/hyperlink" Target="https://dribble.octin.io/kibana/app/dashboards" TargetMode="External"/><Relationship Id="rId312" Type="http://schemas.openxmlformats.org/officeDocument/2006/relationships/hyperlink" Target="https://dribble.octin.io/kibana/app/dashboards" TargetMode="External"/><Relationship Id="rId51" Type="http://schemas.openxmlformats.org/officeDocument/2006/relationships/hyperlink" Target="https://dribble.octin.io/?mode=Single+log&amp;log_id=62ddd63e-5637-464e-a085-e69c57732339" TargetMode="External"/><Relationship Id="rId72" Type="http://schemas.openxmlformats.org/officeDocument/2006/relationships/hyperlink" Target="https://dribble.octin.io/kibana/app/dashboards" TargetMode="External"/><Relationship Id="rId93" Type="http://schemas.openxmlformats.org/officeDocument/2006/relationships/hyperlink" Target="https://dribble.octin.io/?mode=Single+log&amp;log_id=7919b85a-864e-4f79-a5d0-88b94ac09256" TargetMode="External"/><Relationship Id="rId189" Type="http://schemas.openxmlformats.org/officeDocument/2006/relationships/hyperlink" Target="https://dribble.octin.io/?mode=Single+log&amp;log_id=6fd66e03-5b83-404d-ac8a-c3966b821963" TargetMode="External"/><Relationship Id="rId3" Type="http://schemas.openxmlformats.org/officeDocument/2006/relationships/hyperlink" Target="https://dribble.octin.io/?mode=Single+log&amp;log_id=d38619be-08e1-4e4d-b91d-75543b2dfd50" TargetMode="External"/><Relationship Id="rId214" Type="http://schemas.openxmlformats.org/officeDocument/2006/relationships/hyperlink" Target="https://dribble.octin.io/kibana/app/dashboards" TargetMode="External"/><Relationship Id="rId235" Type="http://schemas.openxmlformats.org/officeDocument/2006/relationships/hyperlink" Target="https://dribble.octin.io/?mode=Single+log&amp;log_id=7846f0ee-0476-45db-8e5c-b0660b1a12e8" TargetMode="External"/><Relationship Id="rId256" Type="http://schemas.openxmlformats.org/officeDocument/2006/relationships/hyperlink" Target="https://dribble.octin.io/kibana/app/dashboards" TargetMode="External"/><Relationship Id="rId277" Type="http://schemas.openxmlformats.org/officeDocument/2006/relationships/hyperlink" Target="https://dribble.octin.io/?mode=Single+log&amp;log_id=e14a520b-b056-4e37-9df0-53516d3c8a98" TargetMode="External"/><Relationship Id="rId298" Type="http://schemas.openxmlformats.org/officeDocument/2006/relationships/hyperlink" Target="https://dribble.octin.io/kibana/app/dashboards" TargetMode="External"/><Relationship Id="rId116" Type="http://schemas.openxmlformats.org/officeDocument/2006/relationships/hyperlink" Target="https://dribble.octin.io/kibana/app/dashboards" TargetMode="External"/><Relationship Id="rId137" Type="http://schemas.openxmlformats.org/officeDocument/2006/relationships/hyperlink" Target="https://dribble.octin.io/?mode=Single+log&amp;log_id=a705e644-90cc-45ef-b50d-59e04495dd0c" TargetMode="External"/><Relationship Id="rId158" Type="http://schemas.openxmlformats.org/officeDocument/2006/relationships/hyperlink" Target="https://dribble.octin.io/kibana/app/dashboards" TargetMode="External"/><Relationship Id="rId302" Type="http://schemas.openxmlformats.org/officeDocument/2006/relationships/hyperlink" Target="https://dribble.octin.io/kibana/app/dashboards" TargetMode="External"/><Relationship Id="rId323" Type="http://schemas.openxmlformats.org/officeDocument/2006/relationships/hyperlink" Target="https://dribble.octin.io/?mode=Single+log&amp;log_id=1fb743f0-fe4b-41bf-ab5a-f58850ea60f9" TargetMode="External"/><Relationship Id="rId20" Type="http://schemas.openxmlformats.org/officeDocument/2006/relationships/hyperlink" Target="https://dribble.octin.io/kibana/app/dashboards" TargetMode="External"/><Relationship Id="rId41" Type="http://schemas.openxmlformats.org/officeDocument/2006/relationships/hyperlink" Target="https://dribble.octin.io/?mode=Single+log&amp;log_id=6a91fa53-128f-47da-9df9-66203d57b502" TargetMode="External"/><Relationship Id="rId62" Type="http://schemas.openxmlformats.org/officeDocument/2006/relationships/hyperlink" Target="https://dribble.octin.io/kibana/app/dashboards" TargetMode="External"/><Relationship Id="rId83" Type="http://schemas.openxmlformats.org/officeDocument/2006/relationships/hyperlink" Target="https://dribble.octin.io/?mode=Single+log&amp;log_id=8889378f-5495-452d-b794-56c2e0310ce5" TargetMode="External"/><Relationship Id="rId179" Type="http://schemas.openxmlformats.org/officeDocument/2006/relationships/hyperlink" Target="https://dribble.octin.io/?mode=Single+log&amp;log_id=8542f974-31ca-4b55-876f-14c2d58b5efa" TargetMode="External"/><Relationship Id="rId190" Type="http://schemas.openxmlformats.org/officeDocument/2006/relationships/hyperlink" Target="https://dribble.octin.io/kibana/app/dashboards" TargetMode="External"/><Relationship Id="rId204" Type="http://schemas.openxmlformats.org/officeDocument/2006/relationships/hyperlink" Target="https://dribble.octin.io/kibana/app/dashboards" TargetMode="External"/><Relationship Id="rId225" Type="http://schemas.openxmlformats.org/officeDocument/2006/relationships/hyperlink" Target="https://dribble.octin.io/?mode=Single+log&amp;log_id=85da5a0c-7ab2-427f-8dfa-eee3a620847b" TargetMode="External"/><Relationship Id="rId246" Type="http://schemas.openxmlformats.org/officeDocument/2006/relationships/hyperlink" Target="https://dribble.octin.io/kibana/app/dashboards" TargetMode="External"/><Relationship Id="rId267" Type="http://schemas.openxmlformats.org/officeDocument/2006/relationships/hyperlink" Target="https://dribble.octin.io/?mode=Single+log&amp;log_id=80a418e5-35b6-451f-9f53-40a214cdc910" TargetMode="External"/><Relationship Id="rId288" Type="http://schemas.openxmlformats.org/officeDocument/2006/relationships/hyperlink" Target="https://dribble.octin.io/kibana/app/dashboards" TargetMode="External"/><Relationship Id="rId106" Type="http://schemas.openxmlformats.org/officeDocument/2006/relationships/hyperlink" Target="https://dribble.octin.io/kibana/app/dashboards" TargetMode="External"/><Relationship Id="rId127" Type="http://schemas.openxmlformats.org/officeDocument/2006/relationships/hyperlink" Target="https://dribble.octin.io/?mode=Single+log&amp;log_id=69659ecc-3260-425c-9001-42b6776e3bf9" TargetMode="External"/><Relationship Id="rId313" Type="http://schemas.openxmlformats.org/officeDocument/2006/relationships/hyperlink" Target="https://dribble.octin.io/?mode=Single+log&amp;log_id=c01b71f8-8afc-455d-8d49-1cb1e63afa57" TargetMode="External"/><Relationship Id="rId10" Type="http://schemas.openxmlformats.org/officeDocument/2006/relationships/hyperlink" Target="https://dribble.octin.io/kibana/app/dashboards" TargetMode="External"/><Relationship Id="rId31" Type="http://schemas.openxmlformats.org/officeDocument/2006/relationships/hyperlink" Target="https://dribble.octin.io/?mode=Single+log&amp;log_id=96bf7a4a-8a17-4ac5-b370-20ec8f2e3d95" TargetMode="External"/><Relationship Id="rId52" Type="http://schemas.openxmlformats.org/officeDocument/2006/relationships/hyperlink" Target="https://dribble.octin.io/kibana/app/dashboards" TargetMode="External"/><Relationship Id="rId73" Type="http://schemas.openxmlformats.org/officeDocument/2006/relationships/hyperlink" Target="https://dribble.octin.io/?mode=Single+log&amp;log_id=d2638067-f4d0-4b9b-a3ff-d956a68f8b1b" TargetMode="External"/><Relationship Id="rId94" Type="http://schemas.openxmlformats.org/officeDocument/2006/relationships/hyperlink" Target="https://dribble.octin.io/kibana/app/dashboards" TargetMode="External"/><Relationship Id="rId148" Type="http://schemas.openxmlformats.org/officeDocument/2006/relationships/hyperlink" Target="https://dribble.octin.io/kibana/app/dashboards" TargetMode="External"/><Relationship Id="rId169" Type="http://schemas.openxmlformats.org/officeDocument/2006/relationships/hyperlink" Target="https://dribble.octin.io/?mode=Single+log&amp;log_id=1603406f-0dab-40f0-83c9-e38b82e87aef" TargetMode="External"/><Relationship Id="rId4" Type="http://schemas.openxmlformats.org/officeDocument/2006/relationships/hyperlink" Target="https://dribble.octin.io/kibana/app/dashboards" TargetMode="External"/><Relationship Id="rId180" Type="http://schemas.openxmlformats.org/officeDocument/2006/relationships/hyperlink" Target="https://dribble.octin.io/kibana/app/dashboards" TargetMode="External"/><Relationship Id="rId215" Type="http://schemas.openxmlformats.org/officeDocument/2006/relationships/hyperlink" Target="https://dribble.octin.io/?mode=Single+log&amp;log_id=f221d0b4-a901-487d-8379-227b1fce9261" TargetMode="External"/><Relationship Id="rId236" Type="http://schemas.openxmlformats.org/officeDocument/2006/relationships/hyperlink" Target="https://dribble.octin.io/kibana/app/dashboards" TargetMode="External"/><Relationship Id="rId257" Type="http://schemas.openxmlformats.org/officeDocument/2006/relationships/hyperlink" Target="https://dribble.octin.io/?mode=Single+log&amp;log_id=87f4aecc-1ff8-417c-befe-0cd40fd6d51d" TargetMode="External"/><Relationship Id="rId278" Type="http://schemas.openxmlformats.org/officeDocument/2006/relationships/hyperlink" Target="https://dribble.octin.io/kibana/app/dashboards" TargetMode="External"/><Relationship Id="rId303" Type="http://schemas.openxmlformats.org/officeDocument/2006/relationships/hyperlink" Target="https://dribble.octin.io/?mode=Single+log&amp;log_id=4ff7b473-4313-4801-9f83-bb2ede124477" TargetMode="External"/><Relationship Id="rId42" Type="http://schemas.openxmlformats.org/officeDocument/2006/relationships/hyperlink" Target="https://dribble.octin.io/kibana/app/dashboards" TargetMode="External"/><Relationship Id="rId84" Type="http://schemas.openxmlformats.org/officeDocument/2006/relationships/hyperlink" Target="https://dribble.octin.io/kibana/app/dashboards" TargetMode="External"/><Relationship Id="rId138" Type="http://schemas.openxmlformats.org/officeDocument/2006/relationships/hyperlink" Target="https://dribble.octin.io/kibana/app/dashboards" TargetMode="External"/><Relationship Id="rId191" Type="http://schemas.openxmlformats.org/officeDocument/2006/relationships/hyperlink" Target="https://dribble.octin.io/?mode=Single+log&amp;log_id=e938471f-4e54-4525-8215-216faab21e23" TargetMode="External"/><Relationship Id="rId205" Type="http://schemas.openxmlformats.org/officeDocument/2006/relationships/hyperlink" Target="https://dribble.octin.io/?mode=Single+log&amp;log_id=50c0bb17-d657-46e0-9de3-c72d1361e953" TargetMode="External"/><Relationship Id="rId247" Type="http://schemas.openxmlformats.org/officeDocument/2006/relationships/hyperlink" Target="https://dribble.octin.io/?mode=Single+log&amp;log_id=26cd128c-924e-4f87-bb83-25096a1a29ba" TargetMode="External"/><Relationship Id="rId107" Type="http://schemas.openxmlformats.org/officeDocument/2006/relationships/hyperlink" Target="https://dribble.octin.io/?mode=Single+log&amp;log_id=7a2e9786-d154-47ac-85b7-88a12bd68516" TargetMode="External"/><Relationship Id="rId289" Type="http://schemas.openxmlformats.org/officeDocument/2006/relationships/hyperlink" Target="https://dribble.octin.io/?mode=Single+log&amp;log_id=920bd4f8-c65c-48d8-aa35-8569e231a89e" TargetMode="External"/><Relationship Id="rId11" Type="http://schemas.openxmlformats.org/officeDocument/2006/relationships/hyperlink" Target="https://dribble.octin.io/?mode=Single+log&amp;log_id=bb22ea56-35c5-4d17-9f39-24bd85127ecb" TargetMode="External"/><Relationship Id="rId53" Type="http://schemas.openxmlformats.org/officeDocument/2006/relationships/hyperlink" Target="https://dribble.octin.io/?mode=Single+log&amp;log_id=e336a8b4-07ad-40f7-b3b0-9f0d865ecbc6" TargetMode="External"/><Relationship Id="rId149" Type="http://schemas.openxmlformats.org/officeDocument/2006/relationships/hyperlink" Target="https://dribble.octin.io/?mode=Single+log&amp;log_id=21eec462-963f-483c-a999-680ab6240cff" TargetMode="External"/><Relationship Id="rId314" Type="http://schemas.openxmlformats.org/officeDocument/2006/relationships/hyperlink" Target="https://dribble.octin.io/kibana/app/dashboards" TargetMode="External"/><Relationship Id="rId95" Type="http://schemas.openxmlformats.org/officeDocument/2006/relationships/hyperlink" Target="https://dribble.octin.io/?mode=Single+log&amp;log_id=2e29812e-5077-4520-a42e-9912364a50d2" TargetMode="External"/><Relationship Id="rId160" Type="http://schemas.openxmlformats.org/officeDocument/2006/relationships/hyperlink" Target="https://dribble.octin.io/kibana/app/dashboards" TargetMode="External"/><Relationship Id="rId216" Type="http://schemas.openxmlformats.org/officeDocument/2006/relationships/hyperlink" Target="https://dribble.octin.io/kibana/app/dashboards" TargetMode="External"/><Relationship Id="rId258" Type="http://schemas.openxmlformats.org/officeDocument/2006/relationships/hyperlink" Target="https://dribble.octin.io/kibana/app/dashboards" TargetMode="External"/><Relationship Id="rId22" Type="http://schemas.openxmlformats.org/officeDocument/2006/relationships/hyperlink" Target="https://dribble.octin.io/kibana/app/dashboards" TargetMode="External"/><Relationship Id="rId64" Type="http://schemas.openxmlformats.org/officeDocument/2006/relationships/hyperlink" Target="https://dribble.octin.io/kibana/app/dashboards" TargetMode="External"/><Relationship Id="rId118" Type="http://schemas.openxmlformats.org/officeDocument/2006/relationships/hyperlink" Target="https://dribble.octin.io/kibana/app/dashboards" TargetMode="External"/><Relationship Id="rId171" Type="http://schemas.openxmlformats.org/officeDocument/2006/relationships/hyperlink" Target="https://dribble.octin.io/?mode=Single+log&amp;log_id=467af639-2264-436e-91e6-a84862c54a29" TargetMode="External"/><Relationship Id="rId227" Type="http://schemas.openxmlformats.org/officeDocument/2006/relationships/hyperlink" Target="https://dribble.octin.io/?mode=Single+log&amp;log_id=8de62c9e-30a0-466f-a574-d5ffaf9f6cdf" TargetMode="External"/><Relationship Id="rId269" Type="http://schemas.openxmlformats.org/officeDocument/2006/relationships/hyperlink" Target="https://dribble.octin.io/?mode=Single+log&amp;log_id=db0139a8-f736-42c1-9ba0-6a2b51943f62" TargetMode="External"/><Relationship Id="rId33" Type="http://schemas.openxmlformats.org/officeDocument/2006/relationships/hyperlink" Target="https://dribble.octin.io/?mode=Single+log&amp;log_id=2cd50b9f-bd52-4056-bb43-3cc3a13e78f3" TargetMode="External"/><Relationship Id="rId129" Type="http://schemas.openxmlformats.org/officeDocument/2006/relationships/hyperlink" Target="https://dribble.octin.io/?mode=Single+log&amp;log_id=567432d5-c036-4aff-af97-5849bca480a9" TargetMode="External"/><Relationship Id="rId280" Type="http://schemas.openxmlformats.org/officeDocument/2006/relationships/hyperlink" Target="https://dribble.octin.io/kibana/app/dashboards" TargetMode="External"/><Relationship Id="rId75" Type="http://schemas.openxmlformats.org/officeDocument/2006/relationships/hyperlink" Target="https://dribble.octin.io/?mode=Single+log&amp;log_id=96fd6cca-e387-4b25-8a2e-17d429c20991" TargetMode="External"/><Relationship Id="rId140" Type="http://schemas.openxmlformats.org/officeDocument/2006/relationships/hyperlink" Target="https://dribble.octin.io/kibana/app/dashboards" TargetMode="External"/><Relationship Id="rId182" Type="http://schemas.openxmlformats.org/officeDocument/2006/relationships/hyperlink" Target="https://dribble.octin.io/kibana/app/dashboards" TargetMode="External"/><Relationship Id="rId6" Type="http://schemas.openxmlformats.org/officeDocument/2006/relationships/hyperlink" Target="https://dribble.octin.io/kibana/app/dashboards" TargetMode="External"/><Relationship Id="rId238" Type="http://schemas.openxmlformats.org/officeDocument/2006/relationships/hyperlink" Target="https://dribble.octin.io/kibana/app/dashboards" TargetMode="External"/><Relationship Id="rId291" Type="http://schemas.openxmlformats.org/officeDocument/2006/relationships/hyperlink" Target="https://dribble.octin.io/?mode=Single+log&amp;log_id=de879c19-856d-4929-b28d-67a256e10c16" TargetMode="External"/><Relationship Id="rId305" Type="http://schemas.openxmlformats.org/officeDocument/2006/relationships/hyperlink" Target="https://dribble.octin.io/?mode=Single+log&amp;log_id=207ccb9a-ac16-4405-92da-bfee5a302d67" TargetMode="External"/><Relationship Id="rId44" Type="http://schemas.openxmlformats.org/officeDocument/2006/relationships/hyperlink" Target="https://dribble.octin.io/kibana/app/dashboards" TargetMode="External"/><Relationship Id="rId86" Type="http://schemas.openxmlformats.org/officeDocument/2006/relationships/hyperlink" Target="https://dribble.octin.io/kibana/app/dashboards" TargetMode="External"/><Relationship Id="rId151" Type="http://schemas.openxmlformats.org/officeDocument/2006/relationships/hyperlink" Target="https://dribble.octin.io/?mode=Single+log&amp;log_id=0c4cef0f-4be5-4212-9c91-bcba218be3d0" TargetMode="External"/><Relationship Id="rId193" Type="http://schemas.openxmlformats.org/officeDocument/2006/relationships/hyperlink" Target="https://dribble.octin.io/?mode=Single+log&amp;log_id=e5643f33-3afb-4f6d-b3c3-cf409cf2c421" TargetMode="External"/><Relationship Id="rId207" Type="http://schemas.openxmlformats.org/officeDocument/2006/relationships/hyperlink" Target="https://dribble.octin.io/?mode=Single+log&amp;log_id=f7d7ca8f-9aca-49f0-8f7c-0066d071eef5" TargetMode="External"/><Relationship Id="rId249" Type="http://schemas.openxmlformats.org/officeDocument/2006/relationships/hyperlink" Target="https://dribble.octin.io/?mode=Single+log&amp;log_id=afecd81e-240d-4676-b38f-76ca26070ea6" TargetMode="External"/><Relationship Id="rId13" Type="http://schemas.openxmlformats.org/officeDocument/2006/relationships/hyperlink" Target="https://dribble.octin.io/?mode=Single+log&amp;log_id=aca94558-c807-4d20-b8a8-eb1ac90a823d" TargetMode="External"/><Relationship Id="rId109" Type="http://schemas.openxmlformats.org/officeDocument/2006/relationships/hyperlink" Target="https://dribble.octin.io/?mode=Single+log&amp;log_id=0b9d28d6-0d8d-48e1-9b90-81f7c7041708" TargetMode="External"/><Relationship Id="rId260" Type="http://schemas.openxmlformats.org/officeDocument/2006/relationships/hyperlink" Target="https://dribble.octin.io/kibana/app/dashboards" TargetMode="External"/><Relationship Id="rId316" Type="http://schemas.openxmlformats.org/officeDocument/2006/relationships/hyperlink" Target="https://dribble.octin.io/kibana/app/dashboards"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ribble.octin.io/?mode=Single+log&amp;log_id=67b5a518-5720-4afc-8e88-7e5fec71c3bf" TargetMode="External"/><Relationship Id="rId21" Type="http://schemas.openxmlformats.org/officeDocument/2006/relationships/hyperlink" Target="https://dribble.octin.io/?mode=Single+log&amp;log_id=f689de62-203a-4048-843e-bfdc53a1a446" TargetMode="External"/><Relationship Id="rId324" Type="http://schemas.openxmlformats.org/officeDocument/2006/relationships/hyperlink" Target="https://dribble.octin.io/kibana/app/dashboards" TargetMode="External"/><Relationship Id="rId531" Type="http://schemas.openxmlformats.org/officeDocument/2006/relationships/hyperlink" Target="https://dribble.octin.io/?mode=Single+log&amp;log_id=1fb743f0-fe4b-41bf-ab5a-f58850ea60f9" TargetMode="External"/><Relationship Id="rId170" Type="http://schemas.openxmlformats.org/officeDocument/2006/relationships/hyperlink" Target="https://dribble.octin.io/kibana/app/dashboards" TargetMode="External"/><Relationship Id="rId268" Type="http://schemas.openxmlformats.org/officeDocument/2006/relationships/hyperlink" Target="https://dribble.octin.io/kibana/app/dashboards" TargetMode="External"/><Relationship Id="rId475" Type="http://schemas.openxmlformats.org/officeDocument/2006/relationships/hyperlink" Target="https://dribble.octin.io/?mode=Single+log&amp;log_id=3a0777c8-4860-4156-b8d7-fa3574303fc7" TargetMode="External"/><Relationship Id="rId32" Type="http://schemas.openxmlformats.org/officeDocument/2006/relationships/hyperlink" Target="https://dribble.octin.io/kibana/app/dashboards" TargetMode="External"/><Relationship Id="rId128" Type="http://schemas.openxmlformats.org/officeDocument/2006/relationships/hyperlink" Target="https://dribble.octin.io/kibana/app/dashboards" TargetMode="External"/><Relationship Id="rId335" Type="http://schemas.openxmlformats.org/officeDocument/2006/relationships/hyperlink" Target="https://dribble.octin.io/?mode=Single+log&amp;log_id=7a141440-7718-4a5b-aa74-7361c339681e" TargetMode="External"/><Relationship Id="rId542" Type="http://schemas.openxmlformats.org/officeDocument/2006/relationships/hyperlink" Target="https://dribble.octin.io/kibana/app/dashboards" TargetMode="External"/><Relationship Id="rId181" Type="http://schemas.openxmlformats.org/officeDocument/2006/relationships/hyperlink" Target="https://dribble.octin.io/?mode=Single+log&amp;log_id=33d91ba2-8028-4529-a963-839d5e82f8cd" TargetMode="External"/><Relationship Id="rId402" Type="http://schemas.openxmlformats.org/officeDocument/2006/relationships/hyperlink" Target="https://dribble.octin.io/kibana/app/dashboards" TargetMode="External"/><Relationship Id="rId279" Type="http://schemas.openxmlformats.org/officeDocument/2006/relationships/hyperlink" Target="https://dribble.octin.io/?mode=Single+log&amp;log_id=21eec462-963f-483c-a999-680ab6240cff" TargetMode="External"/><Relationship Id="rId486" Type="http://schemas.openxmlformats.org/officeDocument/2006/relationships/hyperlink" Target="https://dribble.octin.io/kibana/app/dashboards" TargetMode="External"/><Relationship Id="rId43" Type="http://schemas.openxmlformats.org/officeDocument/2006/relationships/hyperlink" Target="https://dribble.octin.io/?mode=Single+log&amp;log_id=774b4522-2c62-41b2-ab8c-90f75e70eabb" TargetMode="External"/><Relationship Id="rId139" Type="http://schemas.openxmlformats.org/officeDocument/2006/relationships/hyperlink" Target="https://dribble.octin.io/?mode=Single+log&amp;log_id=e6ddbddc-f2b5-4ab0-a7ac-a79c090374df" TargetMode="External"/><Relationship Id="rId346" Type="http://schemas.openxmlformats.org/officeDocument/2006/relationships/hyperlink" Target="https://dribble.octin.io/kibana/app/dashboards" TargetMode="External"/><Relationship Id="rId192" Type="http://schemas.openxmlformats.org/officeDocument/2006/relationships/hyperlink" Target="https://dribble.octin.io/kibana/app/dashboards" TargetMode="External"/><Relationship Id="rId206" Type="http://schemas.openxmlformats.org/officeDocument/2006/relationships/hyperlink" Target="https://dribble.octin.io/kibana/app/dashboards" TargetMode="External"/><Relationship Id="rId413" Type="http://schemas.openxmlformats.org/officeDocument/2006/relationships/hyperlink" Target="https://dribble.octin.io/?mode=Single+log&amp;log_id=afecd81e-240d-4676-b38f-76ca26070ea6" TargetMode="External"/><Relationship Id="rId248" Type="http://schemas.openxmlformats.org/officeDocument/2006/relationships/hyperlink" Target="https://dribble.octin.io/kibana/app/dashboards" TargetMode="External"/><Relationship Id="rId455" Type="http://schemas.openxmlformats.org/officeDocument/2006/relationships/hyperlink" Target="https://dribble.octin.io/?mode=Single+log&amp;log_id=e14a520b-b056-4e37-9df0-53516d3c8a98" TargetMode="External"/><Relationship Id="rId497" Type="http://schemas.openxmlformats.org/officeDocument/2006/relationships/hyperlink" Target="https://dribble.octin.io/?mode=Single+log&amp;log_id=a240e115-dfd1-40b1-b07d-1d09ab6c11b0" TargetMode="External"/><Relationship Id="rId12" Type="http://schemas.openxmlformats.org/officeDocument/2006/relationships/hyperlink" Target="https://dribble.octin.io/kibana/app/dashboards" TargetMode="External"/><Relationship Id="rId108" Type="http://schemas.openxmlformats.org/officeDocument/2006/relationships/hyperlink" Target="https://dribble.octin.io/kibana/app/dashboards" TargetMode="External"/><Relationship Id="rId315" Type="http://schemas.openxmlformats.org/officeDocument/2006/relationships/hyperlink" Target="https://dribble.octin.io/?mode=Single+log&amp;log_id=42020332-4898-4d84-9ba3-77f7c6fc4b79" TargetMode="External"/><Relationship Id="rId357" Type="http://schemas.openxmlformats.org/officeDocument/2006/relationships/hyperlink" Target="https://dribble.octin.io/?mode=Single+log&amp;log_id=3295ff2c-dd94-4b52-a9d9-5cd2af5b0e81" TargetMode="External"/><Relationship Id="rId522" Type="http://schemas.openxmlformats.org/officeDocument/2006/relationships/hyperlink" Target="https://dribble.octin.io/kibana/app/dashboards" TargetMode="External"/><Relationship Id="rId54" Type="http://schemas.openxmlformats.org/officeDocument/2006/relationships/hyperlink" Target="https://dribble.octin.io/kibana/app/dashboards" TargetMode="External"/><Relationship Id="rId96" Type="http://schemas.openxmlformats.org/officeDocument/2006/relationships/hyperlink" Target="https://dribble.octin.io/kibana/app/dashboards" TargetMode="External"/><Relationship Id="rId161" Type="http://schemas.openxmlformats.org/officeDocument/2006/relationships/hyperlink" Target="https://dribble.octin.io/?mode=Single+log&amp;log_id=b619cc2c-9fc4-42d4-98db-52b7f0aa05e4" TargetMode="External"/><Relationship Id="rId217" Type="http://schemas.openxmlformats.org/officeDocument/2006/relationships/hyperlink" Target="https://dribble.octin.io/?mode=Single+log&amp;log_id=712fa123-7129-4c26-a18c-19d678e843e3" TargetMode="External"/><Relationship Id="rId399" Type="http://schemas.openxmlformats.org/officeDocument/2006/relationships/hyperlink" Target="https://dribble.octin.io/?mode=Single+log&amp;log_id=3320714b-9a36-47d6-b834-368f8f1a4c03" TargetMode="External"/><Relationship Id="rId259" Type="http://schemas.openxmlformats.org/officeDocument/2006/relationships/hyperlink" Target="https://dribble.octin.io/?mode=Single+log&amp;log_id=96999c74-85b1-439f-9119-e9039352e7ff" TargetMode="External"/><Relationship Id="rId424" Type="http://schemas.openxmlformats.org/officeDocument/2006/relationships/hyperlink" Target="https://dribble.octin.io/kibana/app/dashboards" TargetMode="External"/><Relationship Id="rId466" Type="http://schemas.openxmlformats.org/officeDocument/2006/relationships/hyperlink" Target="https://dribble.octin.io/kibana/app/dashboards" TargetMode="External"/><Relationship Id="rId23" Type="http://schemas.openxmlformats.org/officeDocument/2006/relationships/hyperlink" Target="https://dribble.octin.io/?mode=Single+log&amp;log_id=bacf860b-1883-449b-afc0-c56408be35cc" TargetMode="External"/><Relationship Id="rId119" Type="http://schemas.openxmlformats.org/officeDocument/2006/relationships/hyperlink" Target="https://dribble.octin.io/?mode=Single+log&amp;log_id=6a91fa53-128f-47da-9df9-66203d57b502" TargetMode="External"/><Relationship Id="rId270" Type="http://schemas.openxmlformats.org/officeDocument/2006/relationships/hyperlink" Target="https://dribble.octin.io/kibana/app/dashboards" TargetMode="External"/><Relationship Id="rId326" Type="http://schemas.openxmlformats.org/officeDocument/2006/relationships/hyperlink" Target="https://dribble.octin.io/kibana/app/dashboards" TargetMode="External"/><Relationship Id="rId533" Type="http://schemas.openxmlformats.org/officeDocument/2006/relationships/hyperlink" Target="https://dribble.octin.io/?mode=Single+log&amp;log_id=15069aab-d9df-4af0-9e16-7b5dd3ee589a" TargetMode="External"/><Relationship Id="rId65" Type="http://schemas.openxmlformats.org/officeDocument/2006/relationships/hyperlink" Target="https://dribble.octin.io/?mode=Single+log&amp;log_id=d07b56d5-f5cb-47e4-9b11-01720a23bad9" TargetMode="External"/><Relationship Id="rId130" Type="http://schemas.openxmlformats.org/officeDocument/2006/relationships/hyperlink" Target="https://dribble.octin.io/kibana/app/dashboards" TargetMode="External"/><Relationship Id="rId368" Type="http://schemas.openxmlformats.org/officeDocument/2006/relationships/hyperlink" Target="https://dribble.octin.io/kibana/app/dashboards" TargetMode="External"/><Relationship Id="rId172" Type="http://schemas.openxmlformats.org/officeDocument/2006/relationships/hyperlink" Target="https://dribble.octin.io/kibana/app/dashboards" TargetMode="External"/><Relationship Id="rId228" Type="http://schemas.openxmlformats.org/officeDocument/2006/relationships/hyperlink" Target="https://dribble.octin.io/kibana/app/dashboards" TargetMode="External"/><Relationship Id="rId435" Type="http://schemas.openxmlformats.org/officeDocument/2006/relationships/hyperlink" Target="https://dribble.octin.io/?mode=Single+log&amp;log_id=80a418e5-35b6-451f-9f53-40a214cdc910" TargetMode="External"/><Relationship Id="rId477" Type="http://schemas.openxmlformats.org/officeDocument/2006/relationships/hyperlink" Target="https://dribble.octin.io/?mode=Single+log&amp;log_id=bbd22aae-81dc-459c-95fe-7a4dd9e45bc5" TargetMode="External"/><Relationship Id="rId281" Type="http://schemas.openxmlformats.org/officeDocument/2006/relationships/hyperlink" Target="https://dribble.octin.io/?mode=Single+log&amp;log_id=12cda4d6-7837-4514-8007-1c9cffe4d737" TargetMode="External"/><Relationship Id="rId337" Type="http://schemas.openxmlformats.org/officeDocument/2006/relationships/hyperlink" Target="https://dribble.octin.io/?mode=Single+log&amp;log_id=e5643f33-3afb-4f6d-b3c3-cf409cf2c421" TargetMode="External"/><Relationship Id="rId502" Type="http://schemas.openxmlformats.org/officeDocument/2006/relationships/hyperlink" Target="https://dribble.octin.io/kibana/app/dashboards" TargetMode="External"/><Relationship Id="rId34" Type="http://schemas.openxmlformats.org/officeDocument/2006/relationships/hyperlink" Target="https://dribble.octin.io/kibana/app/dashboards" TargetMode="External"/><Relationship Id="rId76" Type="http://schemas.openxmlformats.org/officeDocument/2006/relationships/hyperlink" Target="https://dribble.octin.io/kibana/app/dashboards" TargetMode="External"/><Relationship Id="rId141" Type="http://schemas.openxmlformats.org/officeDocument/2006/relationships/hyperlink" Target="https://dribble.octin.io/?mode=Single+log&amp;log_id=ae91ce9d-1f9f-4f74-bf05-3c1332c5541e" TargetMode="External"/><Relationship Id="rId379" Type="http://schemas.openxmlformats.org/officeDocument/2006/relationships/hyperlink" Target="https://dribble.octin.io/?mode=Single+log&amp;log_id=7846f0ee-0476-45db-8e5c-b0660b1a12e8" TargetMode="External"/><Relationship Id="rId544" Type="http://schemas.openxmlformats.org/officeDocument/2006/relationships/hyperlink" Target="https://dribble.octin.io/kibana/app/dashboards" TargetMode="External"/><Relationship Id="rId7" Type="http://schemas.openxmlformats.org/officeDocument/2006/relationships/hyperlink" Target="https://dribble.octin.io/?mode=Single+log&amp;log_id=e87b647b-575c-44b0-9818-3664b797f2e6" TargetMode="External"/><Relationship Id="rId183" Type="http://schemas.openxmlformats.org/officeDocument/2006/relationships/hyperlink" Target="https://dribble.octin.io/?mode=Single+log&amp;log_id=f6b14058-c11b-4951-a7de-1c567956a37d" TargetMode="External"/><Relationship Id="rId239" Type="http://schemas.openxmlformats.org/officeDocument/2006/relationships/hyperlink" Target="https://dribble.octin.io/?mode=Single+log&amp;log_id=4a11d69c-4375-44a0-8998-4dee928321b0" TargetMode="External"/><Relationship Id="rId390" Type="http://schemas.openxmlformats.org/officeDocument/2006/relationships/hyperlink" Target="https://dribble.octin.io/kibana/app/dashboards" TargetMode="External"/><Relationship Id="rId404" Type="http://schemas.openxmlformats.org/officeDocument/2006/relationships/hyperlink" Target="https://dribble.octin.io/kibana/app/dashboards" TargetMode="External"/><Relationship Id="rId446" Type="http://schemas.openxmlformats.org/officeDocument/2006/relationships/hyperlink" Target="https://dribble.octin.io/kibana/app/dashboards" TargetMode="External"/><Relationship Id="rId250" Type="http://schemas.openxmlformats.org/officeDocument/2006/relationships/hyperlink" Target="https://dribble.octin.io/kibana/app/dashboards" TargetMode="External"/><Relationship Id="rId292" Type="http://schemas.openxmlformats.org/officeDocument/2006/relationships/hyperlink" Target="https://dribble.octin.io/kibana/app/dashboards" TargetMode="External"/><Relationship Id="rId306" Type="http://schemas.openxmlformats.org/officeDocument/2006/relationships/hyperlink" Target="https://dribble.octin.io/kibana/app/dashboards" TargetMode="External"/><Relationship Id="rId488" Type="http://schemas.openxmlformats.org/officeDocument/2006/relationships/hyperlink" Target="https://dribble.octin.io/kibana/app/dashboards" TargetMode="External"/><Relationship Id="rId45" Type="http://schemas.openxmlformats.org/officeDocument/2006/relationships/hyperlink" Target="https://dribble.octin.io/?mode=Single+log&amp;log_id=4fac7a0c-6a34-43b0-aa0a-d7c29ab2b767" TargetMode="External"/><Relationship Id="rId87" Type="http://schemas.openxmlformats.org/officeDocument/2006/relationships/hyperlink" Target="https://dribble.octin.io/?mode=Single+log&amp;log_id=2cd50b9f-bd52-4056-bb43-3cc3a13e78f3" TargetMode="External"/><Relationship Id="rId110" Type="http://schemas.openxmlformats.org/officeDocument/2006/relationships/hyperlink" Target="https://dribble.octin.io/kibana/app/dashboards" TargetMode="External"/><Relationship Id="rId348" Type="http://schemas.openxmlformats.org/officeDocument/2006/relationships/hyperlink" Target="https://dribble.octin.io/kibana/app/dashboards" TargetMode="External"/><Relationship Id="rId513" Type="http://schemas.openxmlformats.org/officeDocument/2006/relationships/hyperlink" Target="https://dribble.octin.io/?mode=Single+log&amp;log_id=1ca76716-c403-4b77-9db8-19785d766327" TargetMode="External"/><Relationship Id="rId152" Type="http://schemas.openxmlformats.org/officeDocument/2006/relationships/hyperlink" Target="https://dribble.octin.io/kibana/app/dashboards" TargetMode="External"/><Relationship Id="rId194" Type="http://schemas.openxmlformats.org/officeDocument/2006/relationships/hyperlink" Target="https://dribble.octin.io/kibana/app/dashboards" TargetMode="External"/><Relationship Id="rId208" Type="http://schemas.openxmlformats.org/officeDocument/2006/relationships/hyperlink" Target="https://dribble.octin.io/kibana/app/dashboards" TargetMode="External"/><Relationship Id="rId415" Type="http://schemas.openxmlformats.org/officeDocument/2006/relationships/hyperlink" Target="https://dribble.octin.io/?mode=Single+log&amp;log_id=26cd128c-924e-4f87-bb83-25096a1a29ba" TargetMode="External"/><Relationship Id="rId457" Type="http://schemas.openxmlformats.org/officeDocument/2006/relationships/hyperlink" Target="https://dribble.octin.io/?mode=Single+log&amp;log_id=4d2b19d8-0549-42b7-96c1-deb7a8607538" TargetMode="External"/><Relationship Id="rId261" Type="http://schemas.openxmlformats.org/officeDocument/2006/relationships/hyperlink" Target="https://dribble.octin.io/?mode=Single+log&amp;log_id=a705e644-90cc-45ef-b50d-59e04495dd0c" TargetMode="External"/><Relationship Id="rId499" Type="http://schemas.openxmlformats.org/officeDocument/2006/relationships/hyperlink" Target="https://dribble.octin.io/?mode=Single+log&amp;log_id=207ccb9a-ac16-4405-92da-bfee5a302d67" TargetMode="External"/><Relationship Id="rId14" Type="http://schemas.openxmlformats.org/officeDocument/2006/relationships/hyperlink" Target="https://dribble.octin.io/kibana/app/dashboards" TargetMode="External"/><Relationship Id="rId56" Type="http://schemas.openxmlformats.org/officeDocument/2006/relationships/hyperlink" Target="https://dribble.octin.io/kibana/app/dashboards" TargetMode="External"/><Relationship Id="rId317" Type="http://schemas.openxmlformats.org/officeDocument/2006/relationships/hyperlink" Target="https://dribble.octin.io/?mode=Single+log&amp;log_id=5cbf76bd-8daa-4175-8eef-328067c4d761" TargetMode="External"/><Relationship Id="rId359" Type="http://schemas.openxmlformats.org/officeDocument/2006/relationships/hyperlink" Target="https://dribble.octin.io/?mode=Single+log&amp;log_id=28009ca8-fb00-438b-88e6-d3751e924339" TargetMode="External"/><Relationship Id="rId524" Type="http://schemas.openxmlformats.org/officeDocument/2006/relationships/hyperlink" Target="https://dribble.octin.io/kibana/app/dashboards" TargetMode="External"/><Relationship Id="rId98" Type="http://schemas.openxmlformats.org/officeDocument/2006/relationships/hyperlink" Target="https://dribble.octin.io/kibana/app/dashboards" TargetMode="External"/><Relationship Id="rId121" Type="http://schemas.openxmlformats.org/officeDocument/2006/relationships/hyperlink" Target="https://dribble.octin.io/?mode=Single+log&amp;log_id=fe963831-6f5b-4023-ab01-3914a26c331e" TargetMode="External"/><Relationship Id="rId163" Type="http://schemas.openxmlformats.org/officeDocument/2006/relationships/hyperlink" Target="https://dribble.octin.io/?mode=Single+log&amp;log_id=5f2ef70f-5c77-4cd3-bb9e-49fe2c5264a6" TargetMode="External"/><Relationship Id="rId219" Type="http://schemas.openxmlformats.org/officeDocument/2006/relationships/hyperlink" Target="https://dribble.octin.io/?mode=Single+log&amp;log_id=7a2e9786-d154-47ac-85b7-88a12bd68516" TargetMode="External"/><Relationship Id="rId370" Type="http://schemas.openxmlformats.org/officeDocument/2006/relationships/hyperlink" Target="https://dribble.octin.io/kibana/app/dashboards" TargetMode="External"/><Relationship Id="rId426" Type="http://schemas.openxmlformats.org/officeDocument/2006/relationships/hyperlink" Target="https://dribble.octin.io/kibana/app/dashboards" TargetMode="External"/><Relationship Id="rId230" Type="http://schemas.openxmlformats.org/officeDocument/2006/relationships/hyperlink" Target="https://dribble.octin.io/kibana/app/dashboards" TargetMode="External"/><Relationship Id="rId468" Type="http://schemas.openxmlformats.org/officeDocument/2006/relationships/hyperlink" Target="https://dribble.octin.io/kibana/app/dashboards" TargetMode="External"/><Relationship Id="rId25" Type="http://schemas.openxmlformats.org/officeDocument/2006/relationships/hyperlink" Target="https://dribble.octin.io/?mode=Single+log&amp;log_id=692fa9c9-7cfd-445f-b276-0c246f0f66b7" TargetMode="External"/><Relationship Id="rId67" Type="http://schemas.openxmlformats.org/officeDocument/2006/relationships/hyperlink" Target="https://dribble.octin.io/?mode=Single+log&amp;log_id=5b03c284-6521-48a8-8028-e6bab7ac95e2" TargetMode="External"/><Relationship Id="rId272" Type="http://schemas.openxmlformats.org/officeDocument/2006/relationships/hyperlink" Target="https://dribble.octin.io/kibana/app/dashboards" TargetMode="External"/><Relationship Id="rId328" Type="http://schemas.openxmlformats.org/officeDocument/2006/relationships/hyperlink" Target="https://dribble.octin.io/kibana/app/dashboards" TargetMode="External"/><Relationship Id="rId535" Type="http://schemas.openxmlformats.org/officeDocument/2006/relationships/hyperlink" Target="https://dribble.octin.io/?mode=Single+log&amp;log_id=bae40a0a-6133-4b6b-bf15-a24bc1be08cc" TargetMode="External"/><Relationship Id="rId132" Type="http://schemas.openxmlformats.org/officeDocument/2006/relationships/hyperlink" Target="https://dribble.octin.io/kibana/app/dashboards" TargetMode="External"/><Relationship Id="rId174" Type="http://schemas.openxmlformats.org/officeDocument/2006/relationships/hyperlink" Target="https://dribble.octin.io/kibana/app/dashboards" TargetMode="External"/><Relationship Id="rId381" Type="http://schemas.openxmlformats.org/officeDocument/2006/relationships/hyperlink" Target="https://dribble.octin.io/?mode=Single+log&amp;log_id=8a86a657-b8f8-413c-9c6d-ebf77eb98a83" TargetMode="External"/><Relationship Id="rId241" Type="http://schemas.openxmlformats.org/officeDocument/2006/relationships/hyperlink" Target="https://dribble.octin.io/?mode=Single+log&amp;log_id=1e30e97e-a939-494e-b85d-53df1aa777fd" TargetMode="External"/><Relationship Id="rId437" Type="http://schemas.openxmlformats.org/officeDocument/2006/relationships/hyperlink" Target="https://dribble.octin.io/?mode=Single+log&amp;log_id=db0139a8-f736-42c1-9ba0-6a2b51943f62" TargetMode="External"/><Relationship Id="rId479" Type="http://schemas.openxmlformats.org/officeDocument/2006/relationships/hyperlink" Target="https://dribble.octin.io/?mode=Single+log&amp;log_id=6b4c7072-f5d0-409f-98b5-c6abc8977a80" TargetMode="External"/><Relationship Id="rId36" Type="http://schemas.openxmlformats.org/officeDocument/2006/relationships/hyperlink" Target="https://dribble.octin.io/kibana/app/dashboards" TargetMode="External"/><Relationship Id="rId283" Type="http://schemas.openxmlformats.org/officeDocument/2006/relationships/hyperlink" Target="https://dribble.octin.io/?mode=Single+log&amp;log_id=ff208b44-bff9-4541-b440-b166bb9798d9" TargetMode="External"/><Relationship Id="rId339" Type="http://schemas.openxmlformats.org/officeDocument/2006/relationships/hyperlink" Target="https://dribble.octin.io/?mode=Single+log&amp;log_id=e938471f-4e54-4525-8215-216faab21e23" TargetMode="External"/><Relationship Id="rId490" Type="http://schemas.openxmlformats.org/officeDocument/2006/relationships/hyperlink" Target="https://dribble.octin.io/kibana/app/dashboards" TargetMode="External"/><Relationship Id="rId504" Type="http://schemas.openxmlformats.org/officeDocument/2006/relationships/hyperlink" Target="https://dribble.octin.io/kibana/app/dashboards" TargetMode="External"/><Relationship Id="rId546" Type="http://schemas.openxmlformats.org/officeDocument/2006/relationships/hyperlink" Target="https://dribble.octin.io/kibana/app/dashboards" TargetMode="External"/><Relationship Id="rId78" Type="http://schemas.openxmlformats.org/officeDocument/2006/relationships/hyperlink" Target="https://dribble.octin.io/kibana/app/dashboards" TargetMode="External"/><Relationship Id="rId101" Type="http://schemas.openxmlformats.org/officeDocument/2006/relationships/hyperlink" Target="https://dribble.octin.io/?mode=Single+log&amp;log_id=05da91e6-9c9a-4b31-afd5-07c36a161745" TargetMode="External"/><Relationship Id="rId143" Type="http://schemas.openxmlformats.org/officeDocument/2006/relationships/hyperlink" Target="https://dribble.octin.io/?mode=Single+log&amp;log_id=49a0b4ea-6c3b-4004-a2a4-c8569b9bf182" TargetMode="External"/><Relationship Id="rId185" Type="http://schemas.openxmlformats.org/officeDocument/2006/relationships/hyperlink" Target="https://dribble.octin.io/?mode=Single+log&amp;log_id=531cf508-8419-41df-bc9d-7b87ed763afd" TargetMode="External"/><Relationship Id="rId350" Type="http://schemas.openxmlformats.org/officeDocument/2006/relationships/hyperlink" Target="https://dribble.octin.io/kibana/app/dashboards" TargetMode="External"/><Relationship Id="rId406" Type="http://schemas.openxmlformats.org/officeDocument/2006/relationships/hyperlink" Target="https://dribble.octin.io/kibana/app/dashboards" TargetMode="External"/><Relationship Id="rId9" Type="http://schemas.openxmlformats.org/officeDocument/2006/relationships/hyperlink" Target="https://dribble.octin.io/?mode=Single+log&amp;log_id=8a4714b7-8ba2-4f19-a4df-b061bcc66be8" TargetMode="External"/><Relationship Id="rId210" Type="http://schemas.openxmlformats.org/officeDocument/2006/relationships/hyperlink" Target="https://dribble.octin.io/kibana/app/dashboards" TargetMode="External"/><Relationship Id="rId392" Type="http://schemas.openxmlformats.org/officeDocument/2006/relationships/hyperlink" Target="https://dribble.octin.io/kibana/app/dashboards" TargetMode="External"/><Relationship Id="rId448" Type="http://schemas.openxmlformats.org/officeDocument/2006/relationships/hyperlink" Target="https://dribble.octin.io/kibana/app/dashboards" TargetMode="External"/><Relationship Id="rId252" Type="http://schemas.openxmlformats.org/officeDocument/2006/relationships/hyperlink" Target="https://dribble.octin.io/kibana/app/dashboards" TargetMode="External"/><Relationship Id="rId294" Type="http://schemas.openxmlformats.org/officeDocument/2006/relationships/hyperlink" Target="https://dribble.octin.io/kibana/app/dashboards" TargetMode="External"/><Relationship Id="rId308" Type="http://schemas.openxmlformats.org/officeDocument/2006/relationships/hyperlink" Target="https://dribble.octin.io/kibana/app/dashboards" TargetMode="External"/><Relationship Id="rId515" Type="http://schemas.openxmlformats.org/officeDocument/2006/relationships/hyperlink" Target="https://dribble.octin.io/?mode=Single+log&amp;log_id=ac1e2240-34a0-4404-afcc-a539f0db4bbb" TargetMode="External"/><Relationship Id="rId47" Type="http://schemas.openxmlformats.org/officeDocument/2006/relationships/hyperlink" Target="https://dribble.octin.io/?mode=Single+log&amp;log_id=1b0588bd-29bf-49d2-8c40-8f814e735a28" TargetMode="External"/><Relationship Id="rId89" Type="http://schemas.openxmlformats.org/officeDocument/2006/relationships/hyperlink" Target="https://dribble.octin.io/?mode=Single+log&amp;log_id=96bf7a4a-8a17-4ac5-b370-20ec8f2e3d95" TargetMode="External"/><Relationship Id="rId112" Type="http://schemas.openxmlformats.org/officeDocument/2006/relationships/hyperlink" Target="https://dribble.octin.io/kibana/app/dashboards" TargetMode="External"/><Relationship Id="rId154" Type="http://schemas.openxmlformats.org/officeDocument/2006/relationships/hyperlink" Target="https://dribble.octin.io/kibana/app/dashboards" TargetMode="External"/><Relationship Id="rId361" Type="http://schemas.openxmlformats.org/officeDocument/2006/relationships/hyperlink" Target="https://dribble.octin.io/?mode=Single+log&amp;log_id=f221d0b4-a901-487d-8379-227b1fce9261" TargetMode="External"/><Relationship Id="rId196" Type="http://schemas.openxmlformats.org/officeDocument/2006/relationships/hyperlink" Target="https://dribble.octin.io/kibana/app/dashboards" TargetMode="External"/><Relationship Id="rId417" Type="http://schemas.openxmlformats.org/officeDocument/2006/relationships/hyperlink" Target="https://dribble.octin.io/?mode=Single+log&amp;log_id=87f4aecc-1ff8-417c-befe-0cd40fd6d51d" TargetMode="External"/><Relationship Id="rId459" Type="http://schemas.openxmlformats.org/officeDocument/2006/relationships/hyperlink" Target="https://dribble.octin.io/?mode=Single+log&amp;log_id=256b483e-b92f-45a3-bf57-5532025ad4cb" TargetMode="External"/><Relationship Id="rId16" Type="http://schemas.openxmlformats.org/officeDocument/2006/relationships/hyperlink" Target="https://dribble.octin.io/kibana/app/dashboards" TargetMode="External"/><Relationship Id="rId221" Type="http://schemas.openxmlformats.org/officeDocument/2006/relationships/hyperlink" Target="https://dribble.octin.io/?mode=Single+log&amp;log_id=a1d6e675-e75c-41b2-b0ea-f2dc795d3cca" TargetMode="External"/><Relationship Id="rId263" Type="http://schemas.openxmlformats.org/officeDocument/2006/relationships/hyperlink" Target="https://dribble.octin.io/?mode=Single+log&amp;log_id=87bc15ad-cb50-448a-a403-c12c3ee8c387" TargetMode="External"/><Relationship Id="rId319" Type="http://schemas.openxmlformats.org/officeDocument/2006/relationships/hyperlink" Target="https://dribble.octin.io/?mode=Single+log&amp;log_id=6fd66e03-5b83-404d-ac8a-c3966b821963" TargetMode="External"/><Relationship Id="rId470" Type="http://schemas.openxmlformats.org/officeDocument/2006/relationships/hyperlink" Target="https://dribble.octin.io/kibana/app/dashboards" TargetMode="External"/><Relationship Id="rId526" Type="http://schemas.openxmlformats.org/officeDocument/2006/relationships/hyperlink" Target="https://dribble.octin.io/kibana/app/dashboards" TargetMode="External"/><Relationship Id="rId58" Type="http://schemas.openxmlformats.org/officeDocument/2006/relationships/hyperlink" Target="https://dribble.octin.io/kibana/app/dashboards" TargetMode="External"/><Relationship Id="rId123" Type="http://schemas.openxmlformats.org/officeDocument/2006/relationships/hyperlink" Target="https://dribble.octin.io/?mode=Single+log&amp;log_id=92ef0173-b269-4e12-8a93-b7d4d9183251" TargetMode="External"/><Relationship Id="rId330" Type="http://schemas.openxmlformats.org/officeDocument/2006/relationships/hyperlink" Target="https://dribble.octin.io/kibana/app/dashboards" TargetMode="External"/><Relationship Id="rId165" Type="http://schemas.openxmlformats.org/officeDocument/2006/relationships/hyperlink" Target="https://dribble.octin.io/?mode=Single+log&amp;log_id=8486e948-3ee0-4089-8c7f-c9f0516cbb02" TargetMode="External"/><Relationship Id="rId372" Type="http://schemas.openxmlformats.org/officeDocument/2006/relationships/hyperlink" Target="https://dribble.octin.io/kibana/app/dashboards" TargetMode="External"/><Relationship Id="rId428" Type="http://schemas.openxmlformats.org/officeDocument/2006/relationships/hyperlink" Target="https://dribble.octin.io/kibana/app/dashboards" TargetMode="External"/><Relationship Id="rId232" Type="http://schemas.openxmlformats.org/officeDocument/2006/relationships/hyperlink" Target="https://dribble.octin.io/kibana/app/dashboards" TargetMode="External"/><Relationship Id="rId274" Type="http://schemas.openxmlformats.org/officeDocument/2006/relationships/hyperlink" Target="https://dribble.octin.io/kibana/app/dashboards" TargetMode="External"/><Relationship Id="rId481" Type="http://schemas.openxmlformats.org/officeDocument/2006/relationships/hyperlink" Target="https://dribble.octin.io/?mode=Single+log&amp;log_id=2356f5d5-1d82-4d1b-9e4d-6a1c5e028ed5" TargetMode="External"/><Relationship Id="rId27" Type="http://schemas.openxmlformats.org/officeDocument/2006/relationships/hyperlink" Target="https://dribble.octin.io/?mode=Single+log&amp;log_id=ce6f0103-6ea8-4679-877a-a2d9f75131a5" TargetMode="External"/><Relationship Id="rId69" Type="http://schemas.openxmlformats.org/officeDocument/2006/relationships/hyperlink" Target="https://dribble.octin.io/?mode=Single+log&amp;log_id=54247cdc-84e6-4377-bd25-c8bb21e11b41" TargetMode="External"/><Relationship Id="rId134" Type="http://schemas.openxmlformats.org/officeDocument/2006/relationships/hyperlink" Target="https://dribble.octin.io/kibana/app/dashboards" TargetMode="External"/><Relationship Id="rId537" Type="http://schemas.openxmlformats.org/officeDocument/2006/relationships/hyperlink" Target="https://dribble.octin.io/?mode=Single+log&amp;log_id=c01b71f8-8afc-455d-8d49-1cb1e63afa57" TargetMode="External"/><Relationship Id="rId80" Type="http://schemas.openxmlformats.org/officeDocument/2006/relationships/hyperlink" Target="https://dribble.octin.io/kibana/app/dashboards" TargetMode="External"/><Relationship Id="rId176" Type="http://schemas.openxmlformats.org/officeDocument/2006/relationships/hyperlink" Target="https://dribble.octin.io/kibana/app/dashboards" TargetMode="External"/><Relationship Id="rId341" Type="http://schemas.openxmlformats.org/officeDocument/2006/relationships/hyperlink" Target="https://dribble.octin.io/?mode=Single+log&amp;log_id=96bf30c4-d2e4-4e79-9155-e652dac9d2f1" TargetMode="External"/><Relationship Id="rId383" Type="http://schemas.openxmlformats.org/officeDocument/2006/relationships/hyperlink" Target="https://dribble.octin.io/?mode=Single+log&amp;log_id=3ada1a4c-82c6-49ab-8d15-d4b4231830ef" TargetMode="External"/><Relationship Id="rId439" Type="http://schemas.openxmlformats.org/officeDocument/2006/relationships/hyperlink" Target="https://dribble.octin.io/?mode=Single+log&amp;log_id=bdebb232-1f0b-4e5c-ab48-ae74f386b669" TargetMode="External"/><Relationship Id="rId201" Type="http://schemas.openxmlformats.org/officeDocument/2006/relationships/hyperlink" Target="https://dribble.octin.io/?mode=Single+log&amp;log_id=2b0353ea-6b67-42db-9143-fc72df15d869" TargetMode="External"/><Relationship Id="rId243" Type="http://schemas.openxmlformats.org/officeDocument/2006/relationships/hyperlink" Target="https://dribble.octin.io/?mode=Single+log&amp;log_id=cc5314aa-7bb7-40cd-8779-ee4840536c7e" TargetMode="External"/><Relationship Id="rId285" Type="http://schemas.openxmlformats.org/officeDocument/2006/relationships/hyperlink" Target="https://dribble.octin.io/?mode=Single+log&amp;log_id=36a1dfb9-c27d-4159-9878-9e62455c2257" TargetMode="External"/><Relationship Id="rId450" Type="http://schemas.openxmlformats.org/officeDocument/2006/relationships/hyperlink" Target="https://dribble.octin.io/kibana/app/dashboards" TargetMode="External"/><Relationship Id="rId506" Type="http://schemas.openxmlformats.org/officeDocument/2006/relationships/hyperlink" Target="https://dribble.octin.io/kibana/app/dashboards" TargetMode="External"/><Relationship Id="rId38" Type="http://schemas.openxmlformats.org/officeDocument/2006/relationships/hyperlink" Target="https://dribble.octin.io/kibana/app/dashboards" TargetMode="External"/><Relationship Id="rId103" Type="http://schemas.openxmlformats.org/officeDocument/2006/relationships/hyperlink" Target="https://dribble.octin.io/?mode=Single+log&amp;log_id=c8e1d79b-a2a8-4a95-b3d5-6861f69f4e43" TargetMode="External"/><Relationship Id="rId310" Type="http://schemas.openxmlformats.org/officeDocument/2006/relationships/hyperlink" Target="https://dribble.octin.io/kibana/app/dashboards" TargetMode="External"/><Relationship Id="rId492" Type="http://schemas.openxmlformats.org/officeDocument/2006/relationships/hyperlink" Target="https://dribble.octin.io/kibana/app/dashboards" TargetMode="External"/><Relationship Id="rId91" Type="http://schemas.openxmlformats.org/officeDocument/2006/relationships/hyperlink" Target="https://dribble.octin.io/?mode=Single+log&amp;log_id=d95c5cd1-a537-46e8-ab19-c701621dbeea" TargetMode="External"/><Relationship Id="rId145" Type="http://schemas.openxmlformats.org/officeDocument/2006/relationships/hyperlink" Target="https://dribble.octin.io/?mode=Single+log&amp;log_id=c3b03c1d-662d-4c00-84e5-49c4b8080c71" TargetMode="External"/><Relationship Id="rId187" Type="http://schemas.openxmlformats.org/officeDocument/2006/relationships/hyperlink" Target="https://dribble.octin.io/?mode=Single+log&amp;log_id=461e2039-6e9d-4fc3-8d7c-7e55ecc0e569" TargetMode="External"/><Relationship Id="rId352" Type="http://schemas.openxmlformats.org/officeDocument/2006/relationships/hyperlink" Target="https://dribble.octin.io/kibana/app/dashboards" TargetMode="External"/><Relationship Id="rId394" Type="http://schemas.openxmlformats.org/officeDocument/2006/relationships/hyperlink" Target="https://dribble.octin.io/kibana/app/dashboards" TargetMode="External"/><Relationship Id="rId408" Type="http://schemas.openxmlformats.org/officeDocument/2006/relationships/hyperlink" Target="https://dribble.octin.io/kibana/app/dashboards" TargetMode="External"/><Relationship Id="rId212" Type="http://schemas.openxmlformats.org/officeDocument/2006/relationships/hyperlink" Target="https://dribble.octin.io/kibana/app/dashboards" TargetMode="External"/><Relationship Id="rId254" Type="http://schemas.openxmlformats.org/officeDocument/2006/relationships/hyperlink" Target="https://dribble.octin.io/kibana/app/dashboards" TargetMode="External"/><Relationship Id="rId49" Type="http://schemas.openxmlformats.org/officeDocument/2006/relationships/hyperlink" Target="https://dribble.octin.io/?mode=Single+log&amp;log_id=0aff9435-84ff-4f73-8981-8e0ab0194a34" TargetMode="External"/><Relationship Id="rId114" Type="http://schemas.openxmlformats.org/officeDocument/2006/relationships/hyperlink" Target="https://dribble.octin.io/kibana/app/dashboards" TargetMode="External"/><Relationship Id="rId296" Type="http://schemas.openxmlformats.org/officeDocument/2006/relationships/hyperlink" Target="https://dribble.octin.io/kibana/app/dashboards" TargetMode="External"/><Relationship Id="rId461" Type="http://schemas.openxmlformats.org/officeDocument/2006/relationships/hyperlink" Target="https://dribble.octin.io/?mode=Single+log&amp;log_id=0a9dce57-6979-4fd4-861c-6d55f0d49220" TargetMode="External"/><Relationship Id="rId517" Type="http://schemas.openxmlformats.org/officeDocument/2006/relationships/hyperlink" Target="https://dribble.octin.io/?mode=Single+log&amp;log_id=f12154d5-80d4-4254-8dad-6fd886fb3e7c" TargetMode="External"/><Relationship Id="rId60" Type="http://schemas.openxmlformats.org/officeDocument/2006/relationships/hyperlink" Target="https://dribble.octin.io/kibana/app/dashboards" TargetMode="External"/><Relationship Id="rId156" Type="http://schemas.openxmlformats.org/officeDocument/2006/relationships/hyperlink" Target="https://dribble.octin.io/kibana/app/dashboards" TargetMode="External"/><Relationship Id="rId198" Type="http://schemas.openxmlformats.org/officeDocument/2006/relationships/hyperlink" Target="https://dribble.octin.io/kibana/app/dashboards" TargetMode="External"/><Relationship Id="rId321" Type="http://schemas.openxmlformats.org/officeDocument/2006/relationships/hyperlink" Target="https://dribble.octin.io/?mode=Single+log&amp;log_id=0f87d519-ff80-4ecc-b93d-2c589fb53e41" TargetMode="External"/><Relationship Id="rId363" Type="http://schemas.openxmlformats.org/officeDocument/2006/relationships/hyperlink" Target="https://dribble.octin.io/?mode=Single+log&amp;log_id=23dd2cd4-d919-4b65-b35f-a8f18babb882" TargetMode="External"/><Relationship Id="rId419" Type="http://schemas.openxmlformats.org/officeDocument/2006/relationships/hyperlink" Target="https://dribble.octin.io/?mode=Single+log&amp;log_id=98e7945c-2831-40b8-bf90-45e37b189676" TargetMode="External"/><Relationship Id="rId223" Type="http://schemas.openxmlformats.org/officeDocument/2006/relationships/hyperlink" Target="https://dribble.octin.io/?mode=Single+log&amp;log_id=168c5732-dd17-4ba2-ac15-85ab653569c9" TargetMode="External"/><Relationship Id="rId430" Type="http://schemas.openxmlformats.org/officeDocument/2006/relationships/hyperlink" Target="https://dribble.octin.io/kibana/app/dashboards" TargetMode="External"/><Relationship Id="rId18" Type="http://schemas.openxmlformats.org/officeDocument/2006/relationships/hyperlink" Target="https://dribble.octin.io/kibana/app/dashboards" TargetMode="External"/><Relationship Id="rId265" Type="http://schemas.openxmlformats.org/officeDocument/2006/relationships/hyperlink" Target="https://dribble.octin.io/?mode=Single+log&amp;log_id=9eb255f3-4694-4d48-8cbd-01d841138420" TargetMode="External"/><Relationship Id="rId472" Type="http://schemas.openxmlformats.org/officeDocument/2006/relationships/hyperlink" Target="https://dribble.octin.io/kibana/app/dashboards" TargetMode="External"/><Relationship Id="rId528" Type="http://schemas.openxmlformats.org/officeDocument/2006/relationships/hyperlink" Target="https://dribble.octin.io/kibana/app/dashboards" TargetMode="External"/><Relationship Id="rId125" Type="http://schemas.openxmlformats.org/officeDocument/2006/relationships/hyperlink" Target="https://dribble.octin.io/?mode=Single+log&amp;log_id=dfbef9a9-ebdd-4664-a57b-c608b4fb9bc5" TargetMode="External"/><Relationship Id="rId167" Type="http://schemas.openxmlformats.org/officeDocument/2006/relationships/hyperlink" Target="https://dribble.octin.io/?mode=Single+log&amp;log_id=96fd6cca-e387-4b25-8a2e-17d429c20991" TargetMode="External"/><Relationship Id="rId332" Type="http://schemas.openxmlformats.org/officeDocument/2006/relationships/hyperlink" Target="https://dribble.octin.io/kibana/app/dashboards" TargetMode="External"/><Relationship Id="rId374" Type="http://schemas.openxmlformats.org/officeDocument/2006/relationships/hyperlink" Target="https://dribble.octin.io/kibana/app/dashboards" TargetMode="External"/><Relationship Id="rId71" Type="http://schemas.openxmlformats.org/officeDocument/2006/relationships/hyperlink" Target="https://dribble.octin.io/?mode=Single+log&amp;log_id=f1814003-c7c0-4f33-ab88-2b681c8fde85" TargetMode="External"/><Relationship Id="rId234" Type="http://schemas.openxmlformats.org/officeDocument/2006/relationships/hyperlink" Target="https://dribble.octin.io/kibana/app/dashboards" TargetMode="External"/><Relationship Id="rId2" Type="http://schemas.openxmlformats.org/officeDocument/2006/relationships/hyperlink" Target="https://dribble.octin.io/kibana/app/dashboards" TargetMode="External"/><Relationship Id="rId29" Type="http://schemas.openxmlformats.org/officeDocument/2006/relationships/hyperlink" Target="https://dribble.octin.io/?mode=Single+log&amp;log_id=4031f5d6-d715-4b69-8395-4a007b80aa1a" TargetMode="External"/><Relationship Id="rId276" Type="http://schemas.openxmlformats.org/officeDocument/2006/relationships/hyperlink" Target="https://dribble.octin.io/kibana/app/dashboards" TargetMode="External"/><Relationship Id="rId441" Type="http://schemas.openxmlformats.org/officeDocument/2006/relationships/hyperlink" Target="https://dribble.octin.io/?mode=Single+log&amp;log_id=d8e06dea-8908-46f1-b753-a4aa4c2c27a3" TargetMode="External"/><Relationship Id="rId483" Type="http://schemas.openxmlformats.org/officeDocument/2006/relationships/hyperlink" Target="https://dribble.octin.io/?mode=Single+log&amp;log_id=81a0605d-1ebe-4ff2-85b1-b773e2fef663" TargetMode="External"/><Relationship Id="rId539" Type="http://schemas.openxmlformats.org/officeDocument/2006/relationships/hyperlink" Target="https://dribble.octin.io/?mode=Single+log&amp;log_id=550dbbfa-ad87-490a-b6cb-97e9868db400" TargetMode="External"/><Relationship Id="rId40" Type="http://schemas.openxmlformats.org/officeDocument/2006/relationships/hyperlink" Target="https://dribble.octin.io/kibana/app/dashboards" TargetMode="External"/><Relationship Id="rId136" Type="http://schemas.openxmlformats.org/officeDocument/2006/relationships/hyperlink" Target="https://dribble.octin.io/kibana/app/dashboards" TargetMode="External"/><Relationship Id="rId178" Type="http://schemas.openxmlformats.org/officeDocument/2006/relationships/hyperlink" Target="https://dribble.octin.io/kibana/app/dashboards" TargetMode="External"/><Relationship Id="rId301" Type="http://schemas.openxmlformats.org/officeDocument/2006/relationships/hyperlink" Target="https://dribble.octin.io/?mode=Single+log&amp;log_id=0345b7f2-751f-4133-a1c2-e87e324bf97b" TargetMode="External"/><Relationship Id="rId343" Type="http://schemas.openxmlformats.org/officeDocument/2006/relationships/hyperlink" Target="https://dribble.octin.io/?mode=Single+log&amp;log_id=d7e4b522-543c-4482-802f-2265515f8cbf" TargetMode="External"/><Relationship Id="rId82" Type="http://schemas.openxmlformats.org/officeDocument/2006/relationships/hyperlink" Target="https://dribble.octin.io/kibana/app/dashboards" TargetMode="External"/><Relationship Id="rId203" Type="http://schemas.openxmlformats.org/officeDocument/2006/relationships/hyperlink" Target="https://dribble.octin.io/?mode=Single+log&amp;log_id=7919b85a-864e-4f79-a5d0-88b94ac09256" TargetMode="External"/><Relationship Id="rId385" Type="http://schemas.openxmlformats.org/officeDocument/2006/relationships/hyperlink" Target="https://dribble.octin.io/?mode=Single+log&amp;log_id=2837d406-0c8e-49f6-a10d-0fa5eecf5eb6" TargetMode="External"/><Relationship Id="rId245" Type="http://schemas.openxmlformats.org/officeDocument/2006/relationships/hyperlink" Target="https://dribble.octin.io/?mode=Single+log&amp;log_id=f38e4063-2f68-462b-8111-080673c647ae" TargetMode="External"/><Relationship Id="rId287" Type="http://schemas.openxmlformats.org/officeDocument/2006/relationships/hyperlink" Target="https://dribble.octin.io/?mode=Single+log&amp;log_id=643671ed-a8a4-46c4-b9fe-8c4bc9042d6b" TargetMode="External"/><Relationship Id="rId410" Type="http://schemas.openxmlformats.org/officeDocument/2006/relationships/hyperlink" Target="https://dribble.octin.io/kibana/app/dashboards" TargetMode="External"/><Relationship Id="rId452" Type="http://schemas.openxmlformats.org/officeDocument/2006/relationships/hyperlink" Target="https://dribble.octin.io/kibana/app/dashboards" TargetMode="External"/><Relationship Id="rId494" Type="http://schemas.openxmlformats.org/officeDocument/2006/relationships/hyperlink" Target="https://dribble.octin.io/kibana/app/dashboards" TargetMode="External"/><Relationship Id="rId508" Type="http://schemas.openxmlformats.org/officeDocument/2006/relationships/hyperlink" Target="https://dribble.octin.io/kibana/app/dashboards" TargetMode="External"/><Relationship Id="rId105" Type="http://schemas.openxmlformats.org/officeDocument/2006/relationships/hyperlink" Target="https://dribble.octin.io/?mode=Single+log&amp;log_id=2178bd22-acc4-4b79-8701-6e8e1ef96e30" TargetMode="External"/><Relationship Id="rId147" Type="http://schemas.openxmlformats.org/officeDocument/2006/relationships/hyperlink" Target="https://dribble.octin.io/?mode=Single+log&amp;log_id=62ddd63e-5637-464e-a085-e69c57732339" TargetMode="External"/><Relationship Id="rId312" Type="http://schemas.openxmlformats.org/officeDocument/2006/relationships/hyperlink" Target="https://dribble.octin.io/kibana/app/dashboards" TargetMode="External"/><Relationship Id="rId354" Type="http://schemas.openxmlformats.org/officeDocument/2006/relationships/hyperlink" Target="https://dribble.octin.io/kibana/app/dashboards" TargetMode="External"/><Relationship Id="rId51" Type="http://schemas.openxmlformats.org/officeDocument/2006/relationships/hyperlink" Target="https://dribble.octin.io/?mode=Single+log&amp;log_id=06f6872c-b3b6-4f47-a83e-39e733bbb8de" TargetMode="External"/><Relationship Id="rId93" Type="http://schemas.openxmlformats.org/officeDocument/2006/relationships/hyperlink" Target="https://dribble.octin.io/?mode=Single+log&amp;log_id=b64bab63-3a94-4d45-a3ce-ad0f4f0db24f" TargetMode="External"/><Relationship Id="rId189" Type="http://schemas.openxmlformats.org/officeDocument/2006/relationships/hyperlink" Target="https://dribble.octin.io/?mode=Single+log&amp;log_id=917389e3-e8e0-4bd8-94f4-6bca423b7f75" TargetMode="External"/><Relationship Id="rId396" Type="http://schemas.openxmlformats.org/officeDocument/2006/relationships/hyperlink" Target="https://dribble.octin.io/kibana/app/dashboards" TargetMode="External"/><Relationship Id="rId214" Type="http://schemas.openxmlformats.org/officeDocument/2006/relationships/hyperlink" Target="https://dribble.octin.io/kibana/app/dashboards" TargetMode="External"/><Relationship Id="rId256" Type="http://schemas.openxmlformats.org/officeDocument/2006/relationships/hyperlink" Target="https://dribble.octin.io/kibana/app/dashboards" TargetMode="External"/><Relationship Id="rId298" Type="http://schemas.openxmlformats.org/officeDocument/2006/relationships/hyperlink" Target="https://dribble.octin.io/kibana/app/dashboards" TargetMode="External"/><Relationship Id="rId421" Type="http://schemas.openxmlformats.org/officeDocument/2006/relationships/hyperlink" Target="https://dribble.octin.io/?mode=Single+log&amp;log_id=c7f42985-5e19-4ae0-ad69-be15c4b31d19" TargetMode="External"/><Relationship Id="rId463" Type="http://schemas.openxmlformats.org/officeDocument/2006/relationships/hyperlink" Target="https://dribble.octin.io/?mode=Single+log&amp;log_id=2acb9cd4-c56a-4d1d-b585-faa4ae52d245" TargetMode="External"/><Relationship Id="rId519" Type="http://schemas.openxmlformats.org/officeDocument/2006/relationships/hyperlink" Target="https://dribble.octin.io/?mode=Single+log&amp;log_id=4d6caba1-a988-48ac-9d13-afdf50b801fb" TargetMode="External"/><Relationship Id="rId116" Type="http://schemas.openxmlformats.org/officeDocument/2006/relationships/hyperlink" Target="https://dribble.octin.io/kibana/app/dashboards" TargetMode="External"/><Relationship Id="rId158" Type="http://schemas.openxmlformats.org/officeDocument/2006/relationships/hyperlink" Target="https://dribble.octin.io/kibana/app/dashboards" TargetMode="External"/><Relationship Id="rId323" Type="http://schemas.openxmlformats.org/officeDocument/2006/relationships/hyperlink" Target="https://dribble.octin.io/?mode=Single+log&amp;log_id=f7d7ca8f-9aca-49f0-8f7c-0066d071eef5" TargetMode="External"/><Relationship Id="rId530" Type="http://schemas.openxmlformats.org/officeDocument/2006/relationships/hyperlink" Target="https://dribble.octin.io/kibana/app/dashboards" TargetMode="External"/><Relationship Id="rId20" Type="http://schemas.openxmlformats.org/officeDocument/2006/relationships/hyperlink" Target="https://dribble.octin.io/kibana/app/dashboards" TargetMode="External"/><Relationship Id="rId62" Type="http://schemas.openxmlformats.org/officeDocument/2006/relationships/hyperlink" Target="https://dribble.octin.io/kibana/app/dashboards" TargetMode="External"/><Relationship Id="rId365" Type="http://schemas.openxmlformats.org/officeDocument/2006/relationships/hyperlink" Target="https://dribble.octin.io/?mode=Single+log&amp;log_id=6e5f819e-9ed4-4252-af91-b78eafaf2df8" TargetMode="External"/><Relationship Id="rId225" Type="http://schemas.openxmlformats.org/officeDocument/2006/relationships/hyperlink" Target="https://dribble.octin.io/?mode=Single+log&amp;log_id=917940f0-8f61-4984-9d32-ee3ae98b40b5" TargetMode="External"/><Relationship Id="rId267" Type="http://schemas.openxmlformats.org/officeDocument/2006/relationships/hyperlink" Target="https://dribble.octin.io/?mode=Single+log&amp;log_id=1ec45d5e-cb0f-4403-a16a-c88e653b9d33" TargetMode="External"/><Relationship Id="rId432" Type="http://schemas.openxmlformats.org/officeDocument/2006/relationships/hyperlink" Target="https://dribble.octin.io/kibana/app/dashboards" TargetMode="External"/><Relationship Id="rId474" Type="http://schemas.openxmlformats.org/officeDocument/2006/relationships/hyperlink" Target="https://dribble.octin.io/kibana/app/dashboards" TargetMode="External"/><Relationship Id="rId127" Type="http://schemas.openxmlformats.org/officeDocument/2006/relationships/hyperlink" Target="https://dribble.octin.io/?mode=Single+log&amp;log_id=ddfcc3d3-11aa-45ad-9494-2964b8684616" TargetMode="External"/><Relationship Id="rId31" Type="http://schemas.openxmlformats.org/officeDocument/2006/relationships/hyperlink" Target="https://dribble.octin.io/?mode=Single+log&amp;log_id=24474d47-f03c-4e66-820f-e746c5f022b8" TargetMode="External"/><Relationship Id="rId73" Type="http://schemas.openxmlformats.org/officeDocument/2006/relationships/hyperlink" Target="https://dribble.octin.io/?mode=Single+log&amp;log_id=42ef46a5-3233-4215-b9a2-8cf6c22fb841" TargetMode="External"/><Relationship Id="rId169" Type="http://schemas.openxmlformats.org/officeDocument/2006/relationships/hyperlink" Target="https://dribble.octin.io/?mode=Single+log&amp;log_id=d2638067-f4d0-4b9b-a3ff-d956a68f8b1b" TargetMode="External"/><Relationship Id="rId334" Type="http://schemas.openxmlformats.org/officeDocument/2006/relationships/hyperlink" Target="https://dribble.octin.io/kibana/app/dashboards" TargetMode="External"/><Relationship Id="rId376" Type="http://schemas.openxmlformats.org/officeDocument/2006/relationships/hyperlink" Target="https://dribble.octin.io/kibana/app/dashboards" TargetMode="External"/><Relationship Id="rId541" Type="http://schemas.openxmlformats.org/officeDocument/2006/relationships/hyperlink" Target="https://dribble.octin.io/?mode=Single+log&amp;log_id=54ed8e33-b078-476c-ae08-d18370b54092" TargetMode="External"/><Relationship Id="rId4" Type="http://schemas.openxmlformats.org/officeDocument/2006/relationships/hyperlink" Target="https://dribble.octin.io/kibana/app/dashboards" TargetMode="External"/><Relationship Id="rId180" Type="http://schemas.openxmlformats.org/officeDocument/2006/relationships/hyperlink" Target="https://dribble.octin.io/kibana/app/dashboards" TargetMode="External"/><Relationship Id="rId236" Type="http://schemas.openxmlformats.org/officeDocument/2006/relationships/hyperlink" Target="https://dribble.octin.io/kibana/app/dashboards" TargetMode="External"/><Relationship Id="rId278" Type="http://schemas.openxmlformats.org/officeDocument/2006/relationships/hyperlink" Target="https://dribble.octin.io/kibana/app/dashboards" TargetMode="External"/><Relationship Id="rId401" Type="http://schemas.openxmlformats.org/officeDocument/2006/relationships/hyperlink" Target="https://dribble.octin.io/?mode=Single+log&amp;log_id=3f17846c-c7e5-4613-8652-16aa5bfcb76c" TargetMode="External"/><Relationship Id="rId443" Type="http://schemas.openxmlformats.org/officeDocument/2006/relationships/hyperlink" Target="https://dribble.octin.io/?mode=Single+log&amp;log_id=59d3014d-e395-4c33-8a47-7ea73c1c967a" TargetMode="External"/><Relationship Id="rId303" Type="http://schemas.openxmlformats.org/officeDocument/2006/relationships/hyperlink" Target="https://dribble.octin.io/?mode=Single+log&amp;log_id=467af639-2264-436e-91e6-a84862c54a29" TargetMode="External"/><Relationship Id="rId485" Type="http://schemas.openxmlformats.org/officeDocument/2006/relationships/hyperlink" Target="https://dribble.octin.io/?mode=Single+log&amp;log_id=6bc27dcf-6663-4bcd-b70e-3212d1473127" TargetMode="External"/><Relationship Id="rId42" Type="http://schemas.openxmlformats.org/officeDocument/2006/relationships/hyperlink" Target="https://dribble.octin.io/kibana/app/dashboards" TargetMode="External"/><Relationship Id="rId84" Type="http://schemas.openxmlformats.org/officeDocument/2006/relationships/hyperlink" Target="https://dribble.octin.io/kibana/app/dashboards" TargetMode="External"/><Relationship Id="rId138" Type="http://schemas.openxmlformats.org/officeDocument/2006/relationships/hyperlink" Target="https://dribble.octin.io/kibana/app/dashboards" TargetMode="External"/><Relationship Id="rId345" Type="http://schemas.openxmlformats.org/officeDocument/2006/relationships/hyperlink" Target="https://dribble.octin.io/?mode=Single+log&amp;log_id=d2d1dfbc-3134-449b-b226-a86f06268634" TargetMode="External"/><Relationship Id="rId387" Type="http://schemas.openxmlformats.org/officeDocument/2006/relationships/hyperlink" Target="https://dribble.octin.io/?mode=Single+log&amp;log_id=8de62c9e-30a0-466f-a574-d5ffaf9f6cdf" TargetMode="External"/><Relationship Id="rId510" Type="http://schemas.openxmlformats.org/officeDocument/2006/relationships/hyperlink" Target="https://dribble.octin.io/kibana/app/dashboards" TargetMode="External"/><Relationship Id="rId191" Type="http://schemas.openxmlformats.org/officeDocument/2006/relationships/hyperlink" Target="https://dribble.octin.io/?mode=Single+log&amp;log_id=862c1163-e961-4d8f-8369-8b4eb9b444ec" TargetMode="External"/><Relationship Id="rId205" Type="http://schemas.openxmlformats.org/officeDocument/2006/relationships/hyperlink" Target="https://dribble.octin.io/?mode=Single+log&amp;log_id=634e8989-6d4c-4d32-a63a-99c3b557aad0" TargetMode="External"/><Relationship Id="rId247" Type="http://schemas.openxmlformats.org/officeDocument/2006/relationships/hyperlink" Target="https://dribble.octin.io/?mode=Single+log&amp;log_id=e074d90c-eaf7-4e21-a2c8-33f430ce0427" TargetMode="External"/><Relationship Id="rId412" Type="http://schemas.openxmlformats.org/officeDocument/2006/relationships/hyperlink" Target="https://dribble.octin.io/kibana/app/dashboards" TargetMode="External"/><Relationship Id="rId107" Type="http://schemas.openxmlformats.org/officeDocument/2006/relationships/hyperlink" Target="https://dribble.octin.io/?mode=Single+log&amp;log_id=da07d50c-0386-4a4c-9a9c-5259c27981fe" TargetMode="External"/><Relationship Id="rId289" Type="http://schemas.openxmlformats.org/officeDocument/2006/relationships/hyperlink" Target="https://dribble.octin.io/?mode=Single+log&amp;log_id=a899f7ed-ba58-4afb-a8fd-f52883ec2c18" TargetMode="External"/><Relationship Id="rId454" Type="http://schemas.openxmlformats.org/officeDocument/2006/relationships/hyperlink" Target="https://dribble.octin.io/kibana/app/dashboards" TargetMode="External"/><Relationship Id="rId496" Type="http://schemas.openxmlformats.org/officeDocument/2006/relationships/hyperlink" Target="https://dribble.octin.io/kibana/app/dashboards" TargetMode="External"/><Relationship Id="rId11" Type="http://schemas.openxmlformats.org/officeDocument/2006/relationships/hyperlink" Target="https://dribble.octin.io/?mode=Single+log&amp;log_id=03965871-66ad-4e0f-8692-28b0a095a2bc" TargetMode="External"/><Relationship Id="rId53" Type="http://schemas.openxmlformats.org/officeDocument/2006/relationships/hyperlink" Target="https://dribble.octin.io/?mode=Single+log&amp;log_id=0ca6af7d-7d67-4654-9554-996ad2bd3706" TargetMode="External"/><Relationship Id="rId149" Type="http://schemas.openxmlformats.org/officeDocument/2006/relationships/hyperlink" Target="https://dribble.octin.io/?mode=Single+log&amp;log_id=9d541dde-6c86-459f-9930-b9a986c42ba1" TargetMode="External"/><Relationship Id="rId314" Type="http://schemas.openxmlformats.org/officeDocument/2006/relationships/hyperlink" Target="https://dribble.octin.io/kibana/app/dashboards" TargetMode="External"/><Relationship Id="rId356" Type="http://schemas.openxmlformats.org/officeDocument/2006/relationships/hyperlink" Target="https://dribble.octin.io/kibana/app/dashboards" TargetMode="External"/><Relationship Id="rId398" Type="http://schemas.openxmlformats.org/officeDocument/2006/relationships/hyperlink" Target="https://dribble.octin.io/kibana/app/dashboards" TargetMode="External"/><Relationship Id="rId521" Type="http://schemas.openxmlformats.org/officeDocument/2006/relationships/hyperlink" Target="https://dribble.octin.io/?mode=Single+log&amp;log_id=861d3889-6f3a-485c-bca3-2a15a9959a2b" TargetMode="External"/><Relationship Id="rId95" Type="http://schemas.openxmlformats.org/officeDocument/2006/relationships/hyperlink" Target="https://dribble.octin.io/?mode=Single+log&amp;log_id=bebe8ece-efc2-4583-b7f1-41ce2942bd64" TargetMode="External"/><Relationship Id="rId160" Type="http://schemas.openxmlformats.org/officeDocument/2006/relationships/hyperlink" Target="https://dribble.octin.io/kibana/app/dashboards" TargetMode="External"/><Relationship Id="rId216" Type="http://schemas.openxmlformats.org/officeDocument/2006/relationships/hyperlink" Target="https://dribble.octin.io/kibana/app/dashboards" TargetMode="External"/><Relationship Id="rId423" Type="http://schemas.openxmlformats.org/officeDocument/2006/relationships/hyperlink" Target="https://dribble.octin.io/?mode=Single+log&amp;log_id=b2ce2dbc-4ac7-4897-a06e-9ae15b782da1" TargetMode="External"/><Relationship Id="rId258" Type="http://schemas.openxmlformats.org/officeDocument/2006/relationships/hyperlink" Target="https://dribble.octin.io/kibana/app/dashboards" TargetMode="External"/><Relationship Id="rId465" Type="http://schemas.openxmlformats.org/officeDocument/2006/relationships/hyperlink" Target="https://dribble.octin.io/?mode=Single+log&amp;log_id=8544a7db-335e-4c02-8c62-755846dd6d82" TargetMode="External"/><Relationship Id="rId22" Type="http://schemas.openxmlformats.org/officeDocument/2006/relationships/hyperlink" Target="https://dribble.octin.io/kibana/app/dashboards" TargetMode="External"/><Relationship Id="rId64" Type="http://schemas.openxmlformats.org/officeDocument/2006/relationships/hyperlink" Target="https://dribble.octin.io/kibana/app/dashboards" TargetMode="External"/><Relationship Id="rId118" Type="http://schemas.openxmlformats.org/officeDocument/2006/relationships/hyperlink" Target="https://dribble.octin.io/kibana/app/dashboards" TargetMode="External"/><Relationship Id="rId325" Type="http://schemas.openxmlformats.org/officeDocument/2006/relationships/hyperlink" Target="https://dribble.octin.io/?mode=Single+log&amp;log_id=50c0bb17-d657-46e0-9de3-c72d1361e953" TargetMode="External"/><Relationship Id="rId367" Type="http://schemas.openxmlformats.org/officeDocument/2006/relationships/hyperlink" Target="https://dribble.octin.io/?mode=Single+log&amp;log_id=e3f9e34c-a183-4846-8266-53b0e4584fa1" TargetMode="External"/><Relationship Id="rId532" Type="http://schemas.openxmlformats.org/officeDocument/2006/relationships/hyperlink" Target="https://dribble.octin.io/kibana/app/dashboards" TargetMode="External"/><Relationship Id="rId171" Type="http://schemas.openxmlformats.org/officeDocument/2006/relationships/hyperlink" Target="https://dribble.octin.io/?mode=Single+log&amp;log_id=0e405f3d-1b00-40b2-a468-a9cca79e4472" TargetMode="External"/><Relationship Id="rId227" Type="http://schemas.openxmlformats.org/officeDocument/2006/relationships/hyperlink" Target="https://dribble.octin.io/?mode=Single+log&amp;log_id=0b9d28d6-0d8d-48e1-9b90-81f7c7041708" TargetMode="External"/><Relationship Id="rId269" Type="http://schemas.openxmlformats.org/officeDocument/2006/relationships/hyperlink" Target="https://dribble.octin.io/?mode=Single+log&amp;log_id=1940902b-952d-47ca-9699-fa9321754777" TargetMode="External"/><Relationship Id="rId434" Type="http://schemas.openxmlformats.org/officeDocument/2006/relationships/hyperlink" Target="https://dribble.octin.io/kibana/app/dashboards" TargetMode="External"/><Relationship Id="rId476" Type="http://schemas.openxmlformats.org/officeDocument/2006/relationships/hyperlink" Target="https://dribble.octin.io/kibana/app/dashboards" TargetMode="External"/><Relationship Id="rId33" Type="http://schemas.openxmlformats.org/officeDocument/2006/relationships/hyperlink" Target="https://dribble.octin.io/?mode=Single+log&amp;log_id=f708c860-022b-4e7e-9598-d6121f954c33" TargetMode="External"/><Relationship Id="rId129" Type="http://schemas.openxmlformats.org/officeDocument/2006/relationships/hyperlink" Target="https://dribble.octin.io/?mode=Single+log&amp;log_id=ed911110-4a47-4f07-ae0a-ec65f43ec8e9" TargetMode="External"/><Relationship Id="rId280" Type="http://schemas.openxmlformats.org/officeDocument/2006/relationships/hyperlink" Target="https://dribble.octin.io/kibana/app/dashboards" TargetMode="External"/><Relationship Id="rId336" Type="http://schemas.openxmlformats.org/officeDocument/2006/relationships/hyperlink" Target="https://dribble.octin.io/kibana/app/dashboards" TargetMode="External"/><Relationship Id="rId501" Type="http://schemas.openxmlformats.org/officeDocument/2006/relationships/hyperlink" Target="https://dribble.octin.io/?mode=Single+log&amp;log_id=b38af0c4-6404-480c-8920-590bf506c5be" TargetMode="External"/><Relationship Id="rId543" Type="http://schemas.openxmlformats.org/officeDocument/2006/relationships/hyperlink" Target="https://dribble.octin.io/?mode=Single+log&amp;log_id=00d7743f-abdd-4f90-9023-8737c7992c94" TargetMode="External"/><Relationship Id="rId75" Type="http://schemas.openxmlformats.org/officeDocument/2006/relationships/hyperlink" Target="https://dribble.octin.io/?mode=Single+log&amp;log_id=9b980f0a-d8cd-4d8c-a423-f56c8703f23d" TargetMode="External"/><Relationship Id="rId140" Type="http://schemas.openxmlformats.org/officeDocument/2006/relationships/hyperlink" Target="https://dribble.octin.io/kibana/app/dashboards" TargetMode="External"/><Relationship Id="rId182" Type="http://schemas.openxmlformats.org/officeDocument/2006/relationships/hyperlink" Target="https://dribble.octin.io/kibana/app/dashboards" TargetMode="External"/><Relationship Id="rId378" Type="http://schemas.openxmlformats.org/officeDocument/2006/relationships/hyperlink" Target="https://dribble.octin.io/kibana/app/dashboards" TargetMode="External"/><Relationship Id="rId403" Type="http://schemas.openxmlformats.org/officeDocument/2006/relationships/hyperlink" Target="https://dribble.octin.io/?mode=Single+log&amp;log_id=a4f6507a-6315-44a8-a9c9-0860dc8a6b4a" TargetMode="External"/><Relationship Id="rId6" Type="http://schemas.openxmlformats.org/officeDocument/2006/relationships/hyperlink" Target="https://dribble.octin.io/kibana/app/dashboards" TargetMode="External"/><Relationship Id="rId238" Type="http://schemas.openxmlformats.org/officeDocument/2006/relationships/hyperlink" Target="https://dribble.octin.io/kibana/app/dashboards" TargetMode="External"/><Relationship Id="rId445" Type="http://schemas.openxmlformats.org/officeDocument/2006/relationships/hyperlink" Target="https://dribble.octin.io/?mode=Single+log&amp;log_id=ad47feab-40ca-433b-a674-2b767549218d" TargetMode="External"/><Relationship Id="rId487" Type="http://schemas.openxmlformats.org/officeDocument/2006/relationships/hyperlink" Target="https://dribble.octin.io/?mode=Single+log&amp;log_id=fbebd83f-0aa5-4471-86f2-23fdba178268" TargetMode="External"/><Relationship Id="rId291" Type="http://schemas.openxmlformats.org/officeDocument/2006/relationships/hyperlink" Target="https://dribble.octin.io/?mode=Single+log&amp;log_id=e4fc8641-a022-4935-a971-914c0c7726cb" TargetMode="External"/><Relationship Id="rId305" Type="http://schemas.openxmlformats.org/officeDocument/2006/relationships/hyperlink" Target="https://dribble.octin.io/?mode=Single+log&amp;log_id=8542f974-31ca-4b55-876f-14c2d58b5efa" TargetMode="External"/><Relationship Id="rId347" Type="http://schemas.openxmlformats.org/officeDocument/2006/relationships/hyperlink" Target="https://dribble.octin.io/?mode=Single+log&amp;log_id=37b66d30-14e4-434b-ae0a-8c341adb1863" TargetMode="External"/><Relationship Id="rId512" Type="http://schemas.openxmlformats.org/officeDocument/2006/relationships/hyperlink" Target="https://dribble.octin.io/kibana/app/dashboards" TargetMode="External"/><Relationship Id="rId44" Type="http://schemas.openxmlformats.org/officeDocument/2006/relationships/hyperlink" Target="https://dribble.octin.io/kibana/app/dashboards" TargetMode="External"/><Relationship Id="rId86" Type="http://schemas.openxmlformats.org/officeDocument/2006/relationships/hyperlink" Target="https://dribble.octin.io/kibana/app/dashboards" TargetMode="External"/><Relationship Id="rId151" Type="http://schemas.openxmlformats.org/officeDocument/2006/relationships/hyperlink" Target="https://dribble.octin.io/?mode=Single+log&amp;log_id=27e9e2a7-1eab-4a11-926e-1d3aed686934" TargetMode="External"/><Relationship Id="rId389" Type="http://schemas.openxmlformats.org/officeDocument/2006/relationships/hyperlink" Target="https://dribble.octin.io/?mode=Single+log&amp;log_id=85da5a0c-7ab2-427f-8dfa-eee3a620847b" TargetMode="External"/><Relationship Id="rId193" Type="http://schemas.openxmlformats.org/officeDocument/2006/relationships/hyperlink" Target="https://dribble.octin.io/?mode=Single+log&amp;log_id=2caf6c90-815d-4058-87b5-7c093574952d" TargetMode="External"/><Relationship Id="rId207" Type="http://schemas.openxmlformats.org/officeDocument/2006/relationships/hyperlink" Target="https://dribble.octin.io/?mode=Single+log&amp;log_id=2e29812e-5077-4520-a42e-9912364a50d2" TargetMode="External"/><Relationship Id="rId249" Type="http://schemas.openxmlformats.org/officeDocument/2006/relationships/hyperlink" Target="https://dribble.octin.io/?mode=Single+log&amp;log_id=dae4dd58-a8de-4505-bf43-d56c6ac4e24c" TargetMode="External"/><Relationship Id="rId414" Type="http://schemas.openxmlformats.org/officeDocument/2006/relationships/hyperlink" Target="https://dribble.octin.io/kibana/app/dashboards" TargetMode="External"/><Relationship Id="rId456" Type="http://schemas.openxmlformats.org/officeDocument/2006/relationships/hyperlink" Target="https://dribble.octin.io/kibana/app/dashboards" TargetMode="External"/><Relationship Id="rId498" Type="http://schemas.openxmlformats.org/officeDocument/2006/relationships/hyperlink" Target="https://dribble.octin.io/kibana/app/dashboards" TargetMode="External"/><Relationship Id="rId13" Type="http://schemas.openxmlformats.org/officeDocument/2006/relationships/hyperlink" Target="https://dribble.octin.io/?mode=Single+log&amp;log_id=bb22ea56-35c5-4d17-9f39-24bd85127ecb" TargetMode="External"/><Relationship Id="rId109" Type="http://schemas.openxmlformats.org/officeDocument/2006/relationships/hyperlink" Target="https://dribble.octin.io/?mode=Single+log&amp;log_id=9e0e15f0-930d-4e3c-93c5-6882688d71a0" TargetMode="External"/><Relationship Id="rId260" Type="http://schemas.openxmlformats.org/officeDocument/2006/relationships/hyperlink" Target="https://dribble.octin.io/kibana/app/dashboards" TargetMode="External"/><Relationship Id="rId316" Type="http://schemas.openxmlformats.org/officeDocument/2006/relationships/hyperlink" Target="https://dribble.octin.io/kibana/app/dashboards" TargetMode="External"/><Relationship Id="rId523" Type="http://schemas.openxmlformats.org/officeDocument/2006/relationships/hyperlink" Target="https://dribble.octin.io/?mode=Single+log&amp;log_id=2486dc41-6055-4011-b232-95a142ff21f5" TargetMode="External"/><Relationship Id="rId55" Type="http://schemas.openxmlformats.org/officeDocument/2006/relationships/hyperlink" Target="https://dribble.octin.io/?mode=Single+log&amp;log_id=113c2fb5-c54d-4be8-a5fc-7fe82ec85ca5" TargetMode="External"/><Relationship Id="rId97" Type="http://schemas.openxmlformats.org/officeDocument/2006/relationships/hyperlink" Target="https://dribble.octin.io/?mode=Single+log&amp;log_id=453a0110-6aaa-498b-afe8-5ca134b66d66" TargetMode="External"/><Relationship Id="rId120" Type="http://schemas.openxmlformats.org/officeDocument/2006/relationships/hyperlink" Target="https://dribble.octin.io/kibana/app/dashboards" TargetMode="External"/><Relationship Id="rId358" Type="http://schemas.openxmlformats.org/officeDocument/2006/relationships/hyperlink" Target="https://dribble.octin.io/kibana/app/dashboards" TargetMode="External"/><Relationship Id="rId162" Type="http://schemas.openxmlformats.org/officeDocument/2006/relationships/hyperlink" Target="https://dribble.octin.io/kibana/app/dashboards" TargetMode="External"/><Relationship Id="rId218" Type="http://schemas.openxmlformats.org/officeDocument/2006/relationships/hyperlink" Target="https://dribble.octin.io/kibana/app/dashboards" TargetMode="External"/><Relationship Id="rId425" Type="http://schemas.openxmlformats.org/officeDocument/2006/relationships/hyperlink" Target="https://dribble.octin.io/?mode=Single+log&amp;log_id=806a3753-f6bf-4d63-97cb-e7a491edb19c" TargetMode="External"/><Relationship Id="rId467" Type="http://schemas.openxmlformats.org/officeDocument/2006/relationships/hyperlink" Target="https://dribble.octin.io/?mode=Single+log&amp;log_id=1860db91-b786-42a7-b2f2-afe87bbff9e4" TargetMode="External"/><Relationship Id="rId271" Type="http://schemas.openxmlformats.org/officeDocument/2006/relationships/hyperlink" Target="https://dribble.octin.io/?mode=Single+log&amp;log_id=4e27362a-f706-4d0a-b6e7-39389bf25b29" TargetMode="External"/><Relationship Id="rId24" Type="http://schemas.openxmlformats.org/officeDocument/2006/relationships/hyperlink" Target="https://dribble.octin.io/kibana/app/dashboards" TargetMode="External"/><Relationship Id="rId66" Type="http://schemas.openxmlformats.org/officeDocument/2006/relationships/hyperlink" Target="https://dribble.octin.io/kibana/app/dashboards" TargetMode="External"/><Relationship Id="rId131" Type="http://schemas.openxmlformats.org/officeDocument/2006/relationships/hyperlink" Target="https://dribble.octin.io/?mode=Single+log&amp;log_id=126fa3cf-16a7-428f-8489-830099f1f7a7" TargetMode="External"/><Relationship Id="rId327" Type="http://schemas.openxmlformats.org/officeDocument/2006/relationships/hyperlink" Target="https://dribble.octin.io/?mode=Single+log&amp;log_id=1bddb9ed-ed43-4150-818e-51c01a4a25ea" TargetMode="External"/><Relationship Id="rId369" Type="http://schemas.openxmlformats.org/officeDocument/2006/relationships/hyperlink" Target="https://dribble.octin.io/?mode=Single+log&amp;log_id=d1776d2e-73de-4398-b705-2926e1fa9090" TargetMode="External"/><Relationship Id="rId534" Type="http://schemas.openxmlformats.org/officeDocument/2006/relationships/hyperlink" Target="https://dribble.octin.io/kibana/app/dashboards" TargetMode="External"/><Relationship Id="rId173" Type="http://schemas.openxmlformats.org/officeDocument/2006/relationships/hyperlink" Target="https://dribble.octin.io/?mode=Single+log&amp;log_id=0a9ee04e-90f6-458d-8380-3ced3e5d9527" TargetMode="External"/><Relationship Id="rId229" Type="http://schemas.openxmlformats.org/officeDocument/2006/relationships/hyperlink" Target="https://dribble.octin.io/?mode=Single+log&amp;log_id=6e3df9c1-ca11-4779-b49a-c18e5e4fcfb2" TargetMode="External"/><Relationship Id="rId380" Type="http://schemas.openxmlformats.org/officeDocument/2006/relationships/hyperlink" Target="https://dribble.octin.io/kibana/app/dashboards" TargetMode="External"/><Relationship Id="rId436" Type="http://schemas.openxmlformats.org/officeDocument/2006/relationships/hyperlink" Target="https://dribble.octin.io/kibana/app/dashboards" TargetMode="External"/><Relationship Id="rId240" Type="http://schemas.openxmlformats.org/officeDocument/2006/relationships/hyperlink" Target="https://dribble.octin.io/kibana/app/dashboards" TargetMode="External"/><Relationship Id="rId478" Type="http://schemas.openxmlformats.org/officeDocument/2006/relationships/hyperlink" Target="https://dribble.octin.io/kibana/app/dashboards" TargetMode="External"/><Relationship Id="rId35" Type="http://schemas.openxmlformats.org/officeDocument/2006/relationships/hyperlink" Target="https://dribble.octin.io/?mode=Single+log&amp;log_id=d9c39ff0-802e-42e6-8a86-255909063dda" TargetMode="External"/><Relationship Id="rId77" Type="http://schemas.openxmlformats.org/officeDocument/2006/relationships/hyperlink" Target="https://dribble.octin.io/?mode=Single+log&amp;log_id=520f53ce-126a-486f-9fbf-7dc95a0cf5d9" TargetMode="External"/><Relationship Id="rId100" Type="http://schemas.openxmlformats.org/officeDocument/2006/relationships/hyperlink" Target="https://dribble.octin.io/kibana/app/dashboards" TargetMode="External"/><Relationship Id="rId282" Type="http://schemas.openxmlformats.org/officeDocument/2006/relationships/hyperlink" Target="https://dribble.octin.io/kibana/app/dashboards" TargetMode="External"/><Relationship Id="rId338" Type="http://schemas.openxmlformats.org/officeDocument/2006/relationships/hyperlink" Target="https://dribble.octin.io/kibana/app/dashboards" TargetMode="External"/><Relationship Id="rId503" Type="http://schemas.openxmlformats.org/officeDocument/2006/relationships/hyperlink" Target="https://dribble.octin.io/?mode=Single+log&amp;log_id=d435aa86-b0cf-4692-9487-cbee796d95d2" TargetMode="External"/><Relationship Id="rId545" Type="http://schemas.openxmlformats.org/officeDocument/2006/relationships/hyperlink" Target="https://dribble.octin.io/?mode=Single+log&amp;log_id=863a3b26-fb2a-464c-b2a6-8ab2872d33ff" TargetMode="External"/><Relationship Id="rId8" Type="http://schemas.openxmlformats.org/officeDocument/2006/relationships/hyperlink" Target="https://dribble.octin.io/kibana/app/dashboards" TargetMode="External"/><Relationship Id="rId142" Type="http://schemas.openxmlformats.org/officeDocument/2006/relationships/hyperlink" Target="https://dribble.octin.io/kibana/app/dashboards" TargetMode="External"/><Relationship Id="rId184" Type="http://schemas.openxmlformats.org/officeDocument/2006/relationships/hyperlink" Target="https://dribble.octin.io/kibana/app/dashboards" TargetMode="External"/><Relationship Id="rId391" Type="http://schemas.openxmlformats.org/officeDocument/2006/relationships/hyperlink" Target="https://dribble.octin.io/?mode=Single+log&amp;log_id=2b229780-a523-4034-a074-fe0f59797fae" TargetMode="External"/><Relationship Id="rId405" Type="http://schemas.openxmlformats.org/officeDocument/2006/relationships/hyperlink" Target="https://dribble.octin.io/?mode=Single+log&amp;log_id=7cc1ecbf-c15e-451f-94ee-3890d8918560" TargetMode="External"/><Relationship Id="rId447" Type="http://schemas.openxmlformats.org/officeDocument/2006/relationships/hyperlink" Target="https://dribble.octin.io/?mode=Single+log&amp;log_id=7c9c8f55-0692-40f6-b72f-90a438787a53" TargetMode="External"/><Relationship Id="rId251" Type="http://schemas.openxmlformats.org/officeDocument/2006/relationships/hyperlink" Target="https://dribble.octin.io/?mode=Single+log&amp;log_id=757d7890-d65d-43e1-95e8-4a2bc7d70529" TargetMode="External"/><Relationship Id="rId489" Type="http://schemas.openxmlformats.org/officeDocument/2006/relationships/hyperlink" Target="https://dribble.octin.io/?mode=Single+log&amp;log_id=d3d9756d-2525-49a6-8c51-64e75be0adfb" TargetMode="External"/><Relationship Id="rId46" Type="http://schemas.openxmlformats.org/officeDocument/2006/relationships/hyperlink" Target="https://dribble.octin.io/kibana/app/dashboards" TargetMode="External"/><Relationship Id="rId293" Type="http://schemas.openxmlformats.org/officeDocument/2006/relationships/hyperlink" Target="https://dribble.octin.io/?mode=Single+log&amp;log_id=9fab8b2d-c5fe-43f0-8d30-690a6c391015" TargetMode="External"/><Relationship Id="rId307" Type="http://schemas.openxmlformats.org/officeDocument/2006/relationships/hyperlink" Target="https://dribble.octin.io/?mode=Single+log&amp;log_id=4569a49d-72f9-480d-949a-4116d16f9a37" TargetMode="External"/><Relationship Id="rId349" Type="http://schemas.openxmlformats.org/officeDocument/2006/relationships/hyperlink" Target="https://dribble.octin.io/?mode=Single+log&amp;log_id=4db1923e-2410-4d61-8f5c-ca696af23278" TargetMode="External"/><Relationship Id="rId514" Type="http://schemas.openxmlformats.org/officeDocument/2006/relationships/hyperlink" Target="https://dribble.octin.io/kibana/app/dashboards" TargetMode="External"/><Relationship Id="rId88" Type="http://schemas.openxmlformats.org/officeDocument/2006/relationships/hyperlink" Target="https://dribble.octin.io/kibana/app/dashboards" TargetMode="External"/><Relationship Id="rId111" Type="http://schemas.openxmlformats.org/officeDocument/2006/relationships/hyperlink" Target="https://dribble.octin.io/?mode=Single+log&amp;log_id=47df2748-ee22-435a-aebf-8a201004f436" TargetMode="External"/><Relationship Id="rId153" Type="http://schemas.openxmlformats.org/officeDocument/2006/relationships/hyperlink" Target="https://dribble.octin.io/?mode=Single+log&amp;log_id=6e0a569d-57a6-4de8-9ccf-c4ab912a8201" TargetMode="External"/><Relationship Id="rId195" Type="http://schemas.openxmlformats.org/officeDocument/2006/relationships/hyperlink" Target="https://dribble.octin.io/?mode=Single+log&amp;log_id=e336a8b4-07ad-40f7-b3b0-9f0d865ecbc6" TargetMode="External"/><Relationship Id="rId209" Type="http://schemas.openxmlformats.org/officeDocument/2006/relationships/hyperlink" Target="https://dribble.octin.io/?mode=Single+log&amp;log_id=722cb8d3-dd06-468f-91e8-e64d280c4314" TargetMode="External"/><Relationship Id="rId360" Type="http://schemas.openxmlformats.org/officeDocument/2006/relationships/hyperlink" Target="https://dribble.octin.io/kibana/app/dashboards" TargetMode="External"/><Relationship Id="rId416" Type="http://schemas.openxmlformats.org/officeDocument/2006/relationships/hyperlink" Target="https://dribble.octin.io/kibana/app/dashboards" TargetMode="External"/><Relationship Id="rId220" Type="http://schemas.openxmlformats.org/officeDocument/2006/relationships/hyperlink" Target="https://dribble.octin.io/kibana/app/dashboards" TargetMode="External"/><Relationship Id="rId458" Type="http://schemas.openxmlformats.org/officeDocument/2006/relationships/hyperlink" Target="https://dribble.octin.io/kibana/app/dashboards" TargetMode="External"/><Relationship Id="rId15" Type="http://schemas.openxmlformats.org/officeDocument/2006/relationships/hyperlink" Target="https://dribble.octin.io/?mode=Single+log&amp;log_id=aca94558-c807-4d20-b8a8-eb1ac90a823d" TargetMode="External"/><Relationship Id="rId57" Type="http://schemas.openxmlformats.org/officeDocument/2006/relationships/hyperlink" Target="https://dribble.octin.io/?mode=Single+log&amp;log_id=a8af51d6-0a22-4305-af58-f91d6d234ba3" TargetMode="External"/><Relationship Id="rId262" Type="http://schemas.openxmlformats.org/officeDocument/2006/relationships/hyperlink" Target="https://dribble.octin.io/kibana/app/dashboards" TargetMode="External"/><Relationship Id="rId318" Type="http://schemas.openxmlformats.org/officeDocument/2006/relationships/hyperlink" Target="https://dribble.octin.io/kibana/app/dashboards" TargetMode="External"/><Relationship Id="rId525" Type="http://schemas.openxmlformats.org/officeDocument/2006/relationships/hyperlink" Target="https://dribble.octin.io/?mode=Single+log&amp;log_id=c37603c9-3f67-48da-be96-0a5f23819042" TargetMode="External"/><Relationship Id="rId99" Type="http://schemas.openxmlformats.org/officeDocument/2006/relationships/hyperlink" Target="https://dribble.octin.io/?mode=Single+log&amp;log_id=3f6932ec-f37c-4aec-af1d-772e33766386" TargetMode="External"/><Relationship Id="rId122" Type="http://schemas.openxmlformats.org/officeDocument/2006/relationships/hyperlink" Target="https://dribble.octin.io/kibana/app/dashboards" TargetMode="External"/><Relationship Id="rId164" Type="http://schemas.openxmlformats.org/officeDocument/2006/relationships/hyperlink" Target="https://dribble.octin.io/kibana/app/dashboards" TargetMode="External"/><Relationship Id="rId371" Type="http://schemas.openxmlformats.org/officeDocument/2006/relationships/hyperlink" Target="https://dribble.octin.io/?mode=Single+log&amp;log_id=8910b440-4226-45ee-936f-0e407ea10e22" TargetMode="External"/><Relationship Id="rId427" Type="http://schemas.openxmlformats.org/officeDocument/2006/relationships/hyperlink" Target="https://dribble.octin.io/?mode=Single+log&amp;log_id=2854a0d8-7513-4ed9-af73-985c0a129b64" TargetMode="External"/><Relationship Id="rId469" Type="http://schemas.openxmlformats.org/officeDocument/2006/relationships/hyperlink" Target="https://dribble.octin.io/?mode=Single+log&amp;log_id=b9bdf44d-93b7-4cf4-9a39-db2581dc0919" TargetMode="External"/><Relationship Id="rId26" Type="http://schemas.openxmlformats.org/officeDocument/2006/relationships/hyperlink" Target="https://dribble.octin.io/kibana/app/dashboards" TargetMode="External"/><Relationship Id="rId231" Type="http://schemas.openxmlformats.org/officeDocument/2006/relationships/hyperlink" Target="https://dribble.octin.io/?mode=Single+log&amp;log_id=4ea29856-a74a-4f41-a76f-1094297a263c" TargetMode="External"/><Relationship Id="rId273" Type="http://schemas.openxmlformats.org/officeDocument/2006/relationships/hyperlink" Target="https://dribble.octin.io/?mode=Single+log&amp;log_id=b3ccbb42-4421-4b20-bbc0-b4fbbe531877" TargetMode="External"/><Relationship Id="rId329" Type="http://schemas.openxmlformats.org/officeDocument/2006/relationships/hyperlink" Target="https://dribble.octin.io/?mode=Single+log&amp;log_id=65eb0b84-743e-4cbf-911a-7d99fa82e61b" TargetMode="External"/><Relationship Id="rId480" Type="http://schemas.openxmlformats.org/officeDocument/2006/relationships/hyperlink" Target="https://dribble.octin.io/kibana/app/dashboards" TargetMode="External"/><Relationship Id="rId536" Type="http://schemas.openxmlformats.org/officeDocument/2006/relationships/hyperlink" Target="https://dribble.octin.io/kibana/app/dashboards" TargetMode="External"/><Relationship Id="rId68" Type="http://schemas.openxmlformats.org/officeDocument/2006/relationships/hyperlink" Target="https://dribble.octin.io/kibana/app/dashboards" TargetMode="External"/><Relationship Id="rId133" Type="http://schemas.openxmlformats.org/officeDocument/2006/relationships/hyperlink" Target="https://dribble.octin.io/?mode=Single+log&amp;log_id=12a13caa-cca1-4005-b760-f7cc3aaf0801" TargetMode="External"/><Relationship Id="rId175" Type="http://schemas.openxmlformats.org/officeDocument/2006/relationships/hyperlink" Target="https://dribble.octin.io/?mode=Single+log&amp;log_id=0864d398-177b-4ebb-b147-fdda6a35ae13" TargetMode="External"/><Relationship Id="rId340" Type="http://schemas.openxmlformats.org/officeDocument/2006/relationships/hyperlink" Target="https://dribble.octin.io/kibana/app/dashboards" TargetMode="External"/><Relationship Id="rId200" Type="http://schemas.openxmlformats.org/officeDocument/2006/relationships/hyperlink" Target="https://dribble.octin.io/kibana/app/dashboards" TargetMode="External"/><Relationship Id="rId382" Type="http://schemas.openxmlformats.org/officeDocument/2006/relationships/hyperlink" Target="https://dribble.octin.io/kibana/app/dashboards" TargetMode="External"/><Relationship Id="rId438" Type="http://schemas.openxmlformats.org/officeDocument/2006/relationships/hyperlink" Target="https://dribble.octin.io/kibana/app/dashboards" TargetMode="External"/><Relationship Id="rId242" Type="http://schemas.openxmlformats.org/officeDocument/2006/relationships/hyperlink" Target="https://dribble.octin.io/kibana/app/dashboards" TargetMode="External"/><Relationship Id="rId284" Type="http://schemas.openxmlformats.org/officeDocument/2006/relationships/hyperlink" Target="https://dribble.octin.io/kibana/app/dashboards" TargetMode="External"/><Relationship Id="rId491" Type="http://schemas.openxmlformats.org/officeDocument/2006/relationships/hyperlink" Target="https://dribble.octin.io/?mode=Single+log&amp;log_id=acd23233-60be-4066-85c4-ad7e823c70bf" TargetMode="External"/><Relationship Id="rId505" Type="http://schemas.openxmlformats.org/officeDocument/2006/relationships/hyperlink" Target="https://dribble.octin.io/?mode=Single+log&amp;log_id=5d692df6-351f-4c4d-9378-371cdad7e05d" TargetMode="External"/><Relationship Id="rId37" Type="http://schemas.openxmlformats.org/officeDocument/2006/relationships/hyperlink" Target="https://dribble.octin.io/?mode=Single+log&amp;log_id=9a486429-ff06-46a2-b24e-2924dfe848c9" TargetMode="External"/><Relationship Id="rId79" Type="http://schemas.openxmlformats.org/officeDocument/2006/relationships/hyperlink" Target="https://dribble.octin.io/?mode=Single+log&amp;log_id=3271f7cd-d764-4ae0-b22d-817552b2f30e" TargetMode="External"/><Relationship Id="rId102" Type="http://schemas.openxmlformats.org/officeDocument/2006/relationships/hyperlink" Target="https://dribble.octin.io/kibana/app/dashboards" TargetMode="External"/><Relationship Id="rId144" Type="http://schemas.openxmlformats.org/officeDocument/2006/relationships/hyperlink" Target="https://dribble.octin.io/kibana/app/dashboards" TargetMode="External"/><Relationship Id="rId90" Type="http://schemas.openxmlformats.org/officeDocument/2006/relationships/hyperlink" Target="https://dribble.octin.io/kibana/app/dashboards" TargetMode="External"/><Relationship Id="rId186" Type="http://schemas.openxmlformats.org/officeDocument/2006/relationships/hyperlink" Target="https://dribble.octin.io/kibana/app/dashboards" TargetMode="External"/><Relationship Id="rId351" Type="http://schemas.openxmlformats.org/officeDocument/2006/relationships/hyperlink" Target="https://dribble.octin.io/?mode=Single+log&amp;log_id=592054fe-23a4-4ba4-83ff-86ae59be3b39" TargetMode="External"/><Relationship Id="rId393" Type="http://schemas.openxmlformats.org/officeDocument/2006/relationships/hyperlink" Target="https://dribble.octin.io/?mode=Single+log&amp;log_id=89d23ecb-f215-4fd2-a3f9-724d69ad19fe" TargetMode="External"/><Relationship Id="rId407" Type="http://schemas.openxmlformats.org/officeDocument/2006/relationships/hyperlink" Target="https://dribble.octin.io/?mode=Single+log&amp;log_id=e3205a13-9c50-49b7-91cf-ef0c7271bc6e" TargetMode="External"/><Relationship Id="rId449" Type="http://schemas.openxmlformats.org/officeDocument/2006/relationships/hyperlink" Target="https://dribble.octin.io/?mode=Single+log&amp;log_id=0801f3ed-7190-404a-96e3-b2b329b6b97f" TargetMode="External"/><Relationship Id="rId211" Type="http://schemas.openxmlformats.org/officeDocument/2006/relationships/hyperlink" Target="https://dribble.octin.io/?mode=Single+log&amp;log_id=cb2f9243-d0d8-4446-8589-49c6cd2c916b" TargetMode="External"/><Relationship Id="rId253" Type="http://schemas.openxmlformats.org/officeDocument/2006/relationships/hyperlink" Target="https://dribble.octin.io/?mode=Single+log&amp;log_id=17cd2657-d29b-4142-a1d7-e03b248757ff" TargetMode="External"/><Relationship Id="rId295" Type="http://schemas.openxmlformats.org/officeDocument/2006/relationships/hyperlink" Target="https://dribble.octin.io/?mode=Single+log&amp;log_id=6c461c75-f7e5-4593-a4d7-b1b21fe7eb65" TargetMode="External"/><Relationship Id="rId309" Type="http://schemas.openxmlformats.org/officeDocument/2006/relationships/hyperlink" Target="https://dribble.octin.io/?mode=Single+log&amp;log_id=aa5bae68-a5c2-4d4c-9d4c-3769e27c7498" TargetMode="External"/><Relationship Id="rId460" Type="http://schemas.openxmlformats.org/officeDocument/2006/relationships/hyperlink" Target="https://dribble.octin.io/kibana/app/dashboards" TargetMode="External"/><Relationship Id="rId516" Type="http://schemas.openxmlformats.org/officeDocument/2006/relationships/hyperlink" Target="https://dribble.octin.io/kibana/app/dashboards" TargetMode="External"/><Relationship Id="rId48" Type="http://schemas.openxmlformats.org/officeDocument/2006/relationships/hyperlink" Target="https://dribble.octin.io/kibana/app/dashboards" TargetMode="External"/><Relationship Id="rId113" Type="http://schemas.openxmlformats.org/officeDocument/2006/relationships/hyperlink" Target="https://dribble.octin.io/?mode=Single+log&amp;log_id=b6309b67-2c3d-49dd-89ca-7ee4fabfc0c1" TargetMode="External"/><Relationship Id="rId320" Type="http://schemas.openxmlformats.org/officeDocument/2006/relationships/hyperlink" Target="https://dribble.octin.io/kibana/app/dashboards" TargetMode="External"/><Relationship Id="rId155" Type="http://schemas.openxmlformats.org/officeDocument/2006/relationships/hyperlink" Target="https://dribble.octin.io/?mode=Single+log&amp;log_id=5079d829-77dd-4022-9079-e2654c00ec98" TargetMode="External"/><Relationship Id="rId197" Type="http://schemas.openxmlformats.org/officeDocument/2006/relationships/hyperlink" Target="https://dribble.octin.io/?mode=Single+log&amp;log_id=b50dba33-b681-4342-bcad-d1144a3df112" TargetMode="External"/><Relationship Id="rId362" Type="http://schemas.openxmlformats.org/officeDocument/2006/relationships/hyperlink" Target="https://dribble.octin.io/kibana/app/dashboards" TargetMode="External"/><Relationship Id="rId418" Type="http://schemas.openxmlformats.org/officeDocument/2006/relationships/hyperlink" Target="https://dribble.octin.io/kibana/app/dashboards" TargetMode="External"/><Relationship Id="rId222" Type="http://schemas.openxmlformats.org/officeDocument/2006/relationships/hyperlink" Target="https://dribble.octin.io/kibana/app/dashboards" TargetMode="External"/><Relationship Id="rId264" Type="http://schemas.openxmlformats.org/officeDocument/2006/relationships/hyperlink" Target="https://dribble.octin.io/kibana/app/dashboards" TargetMode="External"/><Relationship Id="rId471" Type="http://schemas.openxmlformats.org/officeDocument/2006/relationships/hyperlink" Target="https://dribble.octin.io/?mode=Single+log&amp;log_id=920bd4f8-c65c-48d8-aa35-8569e231a89e" TargetMode="External"/><Relationship Id="rId17" Type="http://schemas.openxmlformats.org/officeDocument/2006/relationships/hyperlink" Target="https://dribble.octin.io/?mode=Single+log&amp;log_id=45f03c2f-810b-412b-ae9f-a0f3be8c9523" TargetMode="External"/><Relationship Id="rId59" Type="http://schemas.openxmlformats.org/officeDocument/2006/relationships/hyperlink" Target="https://dribble.octin.io/?mode=Single+log&amp;log_id=b759d054-edf1-419c-b1d6-60820ab8c71b" TargetMode="External"/><Relationship Id="rId124" Type="http://schemas.openxmlformats.org/officeDocument/2006/relationships/hyperlink" Target="https://dribble.octin.io/kibana/app/dashboards" TargetMode="External"/><Relationship Id="rId527" Type="http://schemas.openxmlformats.org/officeDocument/2006/relationships/hyperlink" Target="https://dribble.octin.io/?mode=Single+log&amp;log_id=935f4491-8261-4ca5-88d1-2666a0688b5e" TargetMode="External"/><Relationship Id="rId70" Type="http://schemas.openxmlformats.org/officeDocument/2006/relationships/hyperlink" Target="https://dribble.octin.io/kibana/app/dashboards" TargetMode="External"/><Relationship Id="rId166" Type="http://schemas.openxmlformats.org/officeDocument/2006/relationships/hyperlink" Target="https://dribble.octin.io/kibana/app/dashboards" TargetMode="External"/><Relationship Id="rId331" Type="http://schemas.openxmlformats.org/officeDocument/2006/relationships/hyperlink" Target="https://dribble.octin.io/?mode=Single+log&amp;log_id=6a41364e-0c62-494b-9f30-3c212eb91104" TargetMode="External"/><Relationship Id="rId373" Type="http://schemas.openxmlformats.org/officeDocument/2006/relationships/hyperlink" Target="https://dribble.octin.io/?mode=Single+log&amp;log_id=5073a8e4-a89b-44b1-8d89-60017a9fdef4" TargetMode="External"/><Relationship Id="rId429" Type="http://schemas.openxmlformats.org/officeDocument/2006/relationships/hyperlink" Target="https://dribble.octin.io/?mode=Single+log&amp;log_id=eec7afb0-c512-4310-923a-4f74ab1cb2cb" TargetMode="External"/><Relationship Id="rId1" Type="http://schemas.openxmlformats.org/officeDocument/2006/relationships/hyperlink" Target="https://dribble.octin.io/?mode=Single+log&amp;log_id=0e335397-5a3f-42bf-812a-794cd6c4c9ce" TargetMode="External"/><Relationship Id="rId233" Type="http://schemas.openxmlformats.org/officeDocument/2006/relationships/hyperlink" Target="https://dribble.octin.io/?mode=Single+log&amp;log_id=526c9cdc-0644-402e-8544-4bf7853b5070" TargetMode="External"/><Relationship Id="rId440" Type="http://schemas.openxmlformats.org/officeDocument/2006/relationships/hyperlink" Target="https://dribble.octin.io/kibana/app/dashboards" TargetMode="External"/><Relationship Id="rId28" Type="http://schemas.openxmlformats.org/officeDocument/2006/relationships/hyperlink" Target="https://dribble.octin.io/kibana/app/dashboards" TargetMode="External"/><Relationship Id="rId275" Type="http://schemas.openxmlformats.org/officeDocument/2006/relationships/hyperlink" Target="https://dribble.octin.io/?mode=Single+log&amp;log_id=c697c21c-f7d6-400e-b044-801efaaaf97d" TargetMode="External"/><Relationship Id="rId300" Type="http://schemas.openxmlformats.org/officeDocument/2006/relationships/hyperlink" Target="https://dribble.octin.io/kibana/app/dashboards" TargetMode="External"/><Relationship Id="rId482" Type="http://schemas.openxmlformats.org/officeDocument/2006/relationships/hyperlink" Target="https://dribble.octin.io/kibana/app/dashboards" TargetMode="External"/><Relationship Id="rId538" Type="http://schemas.openxmlformats.org/officeDocument/2006/relationships/hyperlink" Target="https://dribble.octin.io/kibana/app/dashboards" TargetMode="External"/><Relationship Id="rId81" Type="http://schemas.openxmlformats.org/officeDocument/2006/relationships/hyperlink" Target="https://dribble.octin.io/?mode=Single+log&amp;log_id=8a0fa1f7-b52e-4b75-9d63-120339e04995" TargetMode="External"/><Relationship Id="rId135" Type="http://schemas.openxmlformats.org/officeDocument/2006/relationships/hyperlink" Target="https://dribble.octin.io/?mode=Single+log&amp;log_id=c4a19a9c-8d9e-4362-baa0-1f72ae4fe5d0" TargetMode="External"/><Relationship Id="rId177" Type="http://schemas.openxmlformats.org/officeDocument/2006/relationships/hyperlink" Target="https://dribble.octin.io/?mode=Single+log&amp;log_id=b04c7cd1-52f1-44d7-85ab-a34fb2345547" TargetMode="External"/><Relationship Id="rId342" Type="http://schemas.openxmlformats.org/officeDocument/2006/relationships/hyperlink" Target="https://dribble.octin.io/kibana/app/dashboards" TargetMode="External"/><Relationship Id="rId384" Type="http://schemas.openxmlformats.org/officeDocument/2006/relationships/hyperlink" Target="https://dribble.octin.io/kibana/app/dashboards" TargetMode="External"/><Relationship Id="rId202" Type="http://schemas.openxmlformats.org/officeDocument/2006/relationships/hyperlink" Target="https://dribble.octin.io/kibana/app/dashboards" TargetMode="External"/><Relationship Id="rId244" Type="http://schemas.openxmlformats.org/officeDocument/2006/relationships/hyperlink" Target="https://dribble.octin.io/kibana/app/dashboards" TargetMode="External"/><Relationship Id="rId39" Type="http://schemas.openxmlformats.org/officeDocument/2006/relationships/hyperlink" Target="https://dribble.octin.io/?mode=Single+log&amp;log_id=6cb0f921-0594-4702-95b2-2de1cd9e3f76" TargetMode="External"/><Relationship Id="rId286" Type="http://schemas.openxmlformats.org/officeDocument/2006/relationships/hyperlink" Target="https://dribble.octin.io/kibana/app/dashboards" TargetMode="External"/><Relationship Id="rId451" Type="http://schemas.openxmlformats.org/officeDocument/2006/relationships/hyperlink" Target="https://dribble.octin.io/?mode=Single+log&amp;log_id=960a17b7-d0d5-4402-a932-cb729f324ccf" TargetMode="External"/><Relationship Id="rId493" Type="http://schemas.openxmlformats.org/officeDocument/2006/relationships/hyperlink" Target="https://dribble.octin.io/?mode=Single+log&amp;log_id=4ff7b473-4313-4801-9f83-bb2ede124477" TargetMode="External"/><Relationship Id="rId507" Type="http://schemas.openxmlformats.org/officeDocument/2006/relationships/hyperlink" Target="https://dribble.octin.io/?mode=Single+log&amp;log_id=447dd7ff-4091-4641-a555-a42bb5d18910" TargetMode="External"/><Relationship Id="rId50" Type="http://schemas.openxmlformats.org/officeDocument/2006/relationships/hyperlink" Target="https://dribble.octin.io/kibana/app/dashboards" TargetMode="External"/><Relationship Id="rId104" Type="http://schemas.openxmlformats.org/officeDocument/2006/relationships/hyperlink" Target="https://dribble.octin.io/kibana/app/dashboards" TargetMode="External"/><Relationship Id="rId146" Type="http://schemas.openxmlformats.org/officeDocument/2006/relationships/hyperlink" Target="https://dribble.octin.io/kibana/app/dashboards" TargetMode="External"/><Relationship Id="rId188" Type="http://schemas.openxmlformats.org/officeDocument/2006/relationships/hyperlink" Target="https://dribble.octin.io/kibana/app/dashboards" TargetMode="External"/><Relationship Id="rId311" Type="http://schemas.openxmlformats.org/officeDocument/2006/relationships/hyperlink" Target="https://dribble.octin.io/?mode=Single+log&amp;log_id=ceb9a9e8-a929-4a48-a794-77747341d639" TargetMode="External"/><Relationship Id="rId353" Type="http://schemas.openxmlformats.org/officeDocument/2006/relationships/hyperlink" Target="https://dribble.octin.io/?mode=Single+log&amp;log_id=9b20a39e-86a1-4f0e-abf6-5c609dc284b8" TargetMode="External"/><Relationship Id="rId395" Type="http://schemas.openxmlformats.org/officeDocument/2006/relationships/hyperlink" Target="https://dribble.octin.io/?mode=Single+log&amp;log_id=9ef56a0d-16cd-48ab-849a-970240a0238f" TargetMode="External"/><Relationship Id="rId409" Type="http://schemas.openxmlformats.org/officeDocument/2006/relationships/hyperlink" Target="https://dribble.octin.io/?mode=Single+log&amp;log_id=a371565a-88b0-41d8-9fb5-0227a7175c07" TargetMode="External"/><Relationship Id="rId92" Type="http://schemas.openxmlformats.org/officeDocument/2006/relationships/hyperlink" Target="https://dribble.octin.io/kibana/app/dashboards" TargetMode="External"/><Relationship Id="rId213" Type="http://schemas.openxmlformats.org/officeDocument/2006/relationships/hyperlink" Target="https://dribble.octin.io/?mode=Single+log&amp;log_id=b5b3beaa-dfd3-4fa6-a8c7-b9e69c4229ab" TargetMode="External"/><Relationship Id="rId420" Type="http://schemas.openxmlformats.org/officeDocument/2006/relationships/hyperlink" Target="https://dribble.octin.io/kibana/app/dashboards" TargetMode="External"/><Relationship Id="rId255" Type="http://schemas.openxmlformats.org/officeDocument/2006/relationships/hyperlink" Target="https://dribble.octin.io/?mode=Single+log&amp;log_id=567432d5-c036-4aff-af97-5849bca480a9" TargetMode="External"/><Relationship Id="rId297" Type="http://schemas.openxmlformats.org/officeDocument/2006/relationships/hyperlink" Target="https://dribble.octin.io/?mode=Single+log&amp;log_id=1603406f-0dab-40f0-83c9-e38b82e87aef" TargetMode="External"/><Relationship Id="rId462" Type="http://schemas.openxmlformats.org/officeDocument/2006/relationships/hyperlink" Target="https://dribble.octin.io/kibana/app/dashboards" TargetMode="External"/><Relationship Id="rId518" Type="http://schemas.openxmlformats.org/officeDocument/2006/relationships/hyperlink" Target="https://dribble.octin.io/kibana/app/dashboards" TargetMode="External"/><Relationship Id="rId115" Type="http://schemas.openxmlformats.org/officeDocument/2006/relationships/hyperlink" Target="https://dribble.octin.io/?mode=Single+log&amp;log_id=69928ebd-7eab-4206-b4e0-9495e0eb95cd" TargetMode="External"/><Relationship Id="rId157" Type="http://schemas.openxmlformats.org/officeDocument/2006/relationships/hyperlink" Target="https://dribble.octin.io/?mode=Single+log&amp;log_id=dcb067eb-12d8-4303-9f22-f35543f49b1f" TargetMode="External"/><Relationship Id="rId322" Type="http://schemas.openxmlformats.org/officeDocument/2006/relationships/hyperlink" Target="https://dribble.octin.io/kibana/app/dashboards" TargetMode="External"/><Relationship Id="rId364" Type="http://schemas.openxmlformats.org/officeDocument/2006/relationships/hyperlink" Target="https://dribble.octin.io/kibana/app/dashboards" TargetMode="External"/><Relationship Id="rId61" Type="http://schemas.openxmlformats.org/officeDocument/2006/relationships/hyperlink" Target="https://dribble.octin.io/?mode=Single+log&amp;log_id=7d6fd532-1953-4a07-9653-3eed666d1b10" TargetMode="External"/><Relationship Id="rId199" Type="http://schemas.openxmlformats.org/officeDocument/2006/relationships/hyperlink" Target="https://dribble.octin.io/?mode=Single+log&amp;log_id=e0ed333b-7510-4f00-8e7e-6504c4eaad98" TargetMode="External"/><Relationship Id="rId19" Type="http://schemas.openxmlformats.org/officeDocument/2006/relationships/hyperlink" Target="https://dribble.octin.io/?mode=Single+log&amp;log_id=0e197814-954c-439a-89c1-a274f62b4381" TargetMode="External"/><Relationship Id="rId224" Type="http://schemas.openxmlformats.org/officeDocument/2006/relationships/hyperlink" Target="https://dribble.octin.io/kibana/app/dashboards" TargetMode="External"/><Relationship Id="rId266" Type="http://schemas.openxmlformats.org/officeDocument/2006/relationships/hyperlink" Target="https://dribble.octin.io/kibana/app/dashboards" TargetMode="External"/><Relationship Id="rId431" Type="http://schemas.openxmlformats.org/officeDocument/2006/relationships/hyperlink" Target="https://dribble.octin.io/?mode=Single+log&amp;log_id=cfab0928-f65f-4ed0-b3a7-e5bc1f455e56" TargetMode="External"/><Relationship Id="rId473" Type="http://schemas.openxmlformats.org/officeDocument/2006/relationships/hyperlink" Target="https://dribble.octin.io/?mode=Single+log&amp;log_id=de879c19-856d-4929-b28d-67a256e10c16" TargetMode="External"/><Relationship Id="rId529" Type="http://schemas.openxmlformats.org/officeDocument/2006/relationships/hyperlink" Target="https://dribble.octin.io/?mode=Single+log&amp;log_id=bd842b45-b9dc-453c-b96a-8665922009fc" TargetMode="External"/><Relationship Id="rId30" Type="http://schemas.openxmlformats.org/officeDocument/2006/relationships/hyperlink" Target="https://dribble.octin.io/kibana/app/dashboards" TargetMode="External"/><Relationship Id="rId126" Type="http://schemas.openxmlformats.org/officeDocument/2006/relationships/hyperlink" Target="https://dribble.octin.io/kibana/app/dashboards" TargetMode="External"/><Relationship Id="rId168" Type="http://schemas.openxmlformats.org/officeDocument/2006/relationships/hyperlink" Target="https://dribble.octin.io/kibana/app/dashboards" TargetMode="External"/><Relationship Id="rId333" Type="http://schemas.openxmlformats.org/officeDocument/2006/relationships/hyperlink" Target="https://dribble.octin.io/?mode=Single+log&amp;log_id=9fc27f53-f123-4285-83b7-99d1146f1ecf" TargetMode="External"/><Relationship Id="rId540" Type="http://schemas.openxmlformats.org/officeDocument/2006/relationships/hyperlink" Target="https://dribble.octin.io/kibana/app/dashboards" TargetMode="External"/><Relationship Id="rId72" Type="http://schemas.openxmlformats.org/officeDocument/2006/relationships/hyperlink" Target="https://dribble.octin.io/kibana/app/dashboards" TargetMode="External"/><Relationship Id="rId375" Type="http://schemas.openxmlformats.org/officeDocument/2006/relationships/hyperlink" Target="https://dribble.octin.io/?mode=Single+log&amp;log_id=a6f1327e-b3f3-4d00-a43f-a47f7a922e89" TargetMode="External"/><Relationship Id="rId3" Type="http://schemas.openxmlformats.org/officeDocument/2006/relationships/hyperlink" Target="https://dribble.octin.io/?mode=Single+log&amp;log_id=f7620a9a-8788-44b0-9b0f-1fe1af17c34e" TargetMode="External"/><Relationship Id="rId235" Type="http://schemas.openxmlformats.org/officeDocument/2006/relationships/hyperlink" Target="https://dribble.octin.io/?mode=Single+log&amp;log_id=62586a60-14ea-4b2f-a469-6c48e3559b57" TargetMode="External"/><Relationship Id="rId277" Type="http://schemas.openxmlformats.org/officeDocument/2006/relationships/hyperlink" Target="https://dribble.octin.io/?mode=Single+log&amp;log_id=0c4cef0f-4be5-4212-9c91-bcba218be3d0" TargetMode="External"/><Relationship Id="rId400" Type="http://schemas.openxmlformats.org/officeDocument/2006/relationships/hyperlink" Target="https://dribble.octin.io/kibana/app/dashboards" TargetMode="External"/><Relationship Id="rId442" Type="http://schemas.openxmlformats.org/officeDocument/2006/relationships/hyperlink" Target="https://dribble.octin.io/kibana/app/dashboards" TargetMode="External"/><Relationship Id="rId484" Type="http://schemas.openxmlformats.org/officeDocument/2006/relationships/hyperlink" Target="https://dribble.octin.io/kibana/app/dashboards" TargetMode="External"/><Relationship Id="rId137" Type="http://schemas.openxmlformats.org/officeDocument/2006/relationships/hyperlink" Target="https://dribble.octin.io/?mode=Single+log&amp;log_id=5ba854e7-b3a2-472d-96f8-55a063f02e38" TargetMode="External"/><Relationship Id="rId302" Type="http://schemas.openxmlformats.org/officeDocument/2006/relationships/hyperlink" Target="https://dribble.octin.io/kibana/app/dashboards" TargetMode="External"/><Relationship Id="rId344" Type="http://schemas.openxmlformats.org/officeDocument/2006/relationships/hyperlink" Target="https://dribble.octin.io/kibana/app/dashboards" TargetMode="External"/><Relationship Id="rId41" Type="http://schemas.openxmlformats.org/officeDocument/2006/relationships/hyperlink" Target="https://dribble.octin.io/?mode=Single+log&amp;log_id=88ca98aa-e70c-4ace-ba37-b9fe42ca6313" TargetMode="External"/><Relationship Id="rId83" Type="http://schemas.openxmlformats.org/officeDocument/2006/relationships/hyperlink" Target="https://dribble.octin.io/?mode=Single+log&amp;log_id=2727dfcc-2fe7-4f4f-bded-518372739ba9" TargetMode="External"/><Relationship Id="rId179" Type="http://schemas.openxmlformats.org/officeDocument/2006/relationships/hyperlink" Target="https://dribble.octin.io/?mode=Single+log&amp;log_id=d56cf962-2c76-428e-a72b-99199d446f16" TargetMode="External"/><Relationship Id="rId386" Type="http://schemas.openxmlformats.org/officeDocument/2006/relationships/hyperlink" Target="https://dribble.octin.io/kibana/app/dashboards" TargetMode="External"/><Relationship Id="rId190" Type="http://schemas.openxmlformats.org/officeDocument/2006/relationships/hyperlink" Target="https://dribble.octin.io/kibana/app/dashboards" TargetMode="External"/><Relationship Id="rId204" Type="http://schemas.openxmlformats.org/officeDocument/2006/relationships/hyperlink" Target="https://dribble.octin.io/kibana/app/dashboards" TargetMode="External"/><Relationship Id="rId246" Type="http://schemas.openxmlformats.org/officeDocument/2006/relationships/hyperlink" Target="https://dribble.octin.io/kibana/app/dashboards" TargetMode="External"/><Relationship Id="rId288" Type="http://schemas.openxmlformats.org/officeDocument/2006/relationships/hyperlink" Target="https://dribble.octin.io/kibana/app/dashboards" TargetMode="External"/><Relationship Id="rId411" Type="http://schemas.openxmlformats.org/officeDocument/2006/relationships/hyperlink" Target="https://dribble.octin.io/?mode=Single+log&amp;log_id=f90bb712-cd56-48e9-82c1-2d94af4da606" TargetMode="External"/><Relationship Id="rId453" Type="http://schemas.openxmlformats.org/officeDocument/2006/relationships/hyperlink" Target="https://dribble.octin.io/?mode=Single+log&amp;log_id=4bbda550-0aa8-4f3e-ae8b-58947b683fae" TargetMode="External"/><Relationship Id="rId509" Type="http://schemas.openxmlformats.org/officeDocument/2006/relationships/hyperlink" Target="https://dribble.octin.io/?mode=Single+log&amp;log_id=285e2aed-dfe3-41bb-a157-a7388a6a198d" TargetMode="External"/><Relationship Id="rId106" Type="http://schemas.openxmlformats.org/officeDocument/2006/relationships/hyperlink" Target="https://dribble.octin.io/kibana/app/dashboards" TargetMode="External"/><Relationship Id="rId313" Type="http://schemas.openxmlformats.org/officeDocument/2006/relationships/hyperlink" Target="https://dribble.octin.io/?mode=Single+log&amp;log_id=3863ec98-7acb-4755-ac86-20ced35403a1" TargetMode="External"/><Relationship Id="rId495" Type="http://schemas.openxmlformats.org/officeDocument/2006/relationships/hyperlink" Target="https://dribble.octin.io/?mode=Single+log&amp;log_id=5ed139b4-7806-45fa-82d1-e19dbe845861" TargetMode="External"/><Relationship Id="rId10" Type="http://schemas.openxmlformats.org/officeDocument/2006/relationships/hyperlink" Target="https://dribble.octin.io/kibana/app/dashboards" TargetMode="External"/><Relationship Id="rId52" Type="http://schemas.openxmlformats.org/officeDocument/2006/relationships/hyperlink" Target="https://dribble.octin.io/kibana/app/dashboards" TargetMode="External"/><Relationship Id="rId94" Type="http://schemas.openxmlformats.org/officeDocument/2006/relationships/hyperlink" Target="https://dribble.octin.io/kibana/app/dashboards" TargetMode="External"/><Relationship Id="rId148" Type="http://schemas.openxmlformats.org/officeDocument/2006/relationships/hyperlink" Target="https://dribble.octin.io/kibana/app/dashboards" TargetMode="External"/><Relationship Id="rId355" Type="http://schemas.openxmlformats.org/officeDocument/2006/relationships/hyperlink" Target="https://dribble.octin.io/?mode=Single+log&amp;log_id=f810b60c-227b-4c95-b324-9f314a039341" TargetMode="External"/><Relationship Id="rId397" Type="http://schemas.openxmlformats.org/officeDocument/2006/relationships/hyperlink" Target="https://dribble.octin.io/?mode=Single+log&amp;log_id=d42ca90e-a8eb-4205-8c65-7a2e7df9f5b0" TargetMode="External"/><Relationship Id="rId520" Type="http://schemas.openxmlformats.org/officeDocument/2006/relationships/hyperlink" Target="https://dribble.octin.io/kibana/app/dashboards" TargetMode="External"/><Relationship Id="rId215" Type="http://schemas.openxmlformats.org/officeDocument/2006/relationships/hyperlink" Target="https://dribble.octin.io/?mode=Single+log&amp;log_id=32f8af93-f89d-4a66-bfd6-ba094d5f5360" TargetMode="External"/><Relationship Id="rId257" Type="http://schemas.openxmlformats.org/officeDocument/2006/relationships/hyperlink" Target="https://dribble.octin.io/?mode=Single+log&amp;log_id=69659ecc-3260-425c-9001-42b6776e3bf9" TargetMode="External"/><Relationship Id="rId422" Type="http://schemas.openxmlformats.org/officeDocument/2006/relationships/hyperlink" Target="https://dribble.octin.io/kibana/app/dashboards" TargetMode="External"/><Relationship Id="rId464" Type="http://schemas.openxmlformats.org/officeDocument/2006/relationships/hyperlink" Target="https://dribble.octin.io/kibana/app/dashboards" TargetMode="External"/><Relationship Id="rId299" Type="http://schemas.openxmlformats.org/officeDocument/2006/relationships/hyperlink" Target="https://dribble.octin.io/?mode=Single+log&amp;log_id=ec0ccf0d-e95d-4ca0-b263-c8425d4e49c0" TargetMode="External"/><Relationship Id="rId63" Type="http://schemas.openxmlformats.org/officeDocument/2006/relationships/hyperlink" Target="https://dribble.octin.io/?mode=Single+log&amp;log_id=699bec61-71a5-42ba-8e6a-84fe2a37e130" TargetMode="External"/><Relationship Id="rId159" Type="http://schemas.openxmlformats.org/officeDocument/2006/relationships/hyperlink" Target="https://dribble.octin.io/?mode=Single+log&amp;log_id=8889378f-5495-452d-b794-56c2e0310ce5" TargetMode="External"/><Relationship Id="rId366" Type="http://schemas.openxmlformats.org/officeDocument/2006/relationships/hyperlink" Target="https://dribble.octin.io/kibana/app/dashboards" TargetMode="External"/><Relationship Id="rId226" Type="http://schemas.openxmlformats.org/officeDocument/2006/relationships/hyperlink" Target="https://dribble.octin.io/kibana/app/dashboards" TargetMode="External"/><Relationship Id="rId433" Type="http://schemas.openxmlformats.org/officeDocument/2006/relationships/hyperlink" Target="https://dribble.octin.io/?mode=Single+log&amp;log_id=856a4da4-8114-44bb-8ccf-04268602455e" TargetMode="External"/><Relationship Id="rId74" Type="http://schemas.openxmlformats.org/officeDocument/2006/relationships/hyperlink" Target="https://dribble.octin.io/kibana/app/dashboards" TargetMode="External"/><Relationship Id="rId377" Type="http://schemas.openxmlformats.org/officeDocument/2006/relationships/hyperlink" Target="https://dribble.octin.io/?mode=Single+log&amp;log_id=67a075d2-cbfe-4967-a145-17e5146dc66b" TargetMode="External"/><Relationship Id="rId500" Type="http://schemas.openxmlformats.org/officeDocument/2006/relationships/hyperlink" Target="https://dribble.octin.io/kibana/app/dashboards" TargetMode="External"/><Relationship Id="rId5" Type="http://schemas.openxmlformats.org/officeDocument/2006/relationships/hyperlink" Target="https://dribble.octin.io/?mode=Single+log&amp;log_id=d38619be-08e1-4e4d-b91d-75543b2dfd50" TargetMode="External"/><Relationship Id="rId237" Type="http://schemas.openxmlformats.org/officeDocument/2006/relationships/hyperlink" Target="https://dribble.octin.io/?mode=Single+log&amp;log_id=7826c206-0529-4851-87e5-a3fc5c8b02b4" TargetMode="External"/><Relationship Id="rId444" Type="http://schemas.openxmlformats.org/officeDocument/2006/relationships/hyperlink" Target="https://dribble.octin.io/kibana/app/dashboards" TargetMode="External"/><Relationship Id="rId290" Type="http://schemas.openxmlformats.org/officeDocument/2006/relationships/hyperlink" Target="https://dribble.octin.io/kibana/app/dashboards" TargetMode="External"/><Relationship Id="rId304" Type="http://schemas.openxmlformats.org/officeDocument/2006/relationships/hyperlink" Target="https://dribble.octin.io/kibana/app/dashboards" TargetMode="External"/><Relationship Id="rId388" Type="http://schemas.openxmlformats.org/officeDocument/2006/relationships/hyperlink" Target="https://dribble.octin.io/kibana/app/dashboards" TargetMode="External"/><Relationship Id="rId511" Type="http://schemas.openxmlformats.org/officeDocument/2006/relationships/hyperlink" Target="https://dribble.octin.io/?mode=Single+log&amp;log_id=aec1f9c7-559c-423a-aec8-ab63e71eb109" TargetMode="External"/><Relationship Id="rId85" Type="http://schemas.openxmlformats.org/officeDocument/2006/relationships/hyperlink" Target="https://dribble.octin.io/?mode=Single+log&amp;log_id=46e17577-08e0-42c2-8d58-8265473d57f6" TargetMode="External"/><Relationship Id="rId150" Type="http://schemas.openxmlformats.org/officeDocument/2006/relationships/hyperlink" Target="https://dribble.octin.io/kibana/app/dashboards"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8" Type="http://schemas.openxmlformats.org/officeDocument/2006/relationships/hyperlink" Target="https://inductintl.sharepoint.com/:w:/s/OctivaXenion/EdcSX44VytFGs9--8aCLK0cBmeM0x1uao4G9ZHKnLlGnRg?e=pmU1cy" TargetMode="External"/><Relationship Id="rId3" Type="http://schemas.openxmlformats.org/officeDocument/2006/relationships/hyperlink" Target="https://inductintl.sharepoint.com/:w:/s/OctivaXenion/EShfh46t05dEkaQSZWp9oQ8BRYMuAspgPLSCPyuuvBkMKA?e=0GJxpa" TargetMode="External"/><Relationship Id="rId7" Type="http://schemas.openxmlformats.org/officeDocument/2006/relationships/hyperlink" Target="https://inductintl.sharepoint.com/:w:/s/OctivaXenion/EdcSX44VytFGs9--8aCLK0cBmeM0x1uao4G9ZHKnLlGnRg?e=pmU1cy" TargetMode="External"/><Relationship Id="rId2" Type="http://schemas.openxmlformats.org/officeDocument/2006/relationships/hyperlink" Target="https://inductintl.sharepoint.com/:w:/s/OctivaXenion/EShfh46t05dEkaQSZWp9oQ8BRYMuAspgPLSCPyuuvBkMKA?e=0GJxpa" TargetMode="External"/><Relationship Id="rId1" Type="http://schemas.openxmlformats.org/officeDocument/2006/relationships/hyperlink" Target="https://inductintl.sharepoint.com/:w:/s/OctivaXenion/EShfh46t05dEkaQSZWp9oQ8BRYMuAspgPLSCPyuuvBkMKA?e=0GJxpa" TargetMode="External"/><Relationship Id="rId6" Type="http://schemas.openxmlformats.org/officeDocument/2006/relationships/hyperlink" Target="https://inductintl.sharepoint.com/:w:/s/OctivaXenion/EdcSX44VytFGs9--8aCLK0cBmeM0x1uao4G9ZHKnLlGnRg?e=pmU1cy" TargetMode="External"/><Relationship Id="rId5" Type="http://schemas.openxmlformats.org/officeDocument/2006/relationships/hyperlink" Target="https://inductintl.sharepoint.com/:w:/s/OctivaXenion/EShfh46t05dEkaQSZWp9oQ8BRYMuAspgPLSCPyuuvBkMKA?e=0GJxpa" TargetMode="External"/><Relationship Id="rId4" Type="http://schemas.openxmlformats.org/officeDocument/2006/relationships/hyperlink" Target="https://inductintl.sharepoint.com/:w:/s/OctivaXenion/EZIgbmF9N_FNiKS7lm98FVsBeORxYVZPnOU8o7zLH30_yA?e=5G8aHx" TargetMode="External"/><Relationship Id="rId9" Type="http://schemas.openxmlformats.org/officeDocument/2006/relationships/hyperlink" Target="https://inductintl.sharepoint.com/:w:/s/OctivaXenion/EdcSX44VytFGs9--8aCLK0cBmeM0x1uao4G9ZHKnLlGnRg?e=pmU1cy"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13" Type="http://schemas.openxmlformats.org/officeDocument/2006/relationships/hyperlink" Target="https://inductintl.sharepoint.com/sites/OctivaXenion/_layouts/15/doc.aspx?sourcedoc=%7bd85552c1-48d0-4c39-be5c-0101c4a0ee09%7d&amp;action=edit" TargetMode="External"/><Relationship Id="rId18" Type="http://schemas.openxmlformats.org/officeDocument/2006/relationships/hyperlink" Target="https://inductintl.sharepoint.com/sites/OctivaXenion/_layouts/15/doc.aspx?sourcedoc=%7bd85552c1-48d0-4c39-be5c-0101c4a0ee09%7d&amp;action=edit" TargetMode="External"/><Relationship Id="rId26" Type="http://schemas.openxmlformats.org/officeDocument/2006/relationships/hyperlink" Target="https://inductintl.sharepoint.com/sites/OctivaXenion/_layouts/15/doc.aspx?sourcedoc=%7bf8b2c463-0dd2-435c-be41-54c5f9d04b49%7d&amp;action=edit" TargetMode="External"/><Relationship Id="rId39" Type="http://schemas.openxmlformats.org/officeDocument/2006/relationships/hyperlink" Target="https://inductintl.sharepoint.com/:w:/s/OctivaXenion/EcXXqrSiQZ5MqdMyivlHBq8B-D_sJIHvjVsNrL5udbMv0w?e=6WJMBA" TargetMode="External"/><Relationship Id="rId21" Type="http://schemas.openxmlformats.org/officeDocument/2006/relationships/hyperlink" Target="https://inductintl.sharepoint.com/sites/OctivaXenion/_layouts/15/doc.aspx?sourcedoc=%7b60a90337-2394-43fb-950d-aaa3797ac760%7d&amp;action=edit" TargetMode="External"/><Relationship Id="rId34" Type="http://schemas.openxmlformats.org/officeDocument/2006/relationships/hyperlink" Target="https://inductintl.sharepoint.com/sites/OctivaXenion/_layouts/15/doc.aspx?sourcedoc=%7bfa0d2c3c-5e33-4f21-b9e8-a28995b0eec1%7d&amp;action=edit" TargetMode="External"/><Relationship Id="rId42" Type="http://schemas.openxmlformats.org/officeDocument/2006/relationships/hyperlink" Target="https://inductintl.sharepoint.com/sites/OctivaXenion/_layouts/15/doc.aspx?sourcedoc=%7bfa0d2c3c-5e33-4f21-b9e8-a28995b0eec1%7d&amp;action=edit" TargetMode="External"/><Relationship Id="rId47" Type="http://schemas.openxmlformats.org/officeDocument/2006/relationships/hyperlink" Target="https://inductintl.sharepoint.com/sites/OctivaXenion/_layouts/15/doc.aspx?sourcedoc=%7bf8b2c463-0dd2-435c-be41-54c5f9d04b49%7d&amp;action=edit" TargetMode="External"/><Relationship Id="rId7" Type="http://schemas.openxmlformats.org/officeDocument/2006/relationships/hyperlink" Target="https://inductintl.sharepoint.com/:b:/s/OctivaXenion/EdCyYExi8YBEv_xHmtXw4DkB43FEhMIr3KghN5LdQwG_HQ?e=Xez9gz" TargetMode="External"/><Relationship Id="rId2" Type="http://schemas.openxmlformats.org/officeDocument/2006/relationships/hyperlink" Target="https://inductintl.sharepoint.com/:w:/s/OctivaXenion/EShfh46t05dEkaQSZWp9oQ8BRYMuAspgPLSCPyuuvBkMKA?e=zFHs6l" TargetMode="External"/><Relationship Id="rId16" Type="http://schemas.openxmlformats.org/officeDocument/2006/relationships/hyperlink" Target="https://inductintl.sharepoint.com/sites/OctivaXenion/_layouts/15/doc.aspx?sourcedoc=%7bd85552c1-48d0-4c39-be5c-0101c4a0ee09%7d&amp;action=edit" TargetMode="External"/><Relationship Id="rId29" Type="http://schemas.openxmlformats.org/officeDocument/2006/relationships/hyperlink" Target="https://inductintl.sharepoint.com/sites/OctivaXenion/_layouts/15/doc.aspx?sourcedoc=%7b7a452b79-71cd-4ed6-b55a-2f95094403b5%7d&amp;action=edit" TargetMode="External"/><Relationship Id="rId11" Type="http://schemas.openxmlformats.org/officeDocument/2006/relationships/hyperlink" Target="https://inductintl.sharepoint.com/:w:/s/OctivaXenion/EWwsA_0A1EBGsdpjHjpfmqUB5nsYPVXpaLrWYk8QST0_Ig?e=aHsOgF" TargetMode="External"/><Relationship Id="rId24" Type="http://schemas.openxmlformats.org/officeDocument/2006/relationships/hyperlink" Target="https://inductintl.sharepoint.com/sites/OctivaXenion/_layouts/15/doc.aspx?sourcedoc=%7b7a452b79-71cd-4ed6-b55a-2f95094403b5%7d&amp;action=edit" TargetMode="External"/><Relationship Id="rId32" Type="http://schemas.openxmlformats.org/officeDocument/2006/relationships/hyperlink" Target="https://inductintl.sharepoint.com/sites/OctivaXenion/_layouts/15/doc.aspx?sourcedoc=%7b7a452b79-71cd-4ed6-b55a-2f95094403b5%7d&amp;action=edit" TargetMode="External"/><Relationship Id="rId37" Type="http://schemas.openxmlformats.org/officeDocument/2006/relationships/hyperlink" Target="https://inductintl.sharepoint.com/:w:/r/sites/OctivaXenion/_layouts/15/Doc.aspx?sourcedoc=%7BFADE72BF-D147-43F8-BD7C-A569EA8CCF0B%7D&amp;file=OAG1XENLUM2209040.docx&amp;action=default&amp;mobileredirect=true" TargetMode="External"/><Relationship Id="rId40" Type="http://schemas.openxmlformats.org/officeDocument/2006/relationships/hyperlink" Target="https://inductintl.sharepoint.com/:w:/s/OctivaXenion/EcXXqrSiQZ5MqdMyivlHBq8B-D_sJIHvjVsNrL5udbMv0w?e=6WJMBA" TargetMode="External"/><Relationship Id="rId45" Type="http://schemas.openxmlformats.org/officeDocument/2006/relationships/hyperlink" Target="https://inductintl.sharepoint.com/:w:/s/OctivaXenion/EcXXqrSiQZ5MqdMyivlHBq8B-D_sJIHvjVsNrL5udbMv0w?e=6WJMBA" TargetMode="External"/><Relationship Id="rId5" Type="http://schemas.openxmlformats.org/officeDocument/2006/relationships/hyperlink" Target="https://inductintl.sharepoint.com/:w:/s/OctivaXenion/EdcSX44VytFGs9--8aCLK0cBmeM0x1uao4G9ZHKnLlGnRg?e=fYR0zq" TargetMode="External"/><Relationship Id="rId15" Type="http://schemas.openxmlformats.org/officeDocument/2006/relationships/hyperlink" Target="https://inductintl.sharepoint.com/sites/OctivaXenion/_layouts/15/doc.aspx?sourcedoc=%7bd85552c1-48d0-4c39-be5c-0101c4a0ee09%7d&amp;action=edit" TargetMode="External"/><Relationship Id="rId23" Type="http://schemas.openxmlformats.org/officeDocument/2006/relationships/hyperlink" Target="https://inductintl.sharepoint.com/sites/OctivaXenion/_layouts/15/doc.aspx?sourcedoc=%7bd85552c1-48d0-4c39-be5c-0101c4a0ee09%7d&amp;action=edit" TargetMode="External"/><Relationship Id="rId28" Type="http://schemas.openxmlformats.org/officeDocument/2006/relationships/hyperlink" Target="https://inductintl.sharepoint.com/sites/OctivaXenion/_layouts/15/doc.aspx?sourcedoc=%7bfa0d2c3c-5e33-4f21-b9e8-a28995b0eec1%7d&amp;action=edit" TargetMode="External"/><Relationship Id="rId36" Type="http://schemas.openxmlformats.org/officeDocument/2006/relationships/hyperlink" Target="https://inductintl.sharepoint.com/:w:/r/sites/OctivaXenion/_layouts/15/Doc.aspx?sourcedoc=%7BFADE72BF-D147-43F8-BD7C-A569EA8CCF0B%7D&amp;file=OAG1XENLUM2209040.docx&amp;action=default&amp;mobileredirect=true" TargetMode="External"/><Relationship Id="rId49" Type="http://schemas.openxmlformats.org/officeDocument/2006/relationships/table" Target="../tables/table3.xml"/><Relationship Id="rId10" Type="http://schemas.openxmlformats.org/officeDocument/2006/relationships/hyperlink" Target="https://inductintl.sharepoint.com/:w:/s/OctivaXenion/EWwsA_0A1EBGsdpjHjpfmqUB5nsYPVXpaLrWYk8QST0_Ig?e=aHsOgF" TargetMode="External"/><Relationship Id="rId19" Type="http://schemas.openxmlformats.org/officeDocument/2006/relationships/hyperlink" Target="https://inductintl.sharepoint.com/:w:/s/OctivaXenion/EWwsA_0A1EBGsdpjHjpfmqUB5nsYPVXpaLrWYk8QST0_Ig?e=aHsOgF" TargetMode="External"/><Relationship Id="rId31" Type="http://schemas.openxmlformats.org/officeDocument/2006/relationships/hyperlink" Target="https://inductintl.sharepoint.com/sites/OctivaXenion/_layouts/15/doc.aspx?sourcedoc=%7bfa0d2c3c-5e33-4f21-b9e8-a28995b0eec1%7d&amp;action=edit" TargetMode="External"/><Relationship Id="rId44" Type="http://schemas.openxmlformats.org/officeDocument/2006/relationships/hyperlink" Target="https://inductintl.sharepoint.com/sites/OctivaXenion/_layouts/15/doc.aspx?sourcedoc=%7bfa0d2c3c-5e33-4f21-b9e8-a28995b0eec1%7d&amp;action=edit" TargetMode="External"/><Relationship Id="rId4" Type="http://schemas.openxmlformats.org/officeDocument/2006/relationships/hyperlink" Target="https://inductintl.sharepoint.com/:w:/s/OctivaXenion/EdcSX44VytFGs9--8aCLK0cBmeM0x1uao4G9ZHKnLlGnRg?e=fYR0zq" TargetMode="External"/><Relationship Id="rId9" Type="http://schemas.openxmlformats.org/officeDocument/2006/relationships/hyperlink" Target="https://inductintl.sharepoint.com/:w:/s/OctivaXenion/EWwsA_0A1EBGsdpjHjpfmqUB5nsYPVXpaLrWYk8QST0_Ig?e=aHsOgF" TargetMode="External"/><Relationship Id="rId14" Type="http://schemas.openxmlformats.org/officeDocument/2006/relationships/hyperlink" Target="https://inductintl.sharepoint.com/sites/OctivaXenion/_layouts/15/doc.aspx?sourcedoc=%7bd85552c1-48d0-4c39-be5c-0101c4a0ee09%7d&amp;action=edit" TargetMode="External"/><Relationship Id="rId22" Type="http://schemas.openxmlformats.org/officeDocument/2006/relationships/hyperlink" Target="https://inductintl.sharepoint.com/sites/OctivaXenion/_layouts/15/doc.aspx?sourcedoc=%7b60a90337-2394-43fb-950d-aaa3797ac760%7d&amp;action=edit" TargetMode="External"/><Relationship Id="rId27" Type="http://schemas.openxmlformats.org/officeDocument/2006/relationships/hyperlink" Target="https://inductintl.sharepoint.com/sites/OctivaXenion/_layouts/15/doc.aspx?sourcedoc=%7bf8b2c463-0dd2-435c-be41-54c5f9d04b49%7d&amp;action=edit" TargetMode="External"/><Relationship Id="rId30" Type="http://schemas.openxmlformats.org/officeDocument/2006/relationships/hyperlink" Target="https://inductintl.sharepoint.com/sites/OctivaXenion/_layouts/15/doc.aspx?sourcedoc=%7bb4aad7c5-41a2-4c9e-a9d3-328af94706af%7d&amp;action=edit" TargetMode="External"/><Relationship Id="rId35" Type="http://schemas.openxmlformats.org/officeDocument/2006/relationships/hyperlink" Target="https://inductintl.sharepoint.com/:w:/s/OctivaXenion/EcXXqrSiQZ5MqdMyivlHBq8B-D_sJIHvjVsNrL5udbMv0w?e=6WJMBA" TargetMode="External"/><Relationship Id="rId43" Type="http://schemas.openxmlformats.org/officeDocument/2006/relationships/hyperlink" Target="https://inductintl.sharepoint.com/sites/OctivaXenion/_layouts/15/doc.aspx?sourcedoc=%7bfa0d2c3c-5e33-4f21-b9e8-a28995b0eec1%7d&amp;action=edit" TargetMode="External"/><Relationship Id="rId48" Type="http://schemas.openxmlformats.org/officeDocument/2006/relationships/hyperlink" Target="https://inductintl.sharepoint.com/sites/OctivaXenion/_layouts/15/doc.aspx?sourcedoc=%7bfa0d2c3c-5e33-4f21-b9e8-a28995b0eec1%7d&amp;action=edit" TargetMode="External"/><Relationship Id="rId8" Type="http://schemas.openxmlformats.org/officeDocument/2006/relationships/hyperlink" Target="https://inductintl.sharepoint.com/:w:/s/OctivaXenion/EWwsA_0A1EBGsdpjHjpfmqUB5nsYPVXpaLrWYk8QST0_Ig?e=aHsOgF" TargetMode="External"/><Relationship Id="rId3" Type="http://schemas.openxmlformats.org/officeDocument/2006/relationships/hyperlink" Target="https://inductintl.sharepoint.com/:w:/s/OctivaXenion/EdcSX44VytFGs9--8aCLK0cBmeM0x1uao4G9ZHKnLlGnRg?e=fYR0zq" TargetMode="External"/><Relationship Id="rId12" Type="http://schemas.openxmlformats.org/officeDocument/2006/relationships/hyperlink" Target="https://inductintl.sharepoint.com/:w:/s/OctivaXenion/EWwsA_0A1EBGsdpjHjpfmqUB5nsYPVXpaLrWYk8QST0_Ig?e=aHsOgF" TargetMode="External"/><Relationship Id="rId17" Type="http://schemas.openxmlformats.org/officeDocument/2006/relationships/hyperlink" Target="https://inductintl.sharepoint.com/sites/OctivaXenion/_layouts/15/doc.aspx?sourcedoc=%7bd85552c1-48d0-4c39-be5c-0101c4a0ee09%7d&amp;action=edit" TargetMode="External"/><Relationship Id="rId25" Type="http://schemas.openxmlformats.org/officeDocument/2006/relationships/hyperlink" Target="https://inductintl.sharepoint.com/sites/OctivaXenion/_layouts/15/doc.aspx?sourcedoc=%7bf8b2c463-0dd2-435c-be41-54c5f9d04b49%7d&amp;action=edit" TargetMode="External"/><Relationship Id="rId33" Type="http://schemas.openxmlformats.org/officeDocument/2006/relationships/hyperlink" Target="https://inductintl.sharepoint.com/sites/OctivaXenion/_layouts/15/doc.aspx?sourcedoc=%7bfa0d2c3c-5e33-4f21-b9e8-a28995b0eec1%7d&amp;action=edit" TargetMode="External"/><Relationship Id="rId38" Type="http://schemas.openxmlformats.org/officeDocument/2006/relationships/hyperlink" Target="https://inductintl.sharepoint.com/:w:/s/OctivaXenion/EcXXqrSiQZ5MqdMyivlHBq8B-D_sJIHvjVsNrL5udbMv0w?e=6WJMBA" TargetMode="External"/><Relationship Id="rId46" Type="http://schemas.openxmlformats.org/officeDocument/2006/relationships/hyperlink" Target="https://inductintl.sharepoint.com/sites/OctivaXenion/_layouts/15/doc.aspx?sourcedoc=%7bfa0d2c3c-5e33-4f21-b9e8-a28995b0eec1%7d&amp;action=edit" TargetMode="External"/><Relationship Id="rId20" Type="http://schemas.openxmlformats.org/officeDocument/2006/relationships/hyperlink" Target="https://inductintl.sharepoint.com/sites/OctivaXenion/_layouts/15/doc.aspx?sourcedoc=%7b4ce63ed0-3a49-469d-818f-881ba6d3c89e%7d&amp;action=edit" TargetMode="External"/><Relationship Id="rId41" Type="http://schemas.openxmlformats.org/officeDocument/2006/relationships/hyperlink" Target="https://inductintl.sharepoint.com/sites/OctivaXenion/_layouts/15/doc.aspx?sourcedoc=%7bfa0d2c3c-5e33-4f21-b9e8-a28995b0eec1%7d&amp;action=edit" TargetMode="External"/><Relationship Id="rId1" Type="http://schemas.openxmlformats.org/officeDocument/2006/relationships/hyperlink" Target="https://inductintl.sharepoint.com/:w:/s/OctivaXenion/EZIgbmF9N_FNiKS7lm98FVsBeORxYVZPnOU8o7zLH30_yA?e=GkI3yF" TargetMode="External"/><Relationship Id="rId6" Type="http://schemas.openxmlformats.org/officeDocument/2006/relationships/hyperlink" Target="https://inductintl.sharepoint.com/:b:/s/OctivaXenion/EdCyYExi8YBEv_xHmtXw4DkB43FEhMIr3KghN5LdQwG_HQ?e=Xez9gz"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14.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3"/>
  <sheetViews>
    <sheetView workbookViewId="0">
      <pane ySplit="1" topLeftCell="GWQ163" activePane="bottomLeft" state="frozen"/>
      <selection pane="bottomLeft" activeCell="M163" sqref="M163"/>
    </sheetView>
  </sheetViews>
  <sheetFormatPr defaultRowHeight="15"/>
  <cols>
    <col min="1" max="1" width="36.7109375" customWidth="1"/>
    <col min="2" max="2" width="21.85546875" bestFit="1" customWidth="1"/>
    <col min="3" max="3" width="16.140625" customWidth="1"/>
    <col min="4" max="4" width="15.85546875" customWidth="1"/>
    <col min="6" max="6" width="13.42578125" customWidth="1"/>
    <col min="12" max="12" width="19.7109375" customWidth="1"/>
    <col min="15" max="15" width="12.7109375" bestFit="1" customWidth="1"/>
  </cols>
  <sheetData>
    <row r="1" spans="1:18">
      <c r="A1" s="23" t="s">
        <v>0</v>
      </c>
      <c r="B1" s="24" t="s">
        <v>1</v>
      </c>
      <c r="C1" s="24" t="s">
        <v>2</v>
      </c>
      <c r="D1" s="24" t="s">
        <v>3</v>
      </c>
      <c r="E1" s="24" t="s">
        <v>4</v>
      </c>
      <c r="F1" s="24" t="s">
        <v>5</v>
      </c>
      <c r="G1" s="25" t="s">
        <v>6</v>
      </c>
      <c r="H1" s="25" t="s">
        <v>7</v>
      </c>
      <c r="I1" s="25" t="s">
        <v>8</v>
      </c>
      <c r="J1" s="24" t="s">
        <v>9</v>
      </c>
      <c r="K1" s="24" t="s">
        <v>10</v>
      </c>
      <c r="L1" s="24" t="s">
        <v>11</v>
      </c>
      <c r="M1" s="24" t="s">
        <v>12</v>
      </c>
      <c r="N1" s="24" t="s">
        <v>13</v>
      </c>
      <c r="O1" s="24" t="s">
        <v>14</v>
      </c>
      <c r="P1" s="24" t="s">
        <v>15</v>
      </c>
      <c r="Q1" s="24" t="s">
        <v>16</v>
      </c>
      <c r="R1" s="26" t="s">
        <v>17</v>
      </c>
    </row>
    <row r="2" spans="1:18">
      <c r="A2" s="1" t="s">
        <v>18</v>
      </c>
      <c r="B2" s="2" t="s">
        <v>19</v>
      </c>
      <c r="C2" s="2" t="s">
        <v>20</v>
      </c>
      <c r="D2" s="2" t="s">
        <v>21</v>
      </c>
      <c r="E2" s="2" t="s">
        <v>22</v>
      </c>
      <c r="F2" s="3">
        <v>44732</v>
      </c>
      <c r="G2" s="4">
        <v>0.78879629629629633</v>
      </c>
      <c r="H2" s="4">
        <v>0.79166666666666663</v>
      </c>
      <c r="I2" s="4">
        <v>0.80525462962962957</v>
      </c>
      <c r="J2" s="2">
        <v>44</v>
      </c>
      <c r="K2" s="2" t="s">
        <v>23</v>
      </c>
      <c r="L2" s="2"/>
      <c r="M2" s="5" t="s">
        <v>12</v>
      </c>
      <c r="N2" s="5" t="s">
        <v>24</v>
      </c>
      <c r="O2" s="2" t="s">
        <v>25</v>
      </c>
      <c r="P2" s="2" t="s">
        <v>26</v>
      </c>
      <c r="Q2" s="2" t="s">
        <v>27</v>
      </c>
      <c r="R2" s="6"/>
    </row>
    <row r="3" spans="1:18">
      <c r="A3" s="7" t="s">
        <v>28</v>
      </c>
      <c r="B3" s="8" t="s">
        <v>19</v>
      </c>
      <c r="C3" s="8" t="s">
        <v>29</v>
      </c>
      <c r="D3" s="8" t="s">
        <v>21</v>
      </c>
      <c r="E3" s="8" t="s">
        <v>22</v>
      </c>
      <c r="F3" s="9">
        <v>44732</v>
      </c>
      <c r="G3" s="10">
        <v>0.78879629629629633</v>
      </c>
      <c r="H3" s="10">
        <v>0.79652777777777783</v>
      </c>
      <c r="I3" s="10">
        <v>0.80525462962962957</v>
      </c>
      <c r="J3" s="8">
        <v>44</v>
      </c>
      <c r="K3" s="8" t="s">
        <v>23</v>
      </c>
      <c r="L3" s="8"/>
      <c r="M3" s="11" t="s">
        <v>12</v>
      </c>
      <c r="N3" s="11" t="s">
        <v>24</v>
      </c>
      <c r="O3" s="8" t="s">
        <v>30</v>
      </c>
      <c r="P3" s="8" t="s">
        <v>31</v>
      </c>
      <c r="Q3" s="8" t="s">
        <v>27</v>
      </c>
      <c r="R3" s="12"/>
    </row>
    <row r="4" spans="1:18">
      <c r="A4" s="1" t="s">
        <v>32</v>
      </c>
      <c r="B4" s="2" t="s">
        <v>19</v>
      </c>
      <c r="C4" s="2" t="s">
        <v>20</v>
      </c>
      <c r="D4" s="2" t="s">
        <v>21</v>
      </c>
      <c r="E4" s="2" t="s">
        <v>22</v>
      </c>
      <c r="F4" s="3">
        <v>44732</v>
      </c>
      <c r="G4" s="4">
        <v>0.78879629629629633</v>
      </c>
      <c r="H4" s="4">
        <v>0.79722222222222217</v>
      </c>
      <c r="I4" s="4">
        <v>0.80525462962962957</v>
      </c>
      <c r="J4" s="2">
        <v>44</v>
      </c>
      <c r="K4" s="2" t="s">
        <v>33</v>
      </c>
      <c r="L4" s="2"/>
      <c r="M4" s="5" t="s">
        <v>12</v>
      </c>
      <c r="N4" s="5" t="s">
        <v>24</v>
      </c>
      <c r="O4" s="2" t="s">
        <v>30</v>
      </c>
      <c r="P4" s="2" t="s">
        <v>31</v>
      </c>
      <c r="Q4" s="2" t="s">
        <v>27</v>
      </c>
      <c r="R4" s="6"/>
    </row>
    <row r="5" spans="1:18">
      <c r="A5" s="7" t="s">
        <v>34</v>
      </c>
      <c r="B5" s="8" t="s">
        <v>35</v>
      </c>
      <c r="C5" s="8" t="s">
        <v>20</v>
      </c>
      <c r="D5" s="8" t="s">
        <v>36</v>
      </c>
      <c r="E5" s="8" t="s">
        <v>37</v>
      </c>
      <c r="F5" s="9">
        <v>44732</v>
      </c>
      <c r="G5" s="10">
        <v>0.78181712962962957</v>
      </c>
      <c r="H5" s="10">
        <v>0.80625000000000002</v>
      </c>
      <c r="I5" s="10">
        <v>0.80599537037037028</v>
      </c>
      <c r="J5" s="8">
        <v>44</v>
      </c>
      <c r="K5" s="8" t="s">
        <v>33</v>
      </c>
      <c r="L5" s="8" t="s">
        <v>38</v>
      </c>
      <c r="M5" s="11" t="s">
        <v>12</v>
      </c>
      <c r="N5" s="11" t="s">
        <v>24</v>
      </c>
      <c r="O5" s="8" t="s">
        <v>39</v>
      </c>
      <c r="P5" s="8" t="s">
        <v>40</v>
      </c>
      <c r="Q5" s="8" t="s">
        <v>27</v>
      </c>
      <c r="R5" s="12"/>
    </row>
    <row r="6" spans="1:18">
      <c r="A6" s="1" t="s">
        <v>41</v>
      </c>
      <c r="B6" s="2" t="s">
        <v>19</v>
      </c>
      <c r="C6" s="2" t="s">
        <v>42</v>
      </c>
      <c r="D6" s="2" t="s">
        <v>43</v>
      </c>
      <c r="E6" s="2" t="s">
        <v>37</v>
      </c>
      <c r="F6" s="3">
        <v>44732</v>
      </c>
      <c r="G6" s="4">
        <v>0.8062731481481481</v>
      </c>
      <c r="H6" s="4">
        <v>0.80625000000000002</v>
      </c>
      <c r="I6" s="4">
        <v>0.80701388888888881</v>
      </c>
      <c r="J6" s="2">
        <v>44</v>
      </c>
      <c r="K6" s="2" t="s">
        <v>23</v>
      </c>
      <c r="L6" s="2"/>
      <c r="M6" s="5" t="s">
        <v>12</v>
      </c>
      <c r="N6" s="5" t="s">
        <v>24</v>
      </c>
      <c r="O6" s="2" t="s">
        <v>30</v>
      </c>
      <c r="P6" s="2" t="s">
        <v>31</v>
      </c>
      <c r="Q6" s="2" t="s">
        <v>27</v>
      </c>
      <c r="R6" s="6"/>
    </row>
    <row r="7" spans="1:18">
      <c r="A7" s="7" t="s">
        <v>44</v>
      </c>
      <c r="B7" s="8" t="s">
        <v>19</v>
      </c>
      <c r="C7" s="8" t="s">
        <v>29</v>
      </c>
      <c r="D7" s="8" t="s">
        <v>43</v>
      </c>
      <c r="E7" s="8" t="s">
        <v>37</v>
      </c>
      <c r="F7" s="9">
        <v>44732</v>
      </c>
      <c r="G7" s="10">
        <v>0.8062731481481481</v>
      </c>
      <c r="H7" s="10">
        <v>0.80694444444444446</v>
      </c>
      <c r="I7" s="10">
        <v>0.80701388888888881</v>
      </c>
      <c r="J7" s="8">
        <v>44</v>
      </c>
      <c r="K7" s="8" t="s">
        <v>33</v>
      </c>
      <c r="L7" s="8" t="s">
        <v>45</v>
      </c>
      <c r="M7" s="11" t="s">
        <v>12</v>
      </c>
      <c r="N7" s="11" t="s">
        <v>24</v>
      </c>
      <c r="O7" s="8" t="s">
        <v>30</v>
      </c>
      <c r="P7" s="8" t="s">
        <v>31</v>
      </c>
      <c r="Q7" s="8" t="s">
        <v>27</v>
      </c>
      <c r="R7" s="12"/>
    </row>
    <row r="8" spans="1:18">
      <c r="A8" s="1" t="s">
        <v>46</v>
      </c>
      <c r="B8" s="2" t="s">
        <v>35</v>
      </c>
      <c r="C8" s="2" t="s">
        <v>47</v>
      </c>
      <c r="D8" s="2" t="s">
        <v>48</v>
      </c>
      <c r="E8" s="2" t="s">
        <v>37</v>
      </c>
      <c r="F8" s="3">
        <v>44733</v>
      </c>
      <c r="G8" s="4">
        <v>0.77203703703703708</v>
      </c>
      <c r="H8" s="4">
        <v>0.86736111111111114</v>
      </c>
      <c r="I8" s="4">
        <v>0.86744212962962963</v>
      </c>
      <c r="J8" s="2">
        <v>44</v>
      </c>
      <c r="K8" s="2" t="s">
        <v>33</v>
      </c>
      <c r="L8" s="2" t="s">
        <v>49</v>
      </c>
      <c r="M8" s="5" t="s">
        <v>12</v>
      </c>
      <c r="N8" s="5" t="s">
        <v>24</v>
      </c>
      <c r="O8" s="2" t="s">
        <v>39</v>
      </c>
      <c r="P8" s="2" t="s">
        <v>40</v>
      </c>
      <c r="Q8" s="2" t="s">
        <v>27</v>
      </c>
      <c r="R8" s="6"/>
    </row>
    <row r="9" spans="1:18">
      <c r="A9" s="7" t="s">
        <v>50</v>
      </c>
      <c r="B9" s="8" t="s">
        <v>35</v>
      </c>
      <c r="C9" s="8" t="s">
        <v>47</v>
      </c>
      <c r="D9" s="8" t="s">
        <v>51</v>
      </c>
      <c r="E9" s="8" t="s">
        <v>37</v>
      </c>
      <c r="F9" s="9">
        <v>44739</v>
      </c>
      <c r="G9" s="10">
        <v>0.82619212962962962</v>
      </c>
      <c r="H9" s="10">
        <v>0.89930555555555547</v>
      </c>
      <c r="I9" s="10">
        <v>0.89967592592592593</v>
      </c>
      <c r="J9" s="8">
        <v>44</v>
      </c>
      <c r="K9" s="8" t="s">
        <v>33</v>
      </c>
      <c r="L9" s="8" t="s">
        <v>52</v>
      </c>
      <c r="M9" s="11" t="s">
        <v>12</v>
      </c>
      <c r="N9" s="11" t="s">
        <v>24</v>
      </c>
      <c r="O9" s="8" t="s">
        <v>30</v>
      </c>
      <c r="P9" s="8" t="s">
        <v>53</v>
      </c>
      <c r="Q9" s="8" t="s">
        <v>27</v>
      </c>
      <c r="R9" s="12"/>
    </row>
    <row r="10" spans="1:18">
      <c r="A10" s="13" t="s">
        <v>54</v>
      </c>
      <c r="B10" s="2" t="s">
        <v>35</v>
      </c>
      <c r="C10" s="2" t="s">
        <v>47</v>
      </c>
      <c r="D10" s="2" t="s">
        <v>55</v>
      </c>
      <c r="E10" s="2" t="s">
        <v>37</v>
      </c>
      <c r="F10" s="3">
        <v>44740</v>
      </c>
      <c r="G10" s="4">
        <v>0.80194444444444446</v>
      </c>
      <c r="H10" s="4">
        <v>0.80208333333333337</v>
      </c>
      <c r="I10" s="4">
        <v>0.80207175925925922</v>
      </c>
      <c r="J10" s="2">
        <v>44</v>
      </c>
      <c r="K10" s="2" t="s">
        <v>33</v>
      </c>
      <c r="L10" s="2" t="s">
        <v>56</v>
      </c>
      <c r="M10" s="5" t="s">
        <v>12</v>
      </c>
      <c r="N10" s="5" t="s">
        <v>24</v>
      </c>
      <c r="O10" s="2" t="s">
        <v>30</v>
      </c>
      <c r="P10" s="2" t="s">
        <v>53</v>
      </c>
      <c r="Q10" s="2" t="s">
        <v>27</v>
      </c>
      <c r="R10" s="14"/>
    </row>
    <row r="11" spans="1:18">
      <c r="A11" s="7" t="s">
        <v>57</v>
      </c>
      <c r="B11" s="8" t="s">
        <v>19</v>
      </c>
      <c r="C11" s="8" t="s">
        <v>58</v>
      </c>
      <c r="D11" s="8" t="s">
        <v>59</v>
      </c>
      <c r="E11" s="8" t="s">
        <v>37</v>
      </c>
      <c r="F11" s="9">
        <v>44746</v>
      </c>
      <c r="G11" s="10">
        <v>0.78749999999999998</v>
      </c>
      <c r="H11" s="10">
        <v>0.79861111111111116</v>
      </c>
      <c r="I11" s="10">
        <v>0.79914351851851861</v>
      </c>
      <c r="J11" s="8">
        <v>44</v>
      </c>
      <c r="K11" s="8" t="s">
        <v>33</v>
      </c>
      <c r="L11" s="8" t="s">
        <v>60</v>
      </c>
      <c r="M11" s="11" t="s">
        <v>12</v>
      </c>
      <c r="N11" s="11" t="s">
        <v>24</v>
      </c>
      <c r="O11" s="8" t="s">
        <v>61</v>
      </c>
      <c r="P11" s="8" t="s">
        <v>62</v>
      </c>
      <c r="Q11" s="8" t="s">
        <v>27</v>
      </c>
      <c r="R11" s="12"/>
    </row>
    <row r="12" spans="1:18">
      <c r="A12" s="1" t="s">
        <v>63</v>
      </c>
      <c r="B12" s="2" t="s">
        <v>35</v>
      </c>
      <c r="C12" s="2" t="s">
        <v>47</v>
      </c>
      <c r="D12" s="2" t="s">
        <v>64</v>
      </c>
      <c r="E12" s="2" t="s">
        <v>37</v>
      </c>
      <c r="F12" s="3">
        <v>44760</v>
      </c>
      <c r="G12" s="4">
        <v>0.79108796296296291</v>
      </c>
      <c r="H12" s="4">
        <v>0.7914930555555556</v>
      </c>
      <c r="I12" s="4">
        <v>0.7911921296296297</v>
      </c>
      <c r="J12" s="2">
        <v>44</v>
      </c>
      <c r="K12" s="2" t="s">
        <v>33</v>
      </c>
      <c r="L12" s="2" t="s">
        <v>65</v>
      </c>
      <c r="M12" s="5" t="s">
        <v>12</v>
      </c>
      <c r="N12" s="5" t="s">
        <v>24</v>
      </c>
      <c r="O12" s="2" t="s">
        <v>30</v>
      </c>
      <c r="P12" s="2" t="s">
        <v>53</v>
      </c>
      <c r="Q12" s="2" t="s">
        <v>27</v>
      </c>
      <c r="R12" s="6"/>
    </row>
    <row r="13" spans="1:18">
      <c r="A13" s="7" t="s">
        <v>66</v>
      </c>
      <c r="B13" s="8" t="s">
        <v>35</v>
      </c>
      <c r="C13" s="8" t="s">
        <v>42</v>
      </c>
      <c r="D13" s="8" t="s">
        <v>67</v>
      </c>
      <c r="E13" s="8" t="s">
        <v>37</v>
      </c>
      <c r="F13" s="9">
        <v>44760</v>
      </c>
      <c r="G13" s="10">
        <v>0.79229166666666673</v>
      </c>
      <c r="H13" s="10">
        <v>0.79266203703703697</v>
      </c>
      <c r="I13" s="10">
        <v>0.79238425925925926</v>
      </c>
      <c r="J13" s="8">
        <v>44</v>
      </c>
      <c r="K13" s="8" t="s">
        <v>33</v>
      </c>
      <c r="L13" s="8" t="s">
        <v>65</v>
      </c>
      <c r="M13" s="11" t="s">
        <v>12</v>
      </c>
      <c r="N13" s="11" t="s">
        <v>24</v>
      </c>
      <c r="O13" s="8" t="s">
        <v>30</v>
      </c>
      <c r="P13" s="8" t="s">
        <v>53</v>
      </c>
      <c r="Q13" s="8" t="s">
        <v>27</v>
      </c>
      <c r="R13" s="12"/>
    </row>
    <row r="14" spans="1:18">
      <c r="A14" s="1" t="s">
        <v>68</v>
      </c>
      <c r="B14" s="2" t="s">
        <v>35</v>
      </c>
      <c r="C14" s="2" t="s">
        <v>47</v>
      </c>
      <c r="D14" s="15" t="s">
        <v>69</v>
      </c>
      <c r="E14" s="2" t="s">
        <v>37</v>
      </c>
      <c r="F14" s="3">
        <v>44760</v>
      </c>
      <c r="G14" s="4">
        <v>0.79541666666666666</v>
      </c>
      <c r="H14" s="4">
        <v>0.79579861111111105</v>
      </c>
      <c r="I14" s="4">
        <v>0.79584490740740732</v>
      </c>
      <c r="J14" s="2">
        <v>44</v>
      </c>
      <c r="K14" s="2" t="s">
        <v>23</v>
      </c>
      <c r="L14" s="2"/>
      <c r="M14" s="5" t="s">
        <v>12</v>
      </c>
      <c r="N14" s="5" t="s">
        <v>24</v>
      </c>
      <c r="O14" s="2" t="s">
        <v>30</v>
      </c>
      <c r="P14" s="2" t="s">
        <v>53</v>
      </c>
      <c r="Q14" s="2" t="s">
        <v>27</v>
      </c>
      <c r="R14" s="6"/>
    </row>
    <row r="15" spans="1:18">
      <c r="A15" s="7" t="s">
        <v>70</v>
      </c>
      <c r="B15" s="8" t="s">
        <v>35</v>
      </c>
      <c r="C15" s="8" t="s">
        <v>71</v>
      </c>
      <c r="D15" s="16" t="s">
        <v>69</v>
      </c>
      <c r="E15" s="8" t="s">
        <v>37</v>
      </c>
      <c r="F15" s="9">
        <v>44760</v>
      </c>
      <c r="G15" s="10">
        <v>0.79541666666666666</v>
      </c>
      <c r="H15" s="10">
        <v>0.79606481481481473</v>
      </c>
      <c r="I15" s="10">
        <v>0.79584490740740732</v>
      </c>
      <c r="J15" s="8">
        <v>44</v>
      </c>
      <c r="K15" s="8" t="s">
        <v>33</v>
      </c>
      <c r="L15" s="8" t="s">
        <v>65</v>
      </c>
      <c r="M15" s="11" t="s">
        <v>12</v>
      </c>
      <c r="N15" s="11" t="s">
        <v>24</v>
      </c>
      <c r="O15" s="8" t="s">
        <v>30</v>
      </c>
      <c r="P15" s="8" t="s">
        <v>53</v>
      </c>
      <c r="Q15" s="8" t="s">
        <v>27</v>
      </c>
      <c r="R15" s="12"/>
    </row>
    <row r="16" spans="1:18">
      <c r="A16" s="1" t="s">
        <v>72</v>
      </c>
      <c r="B16" s="2" t="s">
        <v>19</v>
      </c>
      <c r="C16" s="2" t="s">
        <v>47</v>
      </c>
      <c r="D16" s="2" t="s">
        <v>73</v>
      </c>
      <c r="E16" s="2" t="s">
        <v>37</v>
      </c>
      <c r="F16" s="3">
        <v>44760</v>
      </c>
      <c r="G16" s="4">
        <v>0.78461805555555564</v>
      </c>
      <c r="H16" s="4">
        <v>0.81726851851851856</v>
      </c>
      <c r="I16" s="4">
        <v>0.81688657407407417</v>
      </c>
      <c r="J16" s="2">
        <v>44</v>
      </c>
      <c r="K16" s="2" t="s">
        <v>33</v>
      </c>
      <c r="L16" s="2" t="s">
        <v>74</v>
      </c>
      <c r="M16" s="5" t="s">
        <v>12</v>
      </c>
      <c r="N16" s="5" t="s">
        <v>24</v>
      </c>
      <c r="O16" s="2" t="s">
        <v>61</v>
      </c>
      <c r="P16" s="2" t="s">
        <v>62</v>
      </c>
      <c r="Q16" s="2" t="s">
        <v>27</v>
      </c>
      <c r="R16" s="6"/>
    </row>
    <row r="17" spans="1:18">
      <c r="A17" s="7" t="s">
        <v>75</v>
      </c>
      <c r="B17" s="8" t="s">
        <v>35</v>
      </c>
      <c r="C17" s="8" t="s">
        <v>42</v>
      </c>
      <c r="D17" s="8" t="s">
        <v>76</v>
      </c>
      <c r="E17" s="8" t="s">
        <v>37</v>
      </c>
      <c r="F17" s="9">
        <v>44765</v>
      </c>
      <c r="G17" s="10">
        <v>0.50263888888888886</v>
      </c>
      <c r="H17" s="10">
        <v>0.75440972222222225</v>
      </c>
      <c r="I17" s="10">
        <v>5.6712962962962958E-3</v>
      </c>
      <c r="J17" s="8">
        <v>44</v>
      </c>
      <c r="K17" s="8" t="s">
        <v>33</v>
      </c>
      <c r="L17" s="8" t="s">
        <v>77</v>
      </c>
      <c r="M17" s="11" t="s">
        <v>12</v>
      </c>
      <c r="N17" s="11" t="s">
        <v>24</v>
      </c>
      <c r="O17" s="8" t="s">
        <v>30</v>
      </c>
      <c r="P17" s="8" t="s">
        <v>53</v>
      </c>
      <c r="Q17" s="8" t="s">
        <v>78</v>
      </c>
      <c r="R17" s="12"/>
    </row>
    <row r="18" spans="1:18">
      <c r="A18" s="1" t="s">
        <v>79</v>
      </c>
      <c r="B18" s="2" t="s">
        <v>35</v>
      </c>
      <c r="C18" s="2" t="s">
        <v>42</v>
      </c>
      <c r="D18" s="2" t="s">
        <v>76</v>
      </c>
      <c r="E18" s="2" t="s">
        <v>37</v>
      </c>
      <c r="F18" s="3">
        <v>44766</v>
      </c>
      <c r="G18" s="4">
        <v>0.50263888888888886</v>
      </c>
      <c r="H18" s="4">
        <v>6.0416666666666665E-3</v>
      </c>
      <c r="I18" s="4">
        <v>5.6712962962962958E-3</v>
      </c>
      <c r="J18" s="2">
        <v>44</v>
      </c>
      <c r="K18" s="2" t="s">
        <v>23</v>
      </c>
      <c r="L18" s="2"/>
      <c r="M18" s="5" t="s">
        <v>12</v>
      </c>
      <c r="N18" s="5" t="s">
        <v>24</v>
      </c>
      <c r="O18" s="2" t="s">
        <v>80</v>
      </c>
      <c r="P18" s="2" t="s">
        <v>81</v>
      </c>
      <c r="Q18" s="2" t="s">
        <v>27</v>
      </c>
      <c r="R18" s="6"/>
    </row>
    <row r="19" spans="1:18">
      <c r="A19" s="7" t="s">
        <v>82</v>
      </c>
      <c r="B19" s="8" t="s">
        <v>35</v>
      </c>
      <c r="C19" s="8" t="s">
        <v>47</v>
      </c>
      <c r="D19" s="8" t="s">
        <v>83</v>
      </c>
      <c r="E19" s="8" t="s">
        <v>37</v>
      </c>
      <c r="F19" s="9">
        <v>44768</v>
      </c>
      <c r="G19" s="10">
        <v>0.55799768518518522</v>
      </c>
      <c r="H19" s="10">
        <v>0.79258101851851848</v>
      </c>
      <c r="I19" s="10">
        <v>2.6678240740740738E-2</v>
      </c>
      <c r="J19" s="8">
        <v>44</v>
      </c>
      <c r="K19" s="8" t="s">
        <v>33</v>
      </c>
      <c r="L19" s="8" t="s">
        <v>84</v>
      </c>
      <c r="M19" s="11" t="s">
        <v>12</v>
      </c>
      <c r="N19" s="11" t="s">
        <v>24</v>
      </c>
      <c r="O19" s="8" t="s">
        <v>30</v>
      </c>
      <c r="P19" s="8" t="s">
        <v>53</v>
      </c>
      <c r="Q19" s="8" t="s">
        <v>78</v>
      </c>
      <c r="R19" s="12"/>
    </row>
    <row r="20" spans="1:18">
      <c r="A20" s="1" t="s">
        <v>85</v>
      </c>
      <c r="B20" s="2" t="s">
        <v>19</v>
      </c>
      <c r="C20" s="2" t="s">
        <v>86</v>
      </c>
      <c r="D20" s="2" t="s">
        <v>87</v>
      </c>
      <c r="E20" s="2" t="s">
        <v>37</v>
      </c>
      <c r="F20" s="3">
        <v>44768</v>
      </c>
      <c r="G20" s="4">
        <v>0.56153935185185189</v>
      </c>
      <c r="H20" s="4">
        <v>0.83462962962962972</v>
      </c>
      <c r="I20" s="4">
        <v>0.83422453703703703</v>
      </c>
      <c r="J20" s="2">
        <v>44</v>
      </c>
      <c r="K20" s="2" t="s">
        <v>33</v>
      </c>
      <c r="L20" s="2" t="s">
        <v>88</v>
      </c>
      <c r="M20" s="5" t="s">
        <v>12</v>
      </c>
      <c r="N20" s="5" t="s">
        <v>24</v>
      </c>
      <c r="O20" s="2" t="s">
        <v>61</v>
      </c>
      <c r="P20" s="2" t="s">
        <v>89</v>
      </c>
      <c r="Q20" s="2" t="s">
        <v>27</v>
      </c>
      <c r="R20" s="17"/>
    </row>
    <row r="21" spans="1:18">
      <c r="A21" s="7" t="s">
        <v>90</v>
      </c>
      <c r="B21" s="8" t="s">
        <v>35</v>
      </c>
      <c r="C21" s="8" t="s">
        <v>42</v>
      </c>
      <c r="D21" s="8" t="s">
        <v>83</v>
      </c>
      <c r="E21" s="8" t="s">
        <v>37</v>
      </c>
      <c r="F21" s="9">
        <v>44769</v>
      </c>
      <c r="G21" s="10">
        <v>0.55799768518518522</v>
      </c>
      <c r="H21" s="10">
        <v>2.704861111111111E-2</v>
      </c>
      <c r="I21" s="10">
        <v>2.6678240740740738E-2</v>
      </c>
      <c r="J21" s="8">
        <v>44</v>
      </c>
      <c r="K21" s="8" t="s">
        <v>23</v>
      </c>
      <c r="L21" s="8"/>
      <c r="M21" s="11" t="s">
        <v>12</v>
      </c>
      <c r="N21" s="11" t="s">
        <v>24</v>
      </c>
      <c r="O21" s="8" t="s">
        <v>91</v>
      </c>
      <c r="P21" s="8" t="s">
        <v>92</v>
      </c>
      <c r="Q21" s="8" t="s">
        <v>27</v>
      </c>
      <c r="R21" s="12"/>
    </row>
    <row r="22" spans="1:18">
      <c r="A22" s="1" t="s">
        <v>93</v>
      </c>
      <c r="B22" s="2" t="s">
        <v>19</v>
      </c>
      <c r="C22" s="2" t="s">
        <v>42</v>
      </c>
      <c r="D22" s="2" t="s">
        <v>94</v>
      </c>
      <c r="E22" s="2" t="s">
        <v>37</v>
      </c>
      <c r="F22" s="3">
        <v>44769</v>
      </c>
      <c r="G22" s="4">
        <v>0.62449074074074074</v>
      </c>
      <c r="H22" s="4">
        <v>0.75156250000000002</v>
      </c>
      <c r="I22" s="4">
        <v>0.75116898148148159</v>
      </c>
      <c r="J22" s="2">
        <v>44</v>
      </c>
      <c r="K22" s="2" t="s">
        <v>33</v>
      </c>
      <c r="L22" s="2" t="s">
        <v>88</v>
      </c>
      <c r="M22" s="5" t="s">
        <v>12</v>
      </c>
      <c r="N22" s="5" t="s">
        <v>24</v>
      </c>
      <c r="O22" s="2" t="s">
        <v>61</v>
      </c>
      <c r="P22" s="2" t="s">
        <v>62</v>
      </c>
      <c r="Q22" s="2" t="s">
        <v>27</v>
      </c>
      <c r="R22" s="6"/>
    </row>
    <row r="23" spans="1:18">
      <c r="A23" s="7" t="s">
        <v>95</v>
      </c>
      <c r="B23" s="8" t="s">
        <v>19</v>
      </c>
      <c r="C23" s="8" t="s">
        <v>42</v>
      </c>
      <c r="D23" s="8" t="s">
        <v>96</v>
      </c>
      <c r="E23" s="8" t="s">
        <v>37</v>
      </c>
      <c r="F23" s="9">
        <v>44770</v>
      </c>
      <c r="G23" s="10">
        <v>0.61090277777777779</v>
      </c>
      <c r="H23" s="10">
        <v>0.79591435185185189</v>
      </c>
      <c r="I23" s="10">
        <v>0.96311342592592597</v>
      </c>
      <c r="J23" s="8">
        <v>44</v>
      </c>
      <c r="K23" s="8" t="s">
        <v>23</v>
      </c>
      <c r="L23" s="8"/>
      <c r="M23" s="11" t="s">
        <v>12</v>
      </c>
      <c r="N23" s="11" t="s">
        <v>24</v>
      </c>
      <c r="O23" s="8" t="s">
        <v>91</v>
      </c>
      <c r="P23" s="8" t="s">
        <v>81</v>
      </c>
      <c r="Q23" s="8" t="s">
        <v>78</v>
      </c>
      <c r="R23" s="12"/>
    </row>
    <row r="24" spans="1:18">
      <c r="A24" s="1" t="s">
        <v>97</v>
      </c>
      <c r="B24" s="2" t="s">
        <v>19</v>
      </c>
      <c r="C24" s="2" t="s">
        <v>47</v>
      </c>
      <c r="D24" s="2" t="s">
        <v>96</v>
      </c>
      <c r="E24" s="2" t="s">
        <v>37</v>
      </c>
      <c r="F24" s="3">
        <v>44770</v>
      </c>
      <c r="G24" s="4">
        <v>0.61090277777777779</v>
      </c>
      <c r="H24" s="4">
        <v>0.96351851851851855</v>
      </c>
      <c r="I24" s="4">
        <v>0.96311342592592597</v>
      </c>
      <c r="J24" s="2">
        <v>44</v>
      </c>
      <c r="K24" s="2" t="s">
        <v>33</v>
      </c>
      <c r="L24" s="2" t="s">
        <v>98</v>
      </c>
      <c r="M24" s="5" t="s">
        <v>12</v>
      </c>
      <c r="N24" s="5" t="s">
        <v>24</v>
      </c>
      <c r="O24" s="2" t="s">
        <v>91</v>
      </c>
      <c r="P24" s="2" t="s">
        <v>99</v>
      </c>
      <c r="Q24" s="2" t="s">
        <v>27</v>
      </c>
      <c r="R24" s="6"/>
    </row>
    <row r="25" spans="1:18">
      <c r="A25" s="18" t="s">
        <v>100</v>
      </c>
      <c r="B25" s="8" t="s">
        <v>19</v>
      </c>
      <c r="C25" s="8" t="s">
        <v>58</v>
      </c>
      <c r="D25" s="8" t="s">
        <v>101</v>
      </c>
      <c r="E25" s="8" t="s">
        <v>37</v>
      </c>
      <c r="F25" s="9">
        <v>44771</v>
      </c>
      <c r="G25" s="10">
        <v>0.60971064814814813</v>
      </c>
      <c r="H25" s="10">
        <v>0.73645833333333333</v>
      </c>
      <c r="I25" s="10">
        <v>0.73619212962962965</v>
      </c>
      <c r="J25" s="8">
        <v>44</v>
      </c>
      <c r="K25" s="8" t="s">
        <v>33</v>
      </c>
      <c r="L25" s="8" t="s">
        <v>102</v>
      </c>
      <c r="M25" s="11" t="s">
        <v>12</v>
      </c>
      <c r="N25" s="11" t="s">
        <v>24</v>
      </c>
      <c r="O25" s="8" t="s">
        <v>80</v>
      </c>
      <c r="P25" s="8" t="s">
        <v>103</v>
      </c>
      <c r="Q25" s="8" t="s">
        <v>27</v>
      </c>
      <c r="R25" s="12"/>
    </row>
    <row r="26" spans="1:18">
      <c r="A26" s="1" t="s">
        <v>104</v>
      </c>
      <c r="B26" s="15" t="s">
        <v>19</v>
      </c>
      <c r="C26" s="2" t="s">
        <v>42</v>
      </c>
      <c r="D26" s="2" t="s">
        <v>105</v>
      </c>
      <c r="E26" s="2" t="s">
        <v>37</v>
      </c>
      <c r="F26" s="3">
        <v>44774</v>
      </c>
      <c r="G26" s="4">
        <v>0.64380787037037035</v>
      </c>
      <c r="H26" s="4">
        <v>0.79829861111111111</v>
      </c>
      <c r="I26" s="4">
        <v>0.79791666666666661</v>
      </c>
      <c r="J26" s="2">
        <v>44</v>
      </c>
      <c r="K26" s="2" t="s">
        <v>33</v>
      </c>
      <c r="L26" s="2" t="s">
        <v>106</v>
      </c>
      <c r="M26" s="5" t="s">
        <v>12</v>
      </c>
      <c r="N26" s="5" t="s">
        <v>24</v>
      </c>
      <c r="O26" s="2" t="s">
        <v>107</v>
      </c>
      <c r="P26" s="2" t="s">
        <v>108</v>
      </c>
      <c r="Q26" s="2" t="s">
        <v>27</v>
      </c>
      <c r="R26" s="6"/>
    </row>
    <row r="27" spans="1:18">
      <c r="A27" s="7" t="s">
        <v>109</v>
      </c>
      <c r="B27" s="8" t="s">
        <v>19</v>
      </c>
      <c r="C27" s="8" t="s">
        <v>42</v>
      </c>
      <c r="D27" s="8" t="s">
        <v>110</v>
      </c>
      <c r="E27" s="8" t="s">
        <v>37</v>
      </c>
      <c r="F27" s="9">
        <v>44776</v>
      </c>
      <c r="G27" s="10">
        <v>0.61305555555555558</v>
      </c>
      <c r="H27" s="10">
        <v>0.80420138888888892</v>
      </c>
      <c r="I27" s="10">
        <v>0.80376157407407411</v>
      </c>
      <c r="J27" s="8">
        <v>44</v>
      </c>
      <c r="K27" s="8" t="s">
        <v>33</v>
      </c>
      <c r="L27" s="8" t="s">
        <v>111</v>
      </c>
      <c r="M27" s="11" t="s">
        <v>12</v>
      </c>
      <c r="N27" s="11" t="s">
        <v>24</v>
      </c>
      <c r="O27" s="8" t="s">
        <v>107</v>
      </c>
      <c r="P27" s="8" t="s">
        <v>112</v>
      </c>
      <c r="Q27" s="8" t="s">
        <v>27</v>
      </c>
      <c r="R27" s="12"/>
    </row>
    <row r="28" spans="1:18">
      <c r="A28" s="1" t="s">
        <v>113</v>
      </c>
      <c r="B28" s="2" t="s">
        <v>35</v>
      </c>
      <c r="C28" s="2" t="s">
        <v>86</v>
      </c>
      <c r="D28" s="2" t="s">
        <v>114</v>
      </c>
      <c r="E28" s="2" t="s">
        <v>37</v>
      </c>
      <c r="F28" s="3">
        <v>44781</v>
      </c>
      <c r="G28" s="4">
        <v>0.80068287037037045</v>
      </c>
      <c r="H28" s="4">
        <v>0.80395833333333344</v>
      </c>
      <c r="I28" s="4">
        <v>0.80351851851851841</v>
      </c>
      <c r="J28" s="2">
        <v>44</v>
      </c>
      <c r="K28" s="2" t="s">
        <v>33</v>
      </c>
      <c r="L28" s="2" t="s">
        <v>115</v>
      </c>
      <c r="M28" s="5" t="s">
        <v>12</v>
      </c>
      <c r="N28" s="5" t="s">
        <v>24</v>
      </c>
      <c r="O28" s="2" t="s">
        <v>80</v>
      </c>
      <c r="P28" s="2" t="s">
        <v>53</v>
      </c>
      <c r="Q28" s="2" t="s">
        <v>27</v>
      </c>
      <c r="R28" s="6"/>
    </row>
    <row r="29" spans="1:18">
      <c r="A29" s="7" t="s">
        <v>116</v>
      </c>
      <c r="B29" s="8" t="s">
        <v>35</v>
      </c>
      <c r="C29" s="8" t="s">
        <v>86</v>
      </c>
      <c r="D29" s="8" t="s">
        <v>117</v>
      </c>
      <c r="E29" s="8" t="s">
        <v>37</v>
      </c>
      <c r="F29" s="9">
        <v>44781</v>
      </c>
      <c r="G29" s="10">
        <v>0.81174768518518514</v>
      </c>
      <c r="H29" s="10">
        <v>0.81222222222222218</v>
      </c>
      <c r="I29" s="10">
        <v>0.84199074074074076</v>
      </c>
      <c r="J29" s="8">
        <v>44</v>
      </c>
      <c r="K29" s="8" t="s">
        <v>23</v>
      </c>
      <c r="L29" s="8"/>
      <c r="M29" s="11" t="s">
        <v>12</v>
      </c>
      <c r="N29" s="11" t="s">
        <v>24</v>
      </c>
      <c r="O29" s="8" t="s">
        <v>80</v>
      </c>
      <c r="P29" s="8" t="s">
        <v>53</v>
      </c>
      <c r="Q29" s="8" t="s">
        <v>27</v>
      </c>
      <c r="R29" s="12"/>
    </row>
    <row r="30" spans="1:18">
      <c r="A30" s="1" t="s">
        <v>118</v>
      </c>
      <c r="B30" s="2" t="s">
        <v>35</v>
      </c>
      <c r="C30" s="2" t="s">
        <v>86</v>
      </c>
      <c r="D30" s="2" t="s">
        <v>119</v>
      </c>
      <c r="E30" s="2" t="s">
        <v>37</v>
      </c>
      <c r="F30" s="3">
        <v>44781</v>
      </c>
      <c r="G30" s="4">
        <v>0.57292824074074067</v>
      </c>
      <c r="H30" s="4">
        <v>0.84166666666666667</v>
      </c>
      <c r="I30" s="4">
        <v>0.57798611111111109</v>
      </c>
      <c r="J30" s="2">
        <v>43</v>
      </c>
      <c r="K30" s="2" t="s">
        <v>33</v>
      </c>
      <c r="L30" s="2" t="s">
        <v>120</v>
      </c>
      <c r="M30" s="5" t="s">
        <v>12</v>
      </c>
      <c r="N30" s="5" t="s">
        <v>24</v>
      </c>
      <c r="O30" s="2" t="s">
        <v>30</v>
      </c>
      <c r="P30" s="2" t="s">
        <v>92</v>
      </c>
      <c r="Q30" s="2" t="s">
        <v>27</v>
      </c>
      <c r="R30" s="6"/>
    </row>
    <row r="31" spans="1:18">
      <c r="A31" s="18" t="s">
        <v>121</v>
      </c>
      <c r="B31" s="8" t="s">
        <v>35</v>
      </c>
      <c r="C31" s="8" t="s">
        <v>20</v>
      </c>
      <c r="D31" s="8" t="s">
        <v>117</v>
      </c>
      <c r="E31" s="8" t="s">
        <v>37</v>
      </c>
      <c r="F31" s="9">
        <v>44781</v>
      </c>
      <c r="G31" s="10">
        <v>0.81174768518518514</v>
      </c>
      <c r="H31" s="10">
        <v>0.84240740740740738</v>
      </c>
      <c r="I31" s="10">
        <v>0.84199074074074076</v>
      </c>
      <c r="J31" s="8">
        <v>44</v>
      </c>
      <c r="K31" s="8" t="s">
        <v>33</v>
      </c>
      <c r="L31" s="8" t="s">
        <v>122</v>
      </c>
      <c r="M31" s="11" t="s">
        <v>12</v>
      </c>
      <c r="N31" s="11" t="s">
        <v>24</v>
      </c>
      <c r="O31" s="8" t="s">
        <v>123</v>
      </c>
      <c r="P31" s="8" t="s">
        <v>112</v>
      </c>
      <c r="Q31" s="8" t="s">
        <v>27</v>
      </c>
      <c r="R31" s="12"/>
    </row>
    <row r="32" spans="1:18">
      <c r="A32" s="13" t="s">
        <v>124</v>
      </c>
      <c r="B32" s="2" t="s">
        <v>35</v>
      </c>
      <c r="C32" s="2" t="s">
        <v>47</v>
      </c>
      <c r="D32" s="2" t="s">
        <v>125</v>
      </c>
      <c r="E32" s="2" t="s">
        <v>37</v>
      </c>
      <c r="F32" s="3">
        <v>44781</v>
      </c>
      <c r="G32" s="4">
        <v>0.86395833333333327</v>
      </c>
      <c r="H32" s="4">
        <v>0.86549768518518511</v>
      </c>
      <c r="I32" s="4">
        <v>0.86509259259259252</v>
      </c>
      <c r="J32" s="2">
        <v>44</v>
      </c>
      <c r="K32" s="2" t="s">
        <v>33</v>
      </c>
      <c r="L32" s="2" t="s">
        <v>126</v>
      </c>
      <c r="M32" s="5" t="s">
        <v>12</v>
      </c>
      <c r="N32" s="5" t="s">
        <v>24</v>
      </c>
      <c r="O32" s="2" t="s">
        <v>80</v>
      </c>
      <c r="P32" s="2" t="s">
        <v>127</v>
      </c>
      <c r="Q32" s="2" t="s">
        <v>27</v>
      </c>
      <c r="R32" s="6"/>
    </row>
    <row r="33" spans="1:18">
      <c r="A33" s="7" t="s">
        <v>128</v>
      </c>
      <c r="B33" s="8" t="s">
        <v>35</v>
      </c>
      <c r="C33" s="8" t="s">
        <v>86</v>
      </c>
      <c r="D33" s="8" t="s">
        <v>129</v>
      </c>
      <c r="E33" s="8" t="s">
        <v>37</v>
      </c>
      <c r="F33" s="9">
        <v>44781</v>
      </c>
      <c r="G33" s="10">
        <v>0.90324074074074068</v>
      </c>
      <c r="H33" s="10">
        <v>0.90475694444444443</v>
      </c>
      <c r="I33" s="10">
        <v>0.90435185185185185</v>
      </c>
      <c r="J33" s="8">
        <v>44</v>
      </c>
      <c r="K33" s="8" t="s">
        <v>33</v>
      </c>
      <c r="L33" s="8" t="s">
        <v>130</v>
      </c>
      <c r="M33" s="11" t="s">
        <v>12</v>
      </c>
      <c r="N33" s="11" t="s">
        <v>24</v>
      </c>
      <c r="O33" s="8" t="s">
        <v>80</v>
      </c>
      <c r="P33" s="8" t="s">
        <v>127</v>
      </c>
      <c r="Q33" s="8" t="s">
        <v>27</v>
      </c>
      <c r="R33" s="12"/>
    </row>
    <row r="34" spans="1:18">
      <c r="A34" s="1" t="s">
        <v>131</v>
      </c>
      <c r="B34" s="2" t="s">
        <v>35</v>
      </c>
      <c r="C34" s="2" t="s">
        <v>47</v>
      </c>
      <c r="D34" s="2" t="s">
        <v>132</v>
      </c>
      <c r="E34" s="2" t="s">
        <v>37</v>
      </c>
      <c r="F34" s="3">
        <v>44781</v>
      </c>
      <c r="G34" s="4">
        <v>0.91696759259259253</v>
      </c>
      <c r="H34" s="4">
        <v>0.91843750000000002</v>
      </c>
      <c r="I34" s="4">
        <v>0.91804398148148147</v>
      </c>
      <c r="J34" s="2">
        <v>44</v>
      </c>
      <c r="K34" s="2" t="s">
        <v>33</v>
      </c>
      <c r="L34" s="2" t="s">
        <v>130</v>
      </c>
      <c r="M34" s="5" t="s">
        <v>12</v>
      </c>
      <c r="N34" s="5" t="s">
        <v>24</v>
      </c>
      <c r="O34" s="2" t="s">
        <v>107</v>
      </c>
      <c r="P34" s="2" t="s">
        <v>127</v>
      </c>
      <c r="Q34" s="2" t="s">
        <v>27</v>
      </c>
      <c r="R34" s="6"/>
    </row>
    <row r="35" spans="1:18">
      <c r="A35" s="7" t="s">
        <v>133</v>
      </c>
      <c r="B35" s="8" t="s">
        <v>35</v>
      </c>
      <c r="C35" s="8" t="s">
        <v>86</v>
      </c>
      <c r="D35" s="8" t="s">
        <v>134</v>
      </c>
      <c r="E35" s="8" t="s">
        <v>37</v>
      </c>
      <c r="F35" s="9">
        <v>44781</v>
      </c>
      <c r="G35" s="10">
        <v>0.92802083333333341</v>
      </c>
      <c r="H35" s="10">
        <v>0.93224537037037036</v>
      </c>
      <c r="I35" s="10">
        <v>0.93184027777777778</v>
      </c>
      <c r="J35" s="8">
        <v>44</v>
      </c>
      <c r="K35" s="8" t="s">
        <v>33</v>
      </c>
      <c r="L35" s="8" t="s">
        <v>135</v>
      </c>
      <c r="M35" s="11" t="s">
        <v>12</v>
      </c>
      <c r="N35" s="11" t="s">
        <v>24</v>
      </c>
      <c r="O35" s="8" t="s">
        <v>80</v>
      </c>
      <c r="P35" s="8" t="s">
        <v>127</v>
      </c>
      <c r="Q35" s="8" t="s">
        <v>27</v>
      </c>
      <c r="R35" s="12"/>
    </row>
    <row r="36" spans="1:18">
      <c r="A36" s="1" t="s">
        <v>136</v>
      </c>
      <c r="B36" s="2" t="s">
        <v>35</v>
      </c>
      <c r="C36" s="2" t="s">
        <v>86</v>
      </c>
      <c r="D36" s="2" t="s">
        <v>137</v>
      </c>
      <c r="E36" s="2" t="s">
        <v>37</v>
      </c>
      <c r="F36" s="3">
        <v>44781</v>
      </c>
      <c r="G36" s="4">
        <v>0.94033564814814818</v>
      </c>
      <c r="H36" s="4">
        <v>0.99387731481481489</v>
      </c>
      <c r="I36" s="4">
        <v>0.9934722222222222</v>
      </c>
      <c r="J36" s="2">
        <v>44</v>
      </c>
      <c r="K36" s="2" t="s">
        <v>33</v>
      </c>
      <c r="L36" s="2" t="s">
        <v>138</v>
      </c>
      <c r="M36" s="5" t="s">
        <v>12</v>
      </c>
      <c r="N36" s="5" t="s">
        <v>24</v>
      </c>
      <c r="O36" s="2" t="s">
        <v>80</v>
      </c>
      <c r="P36" s="2" t="s">
        <v>127</v>
      </c>
      <c r="Q36" s="2" t="s">
        <v>27</v>
      </c>
      <c r="R36" s="6"/>
    </row>
    <row r="37" spans="1:18">
      <c r="A37" s="7" t="s">
        <v>139</v>
      </c>
      <c r="B37" s="8" t="s">
        <v>19</v>
      </c>
      <c r="C37" s="8" t="s">
        <v>86</v>
      </c>
      <c r="D37" s="8" t="s">
        <v>140</v>
      </c>
      <c r="E37" s="8" t="s">
        <v>22</v>
      </c>
      <c r="F37" s="9">
        <v>44782</v>
      </c>
      <c r="G37" s="10">
        <v>0.93745370370370373</v>
      </c>
      <c r="H37" s="10">
        <v>0.13665509259259259</v>
      </c>
      <c r="I37" s="10">
        <v>0.31156250000000002</v>
      </c>
      <c r="J37" s="8">
        <v>44</v>
      </c>
      <c r="K37" s="8" t="s">
        <v>33</v>
      </c>
      <c r="L37" s="8"/>
      <c r="M37" s="11" t="s">
        <v>12</v>
      </c>
      <c r="N37" s="11" t="s">
        <v>24</v>
      </c>
      <c r="O37" s="8" t="s">
        <v>107</v>
      </c>
      <c r="P37" s="8" t="s">
        <v>112</v>
      </c>
      <c r="Q37" s="8" t="s">
        <v>27</v>
      </c>
      <c r="R37" s="12"/>
    </row>
    <row r="38" spans="1:18">
      <c r="A38" s="1" t="s">
        <v>141</v>
      </c>
      <c r="B38" s="2" t="s">
        <v>35</v>
      </c>
      <c r="C38" s="2" t="s">
        <v>47</v>
      </c>
      <c r="D38" s="2" t="s">
        <v>142</v>
      </c>
      <c r="E38" s="2" t="s">
        <v>22</v>
      </c>
      <c r="F38" s="3">
        <v>44782</v>
      </c>
      <c r="G38" s="4">
        <v>0.41791666666666666</v>
      </c>
      <c r="H38" s="4">
        <v>0.42385416666666664</v>
      </c>
      <c r="I38" s="4">
        <v>0.42714120370370368</v>
      </c>
      <c r="J38" s="2">
        <v>44</v>
      </c>
      <c r="K38" s="2" t="s">
        <v>33</v>
      </c>
      <c r="L38" s="2"/>
      <c r="M38" s="5" t="s">
        <v>12</v>
      </c>
      <c r="N38" s="5" t="s">
        <v>24</v>
      </c>
      <c r="O38" s="2" t="s">
        <v>107</v>
      </c>
      <c r="P38" s="2" t="s">
        <v>112</v>
      </c>
      <c r="Q38" s="2" t="s">
        <v>27</v>
      </c>
      <c r="R38" s="6"/>
    </row>
    <row r="39" spans="1:18">
      <c r="A39" s="18" t="s">
        <v>143</v>
      </c>
      <c r="B39" s="8" t="s">
        <v>35</v>
      </c>
      <c r="C39" s="8" t="s">
        <v>86</v>
      </c>
      <c r="D39" s="8" t="s">
        <v>144</v>
      </c>
      <c r="E39" s="8" t="s">
        <v>37</v>
      </c>
      <c r="F39" s="9">
        <v>44782</v>
      </c>
      <c r="G39" s="10">
        <v>0.50564814814814818</v>
      </c>
      <c r="H39" s="10">
        <v>0.51111111111111118</v>
      </c>
      <c r="I39" s="10">
        <v>0.51092592592592589</v>
      </c>
      <c r="J39" s="8">
        <v>44</v>
      </c>
      <c r="K39" s="8" t="s">
        <v>33</v>
      </c>
      <c r="L39" s="8" t="s">
        <v>145</v>
      </c>
      <c r="M39" s="11" t="s">
        <v>12</v>
      </c>
      <c r="N39" s="11" t="s">
        <v>24</v>
      </c>
      <c r="O39" s="8" t="s">
        <v>107</v>
      </c>
      <c r="P39" s="8" t="s">
        <v>112</v>
      </c>
      <c r="Q39" s="8" t="s">
        <v>27</v>
      </c>
      <c r="R39" s="12"/>
    </row>
    <row r="40" spans="1:18">
      <c r="A40" s="13" t="s">
        <v>146</v>
      </c>
      <c r="B40" s="2" t="s">
        <v>35</v>
      </c>
      <c r="C40" s="2" t="s">
        <v>42</v>
      </c>
      <c r="D40" s="2" t="s">
        <v>147</v>
      </c>
      <c r="E40" s="2" t="s">
        <v>37</v>
      </c>
      <c r="F40" s="3">
        <v>44782</v>
      </c>
      <c r="G40" s="4">
        <v>0.51914351851851859</v>
      </c>
      <c r="H40" s="4">
        <v>0.56597222222222221</v>
      </c>
      <c r="I40" s="4">
        <v>0.56644675925925925</v>
      </c>
      <c r="J40" s="2">
        <v>44</v>
      </c>
      <c r="K40" s="2" t="s">
        <v>33</v>
      </c>
      <c r="L40" s="2" t="s">
        <v>148</v>
      </c>
      <c r="M40" s="5" t="s">
        <v>12</v>
      </c>
      <c r="N40" s="5" t="s">
        <v>24</v>
      </c>
      <c r="O40" s="2" t="s">
        <v>30</v>
      </c>
      <c r="P40" s="2" t="s">
        <v>112</v>
      </c>
      <c r="Q40" s="2" t="s">
        <v>78</v>
      </c>
      <c r="R40" s="6"/>
    </row>
    <row r="41" spans="1:18">
      <c r="A41" s="7" t="s">
        <v>149</v>
      </c>
      <c r="B41" s="8" t="s">
        <v>35</v>
      </c>
      <c r="C41" s="8" t="s">
        <v>47</v>
      </c>
      <c r="D41" s="8" t="s">
        <v>150</v>
      </c>
      <c r="E41" s="8" t="s">
        <v>37</v>
      </c>
      <c r="F41" s="9">
        <v>44783</v>
      </c>
      <c r="G41" s="10">
        <v>0.58186342592592599</v>
      </c>
      <c r="H41" s="10">
        <v>0.58680555555555558</v>
      </c>
      <c r="I41" s="10">
        <v>0.58687500000000004</v>
      </c>
      <c r="J41" s="8">
        <v>43</v>
      </c>
      <c r="K41" s="8" t="s">
        <v>33</v>
      </c>
      <c r="L41" s="8" t="s">
        <v>120</v>
      </c>
      <c r="M41" s="11" t="s">
        <v>12</v>
      </c>
      <c r="N41" s="11" t="s">
        <v>24</v>
      </c>
      <c r="O41" s="8" t="s">
        <v>30</v>
      </c>
      <c r="P41" s="8" t="s">
        <v>151</v>
      </c>
      <c r="Q41" s="8" t="s">
        <v>27</v>
      </c>
      <c r="R41" s="19"/>
    </row>
    <row r="42" spans="1:18">
      <c r="A42" s="1" t="s">
        <v>152</v>
      </c>
      <c r="B42" s="2" t="s">
        <v>35</v>
      </c>
      <c r="C42" s="2" t="s">
        <v>86</v>
      </c>
      <c r="D42" s="2" t="s">
        <v>153</v>
      </c>
      <c r="E42" s="2" t="s">
        <v>37</v>
      </c>
      <c r="F42" s="3">
        <v>44783</v>
      </c>
      <c r="G42" s="4">
        <v>0.60818287037037033</v>
      </c>
      <c r="H42" s="4">
        <v>0.62916666666666665</v>
      </c>
      <c r="I42" s="4">
        <v>0.6294791666666667</v>
      </c>
      <c r="J42" s="2">
        <v>43</v>
      </c>
      <c r="K42" s="2" t="s">
        <v>33</v>
      </c>
      <c r="L42" s="2" t="s">
        <v>154</v>
      </c>
      <c r="M42" s="5" t="s">
        <v>12</v>
      </c>
      <c r="N42" s="5" t="s">
        <v>24</v>
      </c>
      <c r="O42" s="2" t="s">
        <v>61</v>
      </c>
      <c r="P42" s="2" t="s">
        <v>155</v>
      </c>
      <c r="Q42" s="2" t="s">
        <v>27</v>
      </c>
      <c r="R42" s="6"/>
    </row>
    <row r="43" spans="1:18">
      <c r="A43" s="7" t="s">
        <v>156</v>
      </c>
      <c r="B43" s="8" t="s">
        <v>35</v>
      </c>
      <c r="C43" s="8" t="s">
        <v>47</v>
      </c>
      <c r="D43" s="16" t="s">
        <v>157</v>
      </c>
      <c r="E43" s="8" t="s">
        <v>37</v>
      </c>
      <c r="F43" s="9">
        <v>44783</v>
      </c>
      <c r="G43" s="10">
        <v>0.64431712962962961</v>
      </c>
      <c r="H43" s="10">
        <v>0.65</v>
      </c>
      <c r="I43" s="10">
        <v>0.65035879629629634</v>
      </c>
      <c r="J43" s="8">
        <v>43</v>
      </c>
      <c r="K43" s="8" t="s">
        <v>33</v>
      </c>
      <c r="L43" s="8" t="s">
        <v>158</v>
      </c>
      <c r="M43" s="11" t="s">
        <v>12</v>
      </c>
      <c r="N43" s="11" t="s">
        <v>24</v>
      </c>
      <c r="O43" s="8" t="s">
        <v>30</v>
      </c>
      <c r="P43" s="8" t="s">
        <v>112</v>
      </c>
      <c r="Q43" s="8" t="s">
        <v>78</v>
      </c>
      <c r="R43" s="12"/>
    </row>
    <row r="44" spans="1:18">
      <c r="A44" s="1" t="s">
        <v>159</v>
      </c>
      <c r="B44" s="2" t="s">
        <v>19</v>
      </c>
      <c r="C44" s="2" t="s">
        <v>47</v>
      </c>
      <c r="D44" s="15" t="s">
        <v>160</v>
      </c>
      <c r="E44" s="2" t="s">
        <v>37</v>
      </c>
      <c r="F44" s="3">
        <v>44783</v>
      </c>
      <c r="G44" s="4">
        <v>0.84282407407407411</v>
      </c>
      <c r="H44" s="4">
        <v>0.84513888888888899</v>
      </c>
      <c r="I44" s="4">
        <v>0.84525462962962961</v>
      </c>
      <c r="J44" s="2">
        <v>44</v>
      </c>
      <c r="K44" s="2" t="s">
        <v>33</v>
      </c>
      <c r="L44" s="2" t="s">
        <v>161</v>
      </c>
      <c r="M44" s="5" t="s">
        <v>12</v>
      </c>
      <c r="N44" s="5" t="s">
        <v>24</v>
      </c>
      <c r="O44" s="2" t="s">
        <v>30</v>
      </c>
      <c r="P44" s="2" t="s">
        <v>112</v>
      </c>
      <c r="Q44" s="2" t="s">
        <v>27</v>
      </c>
      <c r="R44" s="6"/>
    </row>
    <row r="45" spans="1:18">
      <c r="A45" s="7" t="s">
        <v>162</v>
      </c>
      <c r="B45" s="8" t="s">
        <v>35</v>
      </c>
      <c r="C45" s="8" t="s">
        <v>47</v>
      </c>
      <c r="D45" s="8" t="s">
        <v>163</v>
      </c>
      <c r="E45" s="8" t="s">
        <v>37</v>
      </c>
      <c r="F45" s="9">
        <v>44783</v>
      </c>
      <c r="G45" s="10">
        <v>0.88973379629629623</v>
      </c>
      <c r="H45" s="10">
        <v>0.98402777777777783</v>
      </c>
      <c r="I45" s="10">
        <v>0.98393518518518519</v>
      </c>
      <c r="J45" s="8">
        <v>44</v>
      </c>
      <c r="K45" s="8" t="s">
        <v>33</v>
      </c>
      <c r="L45" s="8" t="s">
        <v>164</v>
      </c>
      <c r="M45" s="11" t="s">
        <v>12</v>
      </c>
      <c r="N45" s="11" t="s">
        <v>24</v>
      </c>
      <c r="O45" s="8" t="s">
        <v>39</v>
      </c>
      <c r="P45" s="8" t="s">
        <v>40</v>
      </c>
      <c r="Q45" s="8" t="s">
        <v>27</v>
      </c>
      <c r="R45" s="12"/>
    </row>
    <row r="46" spans="1:18">
      <c r="A46" s="1" t="s">
        <v>165</v>
      </c>
      <c r="B46" s="2" t="s">
        <v>19</v>
      </c>
      <c r="C46" s="2" t="s">
        <v>86</v>
      </c>
      <c r="D46" s="2" t="s">
        <v>166</v>
      </c>
      <c r="E46" s="2" t="s">
        <v>37</v>
      </c>
      <c r="F46" s="3">
        <v>44784</v>
      </c>
      <c r="G46" s="4">
        <v>0.61797453703703698</v>
      </c>
      <c r="H46" s="4">
        <v>0.61843749999999997</v>
      </c>
      <c r="I46" s="4">
        <v>0.61821759259259257</v>
      </c>
      <c r="J46" s="2">
        <v>43</v>
      </c>
      <c r="K46" s="2" t="s">
        <v>33</v>
      </c>
      <c r="L46" s="2" t="s">
        <v>158</v>
      </c>
      <c r="M46" s="5" t="s">
        <v>12</v>
      </c>
      <c r="N46" s="5" t="s">
        <v>24</v>
      </c>
      <c r="O46" s="2" t="s">
        <v>167</v>
      </c>
      <c r="P46" s="2" t="s">
        <v>53</v>
      </c>
      <c r="Q46" s="2" t="s">
        <v>27</v>
      </c>
      <c r="R46" s="6"/>
    </row>
    <row r="47" spans="1:18">
      <c r="A47" s="7" t="s">
        <v>168</v>
      </c>
      <c r="B47" s="8" t="s">
        <v>19</v>
      </c>
      <c r="C47" s="8" t="s">
        <v>42</v>
      </c>
      <c r="D47" s="8" t="s">
        <v>169</v>
      </c>
      <c r="E47" s="8" t="s">
        <v>37</v>
      </c>
      <c r="F47" s="9">
        <v>44784</v>
      </c>
      <c r="G47" s="10">
        <v>0.62903935185185189</v>
      </c>
      <c r="H47" s="10">
        <v>0.62939814814814821</v>
      </c>
      <c r="I47" s="10">
        <v>0.62916666666666665</v>
      </c>
      <c r="J47" s="8">
        <v>43</v>
      </c>
      <c r="K47" s="8" t="s">
        <v>33</v>
      </c>
      <c r="L47" s="8" t="s">
        <v>158</v>
      </c>
      <c r="M47" s="11" t="s">
        <v>12</v>
      </c>
      <c r="N47" s="11" t="s">
        <v>24</v>
      </c>
      <c r="O47" s="8" t="s">
        <v>107</v>
      </c>
      <c r="P47" s="8" t="s">
        <v>53</v>
      </c>
      <c r="Q47" s="8" t="s">
        <v>27</v>
      </c>
      <c r="R47" s="12"/>
    </row>
    <row r="48" spans="1:18">
      <c r="A48" s="1" t="s">
        <v>170</v>
      </c>
      <c r="B48" s="2" t="s">
        <v>19</v>
      </c>
      <c r="C48" s="2" t="s">
        <v>86</v>
      </c>
      <c r="D48" s="2" t="s">
        <v>171</v>
      </c>
      <c r="E48" s="2" t="s">
        <v>37</v>
      </c>
      <c r="F48" s="3">
        <v>44784</v>
      </c>
      <c r="G48" s="4">
        <v>0.71189814814814811</v>
      </c>
      <c r="H48" s="4">
        <v>0.77795138888888893</v>
      </c>
      <c r="I48" s="4">
        <v>0.77762731481481484</v>
      </c>
      <c r="J48" s="2">
        <v>43</v>
      </c>
      <c r="K48" s="2" t="s">
        <v>33</v>
      </c>
      <c r="L48" s="2" t="s">
        <v>172</v>
      </c>
      <c r="M48" s="5" t="s">
        <v>12</v>
      </c>
      <c r="N48" s="5" t="s">
        <v>24</v>
      </c>
      <c r="O48" s="2" t="s">
        <v>91</v>
      </c>
      <c r="P48" s="2" t="s">
        <v>173</v>
      </c>
      <c r="Q48" s="2" t="s">
        <v>27</v>
      </c>
      <c r="R48" s="6"/>
    </row>
    <row r="49" spans="1:18">
      <c r="A49" s="18" t="s">
        <v>174</v>
      </c>
      <c r="B49" s="8" t="s">
        <v>35</v>
      </c>
      <c r="C49" s="8" t="s">
        <v>47</v>
      </c>
      <c r="D49" s="8" t="s">
        <v>175</v>
      </c>
      <c r="E49" s="8" t="s">
        <v>37</v>
      </c>
      <c r="F49" s="9">
        <v>44789</v>
      </c>
      <c r="G49" s="10">
        <v>0.65604166666666663</v>
      </c>
      <c r="H49" s="10">
        <v>0.85281250000000008</v>
      </c>
      <c r="I49" s="10">
        <v>0.85243055555555547</v>
      </c>
      <c r="J49" s="8">
        <v>44</v>
      </c>
      <c r="K49" s="8" t="s">
        <v>33</v>
      </c>
      <c r="L49" s="8" t="s">
        <v>176</v>
      </c>
      <c r="M49" s="11" t="s">
        <v>12</v>
      </c>
      <c r="N49" s="11" t="s">
        <v>24</v>
      </c>
      <c r="O49" s="8" t="s">
        <v>177</v>
      </c>
      <c r="P49" s="8" t="s">
        <v>178</v>
      </c>
      <c r="Q49" s="8" t="s">
        <v>27</v>
      </c>
      <c r="R49" s="12"/>
    </row>
    <row r="50" spans="1:18">
      <c r="A50" s="13" t="s">
        <v>179</v>
      </c>
      <c r="B50" s="2" t="s">
        <v>19</v>
      </c>
      <c r="C50" s="2" t="s">
        <v>47</v>
      </c>
      <c r="D50" s="2" t="s">
        <v>180</v>
      </c>
      <c r="E50" s="2" t="s">
        <v>37</v>
      </c>
      <c r="F50" s="3">
        <v>44789</v>
      </c>
      <c r="G50" s="4">
        <v>0.64460648148148147</v>
      </c>
      <c r="H50" s="4">
        <v>0.91310185185185189</v>
      </c>
      <c r="I50" s="4">
        <v>0.91265046296296293</v>
      </c>
      <c r="J50" s="2">
        <v>44</v>
      </c>
      <c r="K50" s="2" t="s">
        <v>33</v>
      </c>
      <c r="L50" s="2" t="s">
        <v>181</v>
      </c>
      <c r="M50" s="5" t="s">
        <v>12</v>
      </c>
      <c r="N50" s="5" t="s">
        <v>24</v>
      </c>
      <c r="O50" s="2" t="s">
        <v>39</v>
      </c>
      <c r="P50" s="2" t="s">
        <v>182</v>
      </c>
      <c r="Q50" s="2" t="s">
        <v>27</v>
      </c>
      <c r="R50" s="6"/>
    </row>
    <row r="51" spans="1:18">
      <c r="A51" s="7" t="s">
        <v>183</v>
      </c>
      <c r="B51" s="8" t="s">
        <v>19</v>
      </c>
      <c r="C51" s="8" t="s">
        <v>42</v>
      </c>
      <c r="D51" s="8" t="s">
        <v>184</v>
      </c>
      <c r="E51" s="8" t="s">
        <v>37</v>
      </c>
      <c r="F51" s="9">
        <v>44790</v>
      </c>
      <c r="G51" s="10">
        <v>0.76332175925925927</v>
      </c>
      <c r="H51" s="10">
        <v>0.78684027777777776</v>
      </c>
      <c r="I51" s="10">
        <v>0.78627314814814808</v>
      </c>
      <c r="J51" s="8">
        <v>44</v>
      </c>
      <c r="K51" s="8" t="s">
        <v>33</v>
      </c>
      <c r="L51" s="8" t="s">
        <v>185</v>
      </c>
      <c r="M51" s="11" t="s">
        <v>12</v>
      </c>
      <c r="N51" s="11" t="s">
        <v>24</v>
      </c>
      <c r="O51" s="8" t="s">
        <v>107</v>
      </c>
      <c r="P51" s="8" t="s">
        <v>112</v>
      </c>
      <c r="Q51" s="8" t="s">
        <v>27</v>
      </c>
      <c r="R51" s="12"/>
    </row>
    <row r="52" spans="1:18">
      <c r="A52" s="1" t="s">
        <v>186</v>
      </c>
      <c r="B52" s="2" t="s">
        <v>35</v>
      </c>
      <c r="C52" s="2" t="s">
        <v>58</v>
      </c>
      <c r="D52" s="2" t="s">
        <v>187</v>
      </c>
      <c r="E52" s="2" t="s">
        <v>37</v>
      </c>
      <c r="F52" s="3">
        <v>44790</v>
      </c>
      <c r="G52" s="4">
        <v>0.75748842592592591</v>
      </c>
      <c r="H52" s="4">
        <v>0.96582175925925917</v>
      </c>
      <c r="I52" s="4">
        <v>0.96534722222222225</v>
      </c>
      <c r="J52" s="2">
        <v>44</v>
      </c>
      <c r="K52" s="2" t="s">
        <v>33</v>
      </c>
      <c r="L52" s="2" t="s">
        <v>188</v>
      </c>
      <c r="M52" s="5" t="s">
        <v>12</v>
      </c>
      <c r="N52" s="5" t="s">
        <v>24</v>
      </c>
      <c r="O52" s="2" t="s">
        <v>80</v>
      </c>
      <c r="P52" s="2" t="s">
        <v>92</v>
      </c>
      <c r="Q52" s="2" t="s">
        <v>27</v>
      </c>
      <c r="R52" s="6"/>
    </row>
    <row r="53" spans="1:18">
      <c r="A53" s="7" t="s">
        <v>189</v>
      </c>
      <c r="B53" s="8" t="s">
        <v>19</v>
      </c>
      <c r="C53" s="8" t="s">
        <v>42</v>
      </c>
      <c r="D53" s="8" t="s">
        <v>190</v>
      </c>
      <c r="E53" s="8" t="s">
        <v>37</v>
      </c>
      <c r="F53" s="9">
        <v>44791</v>
      </c>
      <c r="G53" s="10">
        <v>0.76553240740740736</v>
      </c>
      <c r="H53" s="10">
        <v>0.85561342592592593</v>
      </c>
      <c r="I53" s="10">
        <v>0.85438657407407403</v>
      </c>
      <c r="J53" s="8">
        <v>44</v>
      </c>
      <c r="K53" s="8" t="s">
        <v>33</v>
      </c>
      <c r="L53" s="8" t="s">
        <v>191</v>
      </c>
      <c r="M53" s="11" t="s">
        <v>12</v>
      </c>
      <c r="N53" s="11" t="s">
        <v>24</v>
      </c>
      <c r="O53" s="8" t="s">
        <v>192</v>
      </c>
      <c r="P53" s="8" t="s">
        <v>193</v>
      </c>
      <c r="Q53" s="8" t="s">
        <v>27</v>
      </c>
      <c r="R53" s="12"/>
    </row>
    <row r="54" spans="1:18">
      <c r="A54" s="1" t="s">
        <v>194</v>
      </c>
      <c r="B54" s="2" t="s">
        <v>19</v>
      </c>
      <c r="C54" s="2" t="s">
        <v>47</v>
      </c>
      <c r="D54" s="2" t="s">
        <v>195</v>
      </c>
      <c r="E54" s="2" t="s">
        <v>37</v>
      </c>
      <c r="F54" s="3">
        <v>44796</v>
      </c>
      <c r="G54" s="4">
        <v>0.8565625</v>
      </c>
      <c r="H54" s="4">
        <v>0.8743981481481482</v>
      </c>
      <c r="I54" s="4">
        <v>0.99877314814814822</v>
      </c>
      <c r="J54" s="2">
        <v>44</v>
      </c>
      <c r="K54" s="2" t="s">
        <v>33</v>
      </c>
      <c r="L54" s="2" t="s">
        <v>196</v>
      </c>
      <c r="M54" s="5" t="s">
        <v>12</v>
      </c>
      <c r="N54" s="5" t="s">
        <v>24</v>
      </c>
      <c r="O54" s="2" t="s">
        <v>61</v>
      </c>
      <c r="P54" s="2" t="s">
        <v>197</v>
      </c>
      <c r="Q54" s="2" t="s">
        <v>27</v>
      </c>
      <c r="R54" s="6"/>
    </row>
    <row r="55" spans="1:18">
      <c r="A55" s="7" t="s">
        <v>198</v>
      </c>
      <c r="B55" s="8" t="s">
        <v>19</v>
      </c>
      <c r="C55" s="8" t="s">
        <v>58</v>
      </c>
      <c r="D55" s="8" t="s">
        <v>195</v>
      </c>
      <c r="E55" s="8" t="s">
        <v>37</v>
      </c>
      <c r="F55" s="9">
        <v>44797</v>
      </c>
      <c r="G55" s="10">
        <v>0.8565625</v>
      </c>
      <c r="H55" s="10">
        <v>6.9444444444444447E-4</v>
      </c>
      <c r="I55" s="10">
        <v>0.99877314814814822</v>
      </c>
      <c r="J55" s="8">
        <v>44</v>
      </c>
      <c r="K55" s="8" t="s">
        <v>23</v>
      </c>
      <c r="L55" s="8"/>
      <c r="M55" s="11" t="s">
        <v>12</v>
      </c>
      <c r="N55" s="11" t="s">
        <v>24</v>
      </c>
      <c r="O55" s="8" t="s">
        <v>199</v>
      </c>
      <c r="P55" s="8"/>
      <c r="Q55" s="8" t="s">
        <v>78</v>
      </c>
      <c r="R55" s="12"/>
    </row>
    <row r="56" spans="1:18">
      <c r="A56" s="1" t="s">
        <v>200</v>
      </c>
      <c r="B56" s="2" t="s">
        <v>35</v>
      </c>
      <c r="C56" s="2" t="s">
        <v>86</v>
      </c>
      <c r="D56" s="2" t="s">
        <v>201</v>
      </c>
      <c r="E56" s="2" t="s">
        <v>37</v>
      </c>
      <c r="F56" s="3">
        <v>44797</v>
      </c>
      <c r="G56" s="4">
        <v>0.70679398148148154</v>
      </c>
      <c r="H56" s="4">
        <v>0.89819444444444441</v>
      </c>
      <c r="I56" s="4">
        <v>0.89721064814814822</v>
      </c>
      <c r="J56" s="2">
        <v>44</v>
      </c>
      <c r="K56" s="2" t="s">
        <v>33</v>
      </c>
      <c r="L56" s="2" t="s">
        <v>202</v>
      </c>
      <c r="M56" s="5" t="s">
        <v>12</v>
      </c>
      <c r="N56" s="5" t="s">
        <v>24</v>
      </c>
      <c r="O56" s="2" t="s">
        <v>61</v>
      </c>
      <c r="P56" s="2" t="s">
        <v>197</v>
      </c>
      <c r="Q56" s="2" t="s">
        <v>27</v>
      </c>
      <c r="R56" s="6"/>
    </row>
    <row r="57" spans="1:18">
      <c r="A57" s="7" t="s">
        <v>203</v>
      </c>
      <c r="B57" s="8" t="s">
        <v>35</v>
      </c>
      <c r="C57" s="8" t="s">
        <v>42</v>
      </c>
      <c r="D57" s="8" t="s">
        <v>204</v>
      </c>
      <c r="E57" s="8" t="s">
        <v>37</v>
      </c>
      <c r="F57" s="9">
        <v>44798</v>
      </c>
      <c r="G57" s="10">
        <v>0.91291666666666671</v>
      </c>
      <c r="H57" s="10">
        <v>0.15259259259259259</v>
      </c>
      <c r="I57" s="10">
        <v>0.15216435185185184</v>
      </c>
      <c r="J57" s="8">
        <v>43</v>
      </c>
      <c r="K57" s="8" t="s">
        <v>33</v>
      </c>
      <c r="L57" s="8" t="s">
        <v>205</v>
      </c>
      <c r="M57" s="11" t="s">
        <v>12</v>
      </c>
      <c r="N57" s="11" t="s">
        <v>24</v>
      </c>
      <c r="O57" s="8" t="s">
        <v>123</v>
      </c>
      <c r="P57" s="8" t="s">
        <v>206</v>
      </c>
      <c r="Q57" s="8" t="s">
        <v>27</v>
      </c>
      <c r="R57" s="12"/>
    </row>
    <row r="58" spans="1:18">
      <c r="A58" s="1" t="s">
        <v>207</v>
      </c>
      <c r="B58" s="2" t="s">
        <v>19</v>
      </c>
      <c r="C58" s="2" t="s">
        <v>42</v>
      </c>
      <c r="D58" s="2" t="s">
        <v>208</v>
      </c>
      <c r="E58" s="2" t="s">
        <v>37</v>
      </c>
      <c r="F58" s="3">
        <v>44798</v>
      </c>
      <c r="G58" s="4">
        <v>0.89594907407407398</v>
      </c>
      <c r="H58" s="4">
        <v>0.15656250000000002</v>
      </c>
      <c r="I58" s="4">
        <v>0.15615740740740741</v>
      </c>
      <c r="J58" s="2">
        <v>44</v>
      </c>
      <c r="K58" s="2" t="s">
        <v>33</v>
      </c>
      <c r="L58" s="2" t="s">
        <v>209</v>
      </c>
      <c r="M58" s="5" t="s">
        <v>12</v>
      </c>
      <c r="N58" s="5" t="s">
        <v>24</v>
      </c>
      <c r="O58" s="2" t="s">
        <v>80</v>
      </c>
      <c r="P58" s="2" t="s">
        <v>210</v>
      </c>
      <c r="Q58" s="2" t="s">
        <v>27</v>
      </c>
      <c r="R58" s="6"/>
    </row>
    <row r="59" spans="1:18">
      <c r="A59" s="7" t="s">
        <v>211</v>
      </c>
      <c r="B59" s="8" t="s">
        <v>19</v>
      </c>
      <c r="C59" s="8" t="s">
        <v>42</v>
      </c>
      <c r="D59" s="8" t="s">
        <v>212</v>
      </c>
      <c r="E59" s="8" t="s">
        <v>37</v>
      </c>
      <c r="F59" s="9">
        <v>44798</v>
      </c>
      <c r="G59" s="10">
        <v>0.58013888888888887</v>
      </c>
      <c r="H59" s="10">
        <v>0.58217592592592593</v>
      </c>
      <c r="I59" s="10">
        <v>0.58128472222222227</v>
      </c>
      <c r="J59" s="8">
        <v>43</v>
      </c>
      <c r="K59" s="8" t="s">
        <v>33</v>
      </c>
      <c r="L59" s="8" t="s">
        <v>213</v>
      </c>
      <c r="M59" s="11" t="s">
        <v>12</v>
      </c>
      <c r="N59" s="11" t="s">
        <v>24</v>
      </c>
      <c r="O59" s="8" t="s">
        <v>61</v>
      </c>
      <c r="P59" s="8" t="s">
        <v>197</v>
      </c>
      <c r="Q59" s="8" t="s">
        <v>27</v>
      </c>
      <c r="R59" s="12"/>
    </row>
    <row r="60" spans="1:18">
      <c r="A60" s="1" t="s">
        <v>214</v>
      </c>
      <c r="B60" s="2" t="s">
        <v>19</v>
      </c>
      <c r="C60" s="2" t="s">
        <v>29</v>
      </c>
      <c r="D60" s="2" t="s">
        <v>215</v>
      </c>
      <c r="E60" s="2" t="s">
        <v>37</v>
      </c>
      <c r="F60" s="3">
        <v>44798</v>
      </c>
      <c r="G60" s="4">
        <v>0.58717592592592593</v>
      </c>
      <c r="H60" s="4">
        <v>0.58918981481481481</v>
      </c>
      <c r="I60" s="4">
        <v>0.58832175925925922</v>
      </c>
      <c r="J60" s="2">
        <v>43</v>
      </c>
      <c r="K60" s="2" t="s">
        <v>33</v>
      </c>
      <c r="L60" s="2" t="s">
        <v>213</v>
      </c>
      <c r="M60" s="5" t="s">
        <v>12</v>
      </c>
      <c r="N60" s="5" t="s">
        <v>24</v>
      </c>
      <c r="O60" s="2" t="s">
        <v>61</v>
      </c>
      <c r="P60" s="2" t="s">
        <v>216</v>
      </c>
      <c r="Q60" s="2" t="s">
        <v>27</v>
      </c>
      <c r="R60" s="6"/>
    </row>
    <row r="61" spans="1:18">
      <c r="A61" s="7" t="s">
        <v>217</v>
      </c>
      <c r="B61" s="8" t="s">
        <v>19</v>
      </c>
      <c r="C61" s="8" t="s">
        <v>47</v>
      </c>
      <c r="D61" s="8" t="s">
        <v>218</v>
      </c>
      <c r="E61" s="8" t="s">
        <v>37</v>
      </c>
      <c r="F61" s="9">
        <v>44798</v>
      </c>
      <c r="G61" s="10">
        <v>0.60064814814814815</v>
      </c>
      <c r="H61" s="10">
        <v>0.60269675925925925</v>
      </c>
      <c r="I61" s="10">
        <v>0.60179398148148155</v>
      </c>
      <c r="J61" s="8">
        <v>43</v>
      </c>
      <c r="K61" s="8" t="s">
        <v>33</v>
      </c>
      <c r="L61" s="8" t="s">
        <v>213</v>
      </c>
      <c r="M61" s="11" t="s">
        <v>12</v>
      </c>
      <c r="N61" s="11" t="s">
        <v>24</v>
      </c>
      <c r="O61" s="8" t="s">
        <v>61</v>
      </c>
      <c r="P61" s="8" t="s">
        <v>216</v>
      </c>
      <c r="Q61" s="8" t="s">
        <v>27</v>
      </c>
      <c r="R61" s="12"/>
    </row>
    <row r="62" spans="1:18">
      <c r="A62" s="1" t="s">
        <v>219</v>
      </c>
      <c r="B62" s="2" t="s">
        <v>19</v>
      </c>
      <c r="C62" s="2" t="s">
        <v>47</v>
      </c>
      <c r="D62" s="15" t="s">
        <v>220</v>
      </c>
      <c r="E62" s="2" t="s">
        <v>37</v>
      </c>
      <c r="F62" s="3">
        <v>44798</v>
      </c>
      <c r="G62" s="4">
        <v>0.61791666666666667</v>
      </c>
      <c r="H62" s="4">
        <v>0.6199189814814815</v>
      </c>
      <c r="I62" s="4">
        <v>0.61906249999999996</v>
      </c>
      <c r="J62" s="2">
        <v>43</v>
      </c>
      <c r="K62" s="2" t="s">
        <v>33</v>
      </c>
      <c r="L62" s="2" t="s">
        <v>213</v>
      </c>
      <c r="M62" s="5" t="s">
        <v>12</v>
      </c>
      <c r="N62" s="5" t="s">
        <v>24</v>
      </c>
      <c r="O62" s="2" t="s">
        <v>61</v>
      </c>
      <c r="P62" s="2" t="s">
        <v>216</v>
      </c>
      <c r="Q62" s="2" t="s">
        <v>27</v>
      </c>
      <c r="R62" s="6"/>
    </row>
    <row r="63" spans="1:18">
      <c r="A63" s="7" t="s">
        <v>221</v>
      </c>
      <c r="B63" s="8" t="s">
        <v>19</v>
      </c>
      <c r="C63" s="8" t="s">
        <v>42</v>
      </c>
      <c r="D63" s="16" t="s">
        <v>222</v>
      </c>
      <c r="E63" s="8" t="s">
        <v>37</v>
      </c>
      <c r="F63" s="9">
        <v>44798</v>
      </c>
      <c r="G63" s="10">
        <v>0.62718750000000001</v>
      </c>
      <c r="H63" s="10">
        <v>0.62921296296296292</v>
      </c>
      <c r="I63" s="10">
        <v>0.62832175925925926</v>
      </c>
      <c r="J63" s="8">
        <v>43</v>
      </c>
      <c r="K63" s="8" t="s">
        <v>33</v>
      </c>
      <c r="L63" s="8" t="s">
        <v>213</v>
      </c>
      <c r="M63" s="11" t="s">
        <v>12</v>
      </c>
      <c r="N63" s="11" t="s">
        <v>24</v>
      </c>
      <c r="O63" s="8" t="s">
        <v>61</v>
      </c>
      <c r="P63" s="8" t="s">
        <v>216</v>
      </c>
      <c r="Q63" s="8" t="s">
        <v>27</v>
      </c>
      <c r="R63" s="12"/>
    </row>
    <row r="64" spans="1:18">
      <c r="A64" s="1" t="s">
        <v>223</v>
      </c>
      <c r="B64" s="2" t="s">
        <v>35</v>
      </c>
      <c r="C64" s="2" t="s">
        <v>29</v>
      </c>
      <c r="D64" s="2" t="s">
        <v>224</v>
      </c>
      <c r="E64" s="2" t="s">
        <v>37</v>
      </c>
      <c r="F64" s="3">
        <v>44798</v>
      </c>
      <c r="G64" s="4">
        <v>0.64172453703703702</v>
      </c>
      <c r="H64" s="4">
        <v>0.64451388888888894</v>
      </c>
      <c r="I64" s="4">
        <v>0.64413194444444444</v>
      </c>
      <c r="J64" s="2">
        <v>43</v>
      </c>
      <c r="K64" s="2" t="s">
        <v>33</v>
      </c>
      <c r="L64" s="2" t="s">
        <v>213</v>
      </c>
      <c r="M64" s="5" t="s">
        <v>12</v>
      </c>
      <c r="N64" s="5" t="s">
        <v>24</v>
      </c>
      <c r="O64" s="2" t="s">
        <v>30</v>
      </c>
      <c r="P64" s="2" t="s">
        <v>216</v>
      </c>
      <c r="Q64" s="2" t="s">
        <v>27</v>
      </c>
      <c r="R64" s="6"/>
    </row>
    <row r="65" spans="1:18">
      <c r="A65" s="7" t="s">
        <v>225</v>
      </c>
      <c r="B65" s="8" t="s">
        <v>35</v>
      </c>
      <c r="C65" s="8" t="s">
        <v>29</v>
      </c>
      <c r="D65" s="8" t="s">
        <v>226</v>
      </c>
      <c r="E65" s="8" t="s">
        <v>37</v>
      </c>
      <c r="F65" s="9">
        <v>44798</v>
      </c>
      <c r="G65" s="10">
        <v>0.64995370370370364</v>
      </c>
      <c r="H65" s="10">
        <v>0.65274305555555556</v>
      </c>
      <c r="I65" s="10">
        <v>0.65237268518518521</v>
      </c>
      <c r="J65" s="8">
        <v>43</v>
      </c>
      <c r="K65" s="8" t="s">
        <v>33</v>
      </c>
      <c r="L65" s="8" t="s">
        <v>213</v>
      </c>
      <c r="M65" s="11" t="s">
        <v>12</v>
      </c>
      <c r="N65" s="11" t="s">
        <v>24</v>
      </c>
      <c r="O65" s="8" t="s">
        <v>30</v>
      </c>
      <c r="P65" s="8" t="s">
        <v>216</v>
      </c>
      <c r="Q65" s="8" t="s">
        <v>27</v>
      </c>
      <c r="R65" s="12"/>
    </row>
    <row r="66" spans="1:18">
      <c r="A66" s="1" t="s">
        <v>227</v>
      </c>
      <c r="B66" s="2" t="s">
        <v>35</v>
      </c>
      <c r="C66" s="2" t="s">
        <v>228</v>
      </c>
      <c r="D66" s="2" t="s">
        <v>229</v>
      </c>
      <c r="E66" s="2" t="s">
        <v>37</v>
      </c>
      <c r="F66" s="3">
        <v>44798</v>
      </c>
      <c r="G66" s="4">
        <v>0.67001157407407408</v>
      </c>
      <c r="H66" s="4">
        <v>0.67277777777777781</v>
      </c>
      <c r="I66" s="4">
        <v>0.67287037037037034</v>
      </c>
      <c r="J66" s="2">
        <v>43</v>
      </c>
      <c r="K66" s="2" t="s">
        <v>23</v>
      </c>
      <c r="L66" s="2"/>
      <c r="M66" s="5" t="s">
        <v>12</v>
      </c>
      <c r="N66" s="5" t="s">
        <v>24</v>
      </c>
      <c r="O66" s="2" t="s">
        <v>30</v>
      </c>
      <c r="P66" s="2" t="s">
        <v>216</v>
      </c>
      <c r="Q66" s="2" t="s">
        <v>78</v>
      </c>
      <c r="R66" s="6"/>
    </row>
    <row r="67" spans="1:18">
      <c r="A67" s="7" t="s">
        <v>230</v>
      </c>
      <c r="B67" s="8" t="s">
        <v>35</v>
      </c>
      <c r="C67" s="8" t="s">
        <v>42</v>
      </c>
      <c r="D67" s="8" t="s">
        <v>229</v>
      </c>
      <c r="E67" s="8" t="s">
        <v>37</v>
      </c>
      <c r="F67" s="9">
        <v>44798</v>
      </c>
      <c r="G67" s="10">
        <v>0.67001157407407408</v>
      </c>
      <c r="H67" s="10">
        <v>0.67363425925925924</v>
      </c>
      <c r="I67" s="10">
        <v>0.67287037037037034</v>
      </c>
      <c r="J67" s="8">
        <v>43</v>
      </c>
      <c r="K67" s="8" t="s">
        <v>33</v>
      </c>
      <c r="L67" s="8" t="s">
        <v>231</v>
      </c>
      <c r="M67" s="11" t="s">
        <v>12</v>
      </c>
      <c r="N67" s="11" t="s">
        <v>24</v>
      </c>
      <c r="O67" s="8" t="s">
        <v>30</v>
      </c>
      <c r="P67" s="8" t="s">
        <v>216</v>
      </c>
      <c r="Q67" s="8" t="s">
        <v>27</v>
      </c>
      <c r="R67" s="12"/>
    </row>
    <row r="68" spans="1:18">
      <c r="A68" s="1" t="s">
        <v>232</v>
      </c>
      <c r="B68" s="2" t="s">
        <v>35</v>
      </c>
      <c r="C68" s="2" t="s">
        <v>47</v>
      </c>
      <c r="D68" s="2" t="s">
        <v>233</v>
      </c>
      <c r="E68" s="2" t="s">
        <v>37</v>
      </c>
      <c r="F68" s="3">
        <v>44798</v>
      </c>
      <c r="G68" s="4">
        <v>0.71787037037037038</v>
      </c>
      <c r="H68" s="4">
        <v>0.7537962962962963</v>
      </c>
      <c r="I68" s="4">
        <v>0.75285879629629626</v>
      </c>
      <c r="J68" s="2">
        <v>43</v>
      </c>
      <c r="K68" s="2" t="s">
        <v>33</v>
      </c>
      <c r="L68" s="2" t="s">
        <v>234</v>
      </c>
      <c r="M68" s="5" t="s">
        <v>12</v>
      </c>
      <c r="N68" s="5" t="s">
        <v>24</v>
      </c>
      <c r="O68" s="2" t="s">
        <v>30</v>
      </c>
      <c r="P68" s="2" t="s">
        <v>216</v>
      </c>
      <c r="Q68" s="2" t="s">
        <v>27</v>
      </c>
      <c r="R68" s="6"/>
    </row>
    <row r="69" spans="1:18">
      <c r="A69" s="7" t="s">
        <v>235</v>
      </c>
      <c r="B69" s="8" t="s">
        <v>35</v>
      </c>
      <c r="C69" s="8" t="s">
        <v>47</v>
      </c>
      <c r="D69" s="8" t="s">
        <v>236</v>
      </c>
      <c r="E69" s="8" t="s">
        <v>37</v>
      </c>
      <c r="F69" s="9">
        <v>44798</v>
      </c>
      <c r="G69" s="10">
        <v>0.82854166666666673</v>
      </c>
      <c r="H69" s="10">
        <v>0.90637731481481476</v>
      </c>
      <c r="I69" s="10">
        <v>0.9903587962962962</v>
      </c>
      <c r="J69" s="8">
        <v>43</v>
      </c>
      <c r="K69" s="8" t="s">
        <v>23</v>
      </c>
      <c r="L69" s="8"/>
      <c r="M69" s="11" t="s">
        <v>12</v>
      </c>
      <c r="N69" s="11" t="s">
        <v>24</v>
      </c>
      <c r="O69" s="8" t="s">
        <v>91</v>
      </c>
      <c r="P69" s="8" t="s">
        <v>178</v>
      </c>
      <c r="Q69" s="8" t="s">
        <v>78</v>
      </c>
      <c r="R69" s="12"/>
    </row>
    <row r="70" spans="1:18">
      <c r="A70" s="1" t="s">
        <v>237</v>
      </c>
      <c r="B70" s="2" t="s">
        <v>35</v>
      </c>
      <c r="C70" s="2" t="s">
        <v>29</v>
      </c>
      <c r="D70" s="2" t="s">
        <v>236</v>
      </c>
      <c r="E70" s="2" t="s">
        <v>37</v>
      </c>
      <c r="F70" s="3">
        <v>44798</v>
      </c>
      <c r="G70" s="4">
        <v>0.82854166666666673</v>
      </c>
      <c r="H70" s="4">
        <v>0.90748842592592593</v>
      </c>
      <c r="I70" s="4">
        <v>0.9903587962962962</v>
      </c>
      <c r="J70" s="2">
        <v>43</v>
      </c>
      <c r="K70" s="2" t="s">
        <v>23</v>
      </c>
      <c r="L70" s="2"/>
      <c r="M70" s="5" t="s">
        <v>12</v>
      </c>
      <c r="N70" s="5" t="s">
        <v>24</v>
      </c>
      <c r="O70" s="2" t="s">
        <v>30</v>
      </c>
      <c r="P70" s="2" t="s">
        <v>238</v>
      </c>
      <c r="Q70" s="2" t="s">
        <v>27</v>
      </c>
      <c r="R70" s="6"/>
    </row>
    <row r="71" spans="1:18">
      <c r="A71" s="7" t="s">
        <v>239</v>
      </c>
      <c r="B71" s="8" t="s">
        <v>35</v>
      </c>
      <c r="C71" s="8" t="s">
        <v>47</v>
      </c>
      <c r="D71" s="8" t="s">
        <v>236</v>
      </c>
      <c r="E71" s="8" t="s">
        <v>37</v>
      </c>
      <c r="F71" s="9">
        <v>44798</v>
      </c>
      <c r="G71" s="10">
        <v>0.82854166666666673</v>
      </c>
      <c r="H71" s="10">
        <v>0.99075231481481474</v>
      </c>
      <c r="I71" s="10">
        <v>0.9903587962962962</v>
      </c>
      <c r="J71" s="8">
        <v>43</v>
      </c>
      <c r="K71" s="8" t="s">
        <v>33</v>
      </c>
      <c r="L71" s="8" t="s">
        <v>240</v>
      </c>
      <c r="M71" s="11" t="s">
        <v>12</v>
      </c>
      <c r="N71" s="11" t="s">
        <v>24</v>
      </c>
      <c r="O71" s="8" t="s">
        <v>107</v>
      </c>
      <c r="P71" s="8" t="s">
        <v>241</v>
      </c>
      <c r="Q71" s="8" t="s">
        <v>27</v>
      </c>
      <c r="R71" s="12"/>
    </row>
    <row r="72" spans="1:18">
      <c r="A72" s="13" t="s">
        <v>242</v>
      </c>
      <c r="B72" s="2" t="s">
        <v>19</v>
      </c>
      <c r="C72" s="2" t="s">
        <v>20</v>
      </c>
      <c r="D72" s="2" t="s">
        <v>243</v>
      </c>
      <c r="E72" s="2" t="s">
        <v>37</v>
      </c>
      <c r="F72" s="3">
        <v>44802</v>
      </c>
      <c r="G72" s="4">
        <v>0.62866898148148154</v>
      </c>
      <c r="H72" s="4">
        <v>0.82747685185185194</v>
      </c>
      <c r="I72" s="4">
        <v>0.98024305555555558</v>
      </c>
      <c r="J72" s="2">
        <v>43</v>
      </c>
      <c r="K72" s="2" t="s">
        <v>23</v>
      </c>
      <c r="L72" s="2"/>
      <c r="M72" s="5" t="s">
        <v>12</v>
      </c>
      <c r="N72" s="5" t="s">
        <v>24</v>
      </c>
      <c r="O72" s="2" t="s">
        <v>91</v>
      </c>
      <c r="P72" s="2" t="s">
        <v>178</v>
      </c>
      <c r="Q72" s="2" t="s">
        <v>78</v>
      </c>
      <c r="R72" s="6"/>
    </row>
    <row r="73" spans="1:18">
      <c r="A73" s="18" t="s">
        <v>244</v>
      </c>
      <c r="B73" s="8" t="s">
        <v>19</v>
      </c>
      <c r="C73" s="8" t="s">
        <v>20</v>
      </c>
      <c r="D73" s="8" t="s">
        <v>243</v>
      </c>
      <c r="E73" s="8" t="s">
        <v>37</v>
      </c>
      <c r="F73" s="9">
        <v>44802</v>
      </c>
      <c r="G73" s="10">
        <v>0.62866898148148154</v>
      </c>
      <c r="H73" s="10">
        <v>0.98114583333333327</v>
      </c>
      <c r="I73" s="10">
        <v>0.98024305555555558</v>
      </c>
      <c r="J73" s="8">
        <v>43</v>
      </c>
      <c r="K73" s="8" t="s">
        <v>33</v>
      </c>
      <c r="L73" s="8" t="s">
        <v>245</v>
      </c>
      <c r="M73" s="11" t="s">
        <v>12</v>
      </c>
      <c r="N73" s="11" t="s">
        <v>24</v>
      </c>
      <c r="O73" s="8" t="s">
        <v>30</v>
      </c>
      <c r="P73" s="8" t="s">
        <v>238</v>
      </c>
      <c r="Q73" s="8" t="s">
        <v>27</v>
      </c>
      <c r="R73" s="12"/>
    </row>
    <row r="74" spans="1:18">
      <c r="A74" s="1" t="s">
        <v>246</v>
      </c>
      <c r="B74" s="2" t="s">
        <v>35</v>
      </c>
      <c r="C74" s="2" t="s">
        <v>29</v>
      </c>
      <c r="D74" s="2" t="s">
        <v>247</v>
      </c>
      <c r="E74" s="2" t="s">
        <v>37</v>
      </c>
      <c r="F74" s="3">
        <v>44803</v>
      </c>
      <c r="G74" s="4">
        <v>0.62247685185185186</v>
      </c>
      <c r="H74" s="4">
        <v>0.16376157407407407</v>
      </c>
      <c r="I74" s="4">
        <v>0.16332175925925926</v>
      </c>
      <c r="J74" s="2">
        <v>43</v>
      </c>
      <c r="K74" s="2" t="s">
        <v>33</v>
      </c>
      <c r="L74" s="2" t="s">
        <v>248</v>
      </c>
      <c r="M74" s="5" t="s">
        <v>12</v>
      </c>
      <c r="N74" s="5" t="s">
        <v>24</v>
      </c>
      <c r="O74" s="2" t="s">
        <v>123</v>
      </c>
      <c r="P74" s="2" t="s">
        <v>206</v>
      </c>
      <c r="Q74" s="2" t="s">
        <v>27</v>
      </c>
      <c r="R74" s="20"/>
    </row>
    <row r="75" spans="1:18">
      <c r="A75" s="7" t="s">
        <v>249</v>
      </c>
      <c r="B75" s="8" t="s">
        <v>35</v>
      </c>
      <c r="C75" s="8" t="s">
        <v>20</v>
      </c>
      <c r="D75" s="8" t="s">
        <v>250</v>
      </c>
      <c r="E75" s="8" t="s">
        <v>37</v>
      </c>
      <c r="F75" s="9">
        <v>44803</v>
      </c>
      <c r="G75" s="10">
        <v>0.17952546296296298</v>
      </c>
      <c r="H75" s="10">
        <v>0.1799537037037037</v>
      </c>
      <c r="I75" s="10">
        <v>0.17957175925925925</v>
      </c>
      <c r="J75" s="8">
        <v>43</v>
      </c>
      <c r="K75" s="8" t="s">
        <v>33</v>
      </c>
      <c r="L75" s="8" t="s">
        <v>251</v>
      </c>
      <c r="M75" s="11" t="s">
        <v>12</v>
      </c>
      <c r="N75" s="11" t="s">
        <v>24</v>
      </c>
      <c r="O75" s="8" t="s">
        <v>192</v>
      </c>
      <c r="P75" s="8" t="s">
        <v>252</v>
      </c>
      <c r="Q75" s="8" t="s">
        <v>27</v>
      </c>
      <c r="R75" s="12"/>
    </row>
    <row r="76" spans="1:18">
      <c r="A76" s="1" t="s">
        <v>253</v>
      </c>
      <c r="B76" s="2" t="s">
        <v>35</v>
      </c>
      <c r="C76" s="2" t="s">
        <v>29</v>
      </c>
      <c r="D76" s="2" t="s">
        <v>254</v>
      </c>
      <c r="E76" s="2" t="s">
        <v>37</v>
      </c>
      <c r="F76" s="3">
        <v>44803</v>
      </c>
      <c r="G76" s="4">
        <v>0.18079861111111109</v>
      </c>
      <c r="H76" s="4">
        <v>0.18122685185185183</v>
      </c>
      <c r="I76" s="4">
        <v>0.18085648148148148</v>
      </c>
      <c r="J76" s="2">
        <v>43</v>
      </c>
      <c r="K76" s="2" t="s">
        <v>33</v>
      </c>
      <c r="L76" s="2" t="s">
        <v>251</v>
      </c>
      <c r="M76" s="5" t="s">
        <v>12</v>
      </c>
      <c r="N76" s="5" t="s">
        <v>24</v>
      </c>
      <c r="O76" s="2" t="s">
        <v>192</v>
      </c>
      <c r="P76" s="2" t="s">
        <v>252</v>
      </c>
      <c r="Q76" s="2" t="s">
        <v>27</v>
      </c>
      <c r="R76" s="6"/>
    </row>
    <row r="77" spans="1:18">
      <c r="A77" s="7" t="s">
        <v>255</v>
      </c>
      <c r="B77" s="8" t="s">
        <v>35</v>
      </c>
      <c r="C77" s="8" t="s">
        <v>29</v>
      </c>
      <c r="D77" s="8" t="s">
        <v>256</v>
      </c>
      <c r="E77" s="8" t="s">
        <v>37</v>
      </c>
      <c r="F77" s="9">
        <v>44803</v>
      </c>
      <c r="G77" s="10">
        <v>0.18167824074074077</v>
      </c>
      <c r="H77" s="10">
        <v>0.18209490740740741</v>
      </c>
      <c r="I77" s="10">
        <v>0.1817361111111111</v>
      </c>
      <c r="J77" s="8">
        <v>43</v>
      </c>
      <c r="K77" s="8" t="s">
        <v>33</v>
      </c>
      <c r="L77" s="8" t="s">
        <v>251</v>
      </c>
      <c r="M77" s="11" t="s">
        <v>12</v>
      </c>
      <c r="N77" s="11" t="s">
        <v>24</v>
      </c>
      <c r="O77" s="8" t="s">
        <v>192</v>
      </c>
      <c r="P77" s="8" t="s">
        <v>252</v>
      </c>
      <c r="Q77" s="8" t="s">
        <v>27</v>
      </c>
      <c r="R77" s="12"/>
    </row>
    <row r="78" spans="1:18">
      <c r="A78" s="1" t="s">
        <v>257</v>
      </c>
      <c r="B78" s="2" t="s">
        <v>19</v>
      </c>
      <c r="C78" s="2" t="s">
        <v>29</v>
      </c>
      <c r="D78" s="2" t="s">
        <v>258</v>
      </c>
      <c r="E78" s="2" t="s">
        <v>37</v>
      </c>
      <c r="F78" s="3">
        <v>44804</v>
      </c>
      <c r="G78" s="4">
        <v>0.5166898148148148</v>
      </c>
      <c r="H78" s="4">
        <v>0.52028935185185188</v>
      </c>
      <c r="I78" s="4">
        <v>0.51922453703703708</v>
      </c>
      <c r="J78" s="2">
        <v>43</v>
      </c>
      <c r="K78" s="2" t="s">
        <v>33</v>
      </c>
      <c r="L78" s="2" t="s">
        <v>259</v>
      </c>
      <c r="M78" s="5" t="s">
        <v>12</v>
      </c>
      <c r="N78" s="5" t="s">
        <v>24</v>
      </c>
      <c r="O78" s="2" t="s">
        <v>61</v>
      </c>
      <c r="P78" s="2" t="s">
        <v>260</v>
      </c>
      <c r="Q78" s="2" t="s">
        <v>27</v>
      </c>
      <c r="R78" s="6"/>
    </row>
    <row r="79" spans="1:18">
      <c r="A79" s="7" t="s">
        <v>261</v>
      </c>
      <c r="B79" s="8" t="s">
        <v>19</v>
      </c>
      <c r="C79" s="8" t="s">
        <v>29</v>
      </c>
      <c r="D79" s="8" t="s">
        <v>262</v>
      </c>
      <c r="E79" s="8" t="s">
        <v>37</v>
      </c>
      <c r="F79" s="9">
        <v>44804</v>
      </c>
      <c r="G79" s="10">
        <v>0.70003472222222218</v>
      </c>
      <c r="H79" s="10">
        <v>0.71045138888888892</v>
      </c>
      <c r="I79" s="10">
        <v>0.71013888888888888</v>
      </c>
      <c r="J79" s="8">
        <v>43</v>
      </c>
      <c r="K79" s="8" t="s">
        <v>33</v>
      </c>
      <c r="L79" s="8" t="s">
        <v>263</v>
      </c>
      <c r="M79" s="11" t="s">
        <v>12</v>
      </c>
      <c r="N79" s="11" t="s">
        <v>24</v>
      </c>
      <c r="O79" s="8" t="s">
        <v>80</v>
      </c>
      <c r="P79" s="8" t="s">
        <v>264</v>
      </c>
      <c r="Q79" s="8" t="s">
        <v>27</v>
      </c>
      <c r="R79" s="12"/>
    </row>
    <row r="80" spans="1:18">
      <c r="A80" s="1" t="s">
        <v>265</v>
      </c>
      <c r="B80" s="2" t="s">
        <v>19</v>
      </c>
      <c r="C80" s="2" t="s">
        <v>228</v>
      </c>
      <c r="D80" s="2" t="s">
        <v>266</v>
      </c>
      <c r="E80" s="2" t="s">
        <v>37</v>
      </c>
      <c r="F80" s="3">
        <v>44804</v>
      </c>
      <c r="G80" s="4">
        <v>0.71289351851851857</v>
      </c>
      <c r="H80" s="4">
        <v>0.74903935185185189</v>
      </c>
      <c r="I80" s="4">
        <v>0.74937500000000001</v>
      </c>
      <c r="J80" s="2">
        <v>43</v>
      </c>
      <c r="K80" s="2" t="s">
        <v>23</v>
      </c>
      <c r="L80" s="2"/>
      <c r="M80" s="5" t="s">
        <v>12</v>
      </c>
      <c r="N80" s="5" t="s">
        <v>24</v>
      </c>
      <c r="O80" s="2" t="s">
        <v>91</v>
      </c>
      <c r="P80" s="2" t="s">
        <v>178</v>
      </c>
      <c r="Q80" s="2" t="s">
        <v>78</v>
      </c>
      <c r="R80" s="6"/>
    </row>
    <row r="81" spans="1:18">
      <c r="A81" s="7" t="s">
        <v>267</v>
      </c>
      <c r="B81" s="8" t="s">
        <v>19</v>
      </c>
      <c r="C81" s="8" t="s">
        <v>29</v>
      </c>
      <c r="D81" s="8" t="s">
        <v>266</v>
      </c>
      <c r="E81" s="8" t="s">
        <v>37</v>
      </c>
      <c r="F81" s="9">
        <v>44804</v>
      </c>
      <c r="G81" s="10">
        <v>0.71289351851851857</v>
      </c>
      <c r="H81" s="10">
        <v>0.74995370370370373</v>
      </c>
      <c r="I81" s="10">
        <v>0.74937500000000001</v>
      </c>
      <c r="J81" s="8">
        <v>43</v>
      </c>
      <c r="K81" s="8" t="s">
        <v>33</v>
      </c>
      <c r="L81" s="8" t="s">
        <v>245</v>
      </c>
      <c r="M81" s="11" t="s">
        <v>12</v>
      </c>
      <c r="N81" s="11" t="s">
        <v>24</v>
      </c>
      <c r="O81" s="8" t="s">
        <v>30</v>
      </c>
      <c r="P81" s="8" t="s">
        <v>252</v>
      </c>
      <c r="Q81" s="8" t="s">
        <v>27</v>
      </c>
      <c r="R81" s="12"/>
    </row>
    <row r="82" spans="1:18">
      <c r="A82" s="1" t="s">
        <v>268</v>
      </c>
      <c r="B82" s="2" t="s">
        <v>35</v>
      </c>
      <c r="C82" s="2" t="s">
        <v>29</v>
      </c>
      <c r="D82" s="2" t="s">
        <v>269</v>
      </c>
      <c r="E82" s="2" t="s">
        <v>37</v>
      </c>
      <c r="F82" s="3">
        <v>44804</v>
      </c>
      <c r="G82" s="4">
        <v>0.73914351851851856</v>
      </c>
      <c r="H82" s="4">
        <v>0.80099537037037039</v>
      </c>
      <c r="I82" s="4">
        <v>0.80061342592592588</v>
      </c>
      <c r="J82" s="2">
        <v>43</v>
      </c>
      <c r="K82" s="2" t="s">
        <v>33</v>
      </c>
      <c r="L82" s="2" t="s">
        <v>270</v>
      </c>
      <c r="M82" s="5" t="s">
        <v>12</v>
      </c>
      <c r="N82" s="5" t="s">
        <v>24</v>
      </c>
      <c r="O82" s="2" t="s">
        <v>91</v>
      </c>
      <c r="P82" s="2" t="s">
        <v>271</v>
      </c>
      <c r="Q82" s="2" t="s">
        <v>27</v>
      </c>
      <c r="R82" s="6"/>
    </row>
    <row r="83" spans="1:18">
      <c r="A83" s="7" t="s">
        <v>272</v>
      </c>
      <c r="B83" s="8" t="s">
        <v>273</v>
      </c>
      <c r="C83" s="8" t="s">
        <v>29</v>
      </c>
      <c r="D83" s="8" t="s">
        <v>274</v>
      </c>
      <c r="E83" s="8" t="s">
        <v>37</v>
      </c>
      <c r="F83" s="9">
        <v>44805</v>
      </c>
      <c r="G83" s="10">
        <v>0.33302083333333332</v>
      </c>
      <c r="H83" s="10">
        <v>0.44546296296296295</v>
      </c>
      <c r="I83" s="10">
        <v>0.37038194444444444</v>
      </c>
      <c r="J83" s="8">
        <v>47</v>
      </c>
      <c r="K83" s="8" t="s">
        <v>33</v>
      </c>
      <c r="L83" s="8" t="s">
        <v>275</v>
      </c>
      <c r="M83" s="11" t="s">
        <v>12</v>
      </c>
      <c r="N83" s="11" t="s">
        <v>24</v>
      </c>
      <c r="O83" s="8" t="s">
        <v>91</v>
      </c>
      <c r="P83" s="8" t="s">
        <v>53</v>
      </c>
      <c r="Q83" s="8" t="s">
        <v>27</v>
      </c>
      <c r="R83" s="20"/>
    </row>
    <row r="84" spans="1:18">
      <c r="A84" s="1" t="s">
        <v>276</v>
      </c>
      <c r="B84" s="2" t="s">
        <v>273</v>
      </c>
      <c r="C84" s="2" t="s">
        <v>29</v>
      </c>
      <c r="D84" s="2" t="s">
        <v>277</v>
      </c>
      <c r="E84" s="2" t="s">
        <v>37</v>
      </c>
      <c r="F84" s="3">
        <v>44805</v>
      </c>
      <c r="G84" s="4">
        <v>0.51674768518518521</v>
      </c>
      <c r="H84" s="4">
        <v>0.54782407407407407</v>
      </c>
      <c r="I84" s="4">
        <v>0.54752314814814818</v>
      </c>
      <c r="J84" s="2">
        <v>47</v>
      </c>
      <c r="K84" s="2" t="s">
        <v>33</v>
      </c>
      <c r="L84" s="2" t="s">
        <v>278</v>
      </c>
      <c r="M84" s="5" t="s">
        <v>12</v>
      </c>
      <c r="N84" s="5" t="s">
        <v>24</v>
      </c>
      <c r="O84" s="2" t="s">
        <v>91</v>
      </c>
      <c r="P84" s="2" t="s">
        <v>53</v>
      </c>
      <c r="Q84" s="2" t="s">
        <v>27</v>
      </c>
      <c r="R84" s="20"/>
    </row>
    <row r="85" spans="1:18">
      <c r="A85" s="7" t="s">
        <v>279</v>
      </c>
      <c r="B85" s="8" t="s">
        <v>273</v>
      </c>
      <c r="C85" s="8" t="s">
        <v>29</v>
      </c>
      <c r="D85" s="8" t="s">
        <v>280</v>
      </c>
      <c r="E85" s="8" t="s">
        <v>37</v>
      </c>
      <c r="F85" s="9">
        <v>44805</v>
      </c>
      <c r="G85" s="10">
        <v>0.60068287037037038</v>
      </c>
      <c r="H85" s="10">
        <v>0.60111111111111104</v>
      </c>
      <c r="I85" s="10">
        <v>0.60543981481481479</v>
      </c>
      <c r="J85" s="8">
        <v>47</v>
      </c>
      <c r="K85" s="8" t="s">
        <v>23</v>
      </c>
      <c r="L85" s="8"/>
      <c r="M85" s="11" t="s">
        <v>12</v>
      </c>
      <c r="N85" s="11" t="s">
        <v>24</v>
      </c>
      <c r="O85" s="8" t="s">
        <v>91</v>
      </c>
      <c r="P85" s="8" t="s">
        <v>53</v>
      </c>
      <c r="Q85" s="8" t="s">
        <v>27</v>
      </c>
      <c r="R85" s="12"/>
    </row>
    <row r="86" spans="1:18">
      <c r="A86" s="1" t="s">
        <v>281</v>
      </c>
      <c r="B86" s="2" t="s">
        <v>273</v>
      </c>
      <c r="C86" s="2" t="s">
        <v>29</v>
      </c>
      <c r="D86" s="2" t="s">
        <v>280</v>
      </c>
      <c r="E86" s="2" t="s">
        <v>37</v>
      </c>
      <c r="F86" s="3">
        <v>44805</v>
      </c>
      <c r="G86" s="4">
        <v>0.60068287037037038</v>
      </c>
      <c r="H86" s="4">
        <v>0.60576388888888888</v>
      </c>
      <c r="I86" s="4">
        <v>0.60543981481481479</v>
      </c>
      <c r="J86" s="2">
        <v>47</v>
      </c>
      <c r="K86" s="2" t="s">
        <v>33</v>
      </c>
      <c r="L86" s="2" t="s">
        <v>282</v>
      </c>
      <c r="M86" s="5" t="s">
        <v>12</v>
      </c>
      <c r="N86" s="5" t="s">
        <v>24</v>
      </c>
      <c r="O86" s="2" t="s">
        <v>80</v>
      </c>
      <c r="P86" s="2" t="s">
        <v>283</v>
      </c>
      <c r="Q86" s="2" t="s">
        <v>27</v>
      </c>
      <c r="R86" s="21"/>
    </row>
    <row r="87" spans="1:18">
      <c r="A87" s="7" t="s">
        <v>284</v>
      </c>
      <c r="B87" s="8" t="s">
        <v>273</v>
      </c>
      <c r="C87" s="8" t="s">
        <v>29</v>
      </c>
      <c r="D87" s="8" t="s">
        <v>285</v>
      </c>
      <c r="E87" s="8" t="s">
        <v>37</v>
      </c>
      <c r="F87" s="9">
        <v>44805</v>
      </c>
      <c r="G87" s="10">
        <v>0.66614583333333333</v>
      </c>
      <c r="H87" s="10">
        <v>0.66843750000000002</v>
      </c>
      <c r="I87" s="10">
        <v>0.66798611111111106</v>
      </c>
      <c r="J87" s="8">
        <v>47</v>
      </c>
      <c r="K87" s="8" t="s">
        <v>33</v>
      </c>
      <c r="L87" s="8" t="s">
        <v>286</v>
      </c>
      <c r="M87" s="11" t="s">
        <v>12</v>
      </c>
      <c r="N87" s="11" t="s">
        <v>24</v>
      </c>
      <c r="O87" s="8" t="s">
        <v>80</v>
      </c>
      <c r="P87" s="8" t="s">
        <v>112</v>
      </c>
      <c r="Q87" s="8" t="s">
        <v>27</v>
      </c>
      <c r="R87" s="12"/>
    </row>
    <row r="88" spans="1:18">
      <c r="A88" s="1" t="s">
        <v>287</v>
      </c>
      <c r="B88" s="2" t="s">
        <v>273</v>
      </c>
      <c r="C88" s="2" t="s">
        <v>29</v>
      </c>
      <c r="D88" s="2" t="s">
        <v>288</v>
      </c>
      <c r="E88" s="2" t="s">
        <v>37</v>
      </c>
      <c r="F88" s="3">
        <v>44805</v>
      </c>
      <c r="G88" s="4">
        <v>0.79457175925925927</v>
      </c>
      <c r="H88" s="4">
        <v>0.81342592592592589</v>
      </c>
      <c r="I88" s="4">
        <v>0.81303240740740745</v>
      </c>
      <c r="J88" s="2">
        <v>47</v>
      </c>
      <c r="K88" s="2" t="s">
        <v>33</v>
      </c>
      <c r="L88" s="2" t="s">
        <v>289</v>
      </c>
      <c r="M88" s="5" t="s">
        <v>12</v>
      </c>
      <c r="N88" s="5" t="s">
        <v>24</v>
      </c>
      <c r="O88" s="2" t="s">
        <v>80</v>
      </c>
      <c r="P88" s="2" t="s">
        <v>290</v>
      </c>
      <c r="Q88" s="2" t="s">
        <v>27</v>
      </c>
      <c r="R88" s="6"/>
    </row>
    <row r="89" spans="1:18">
      <c r="A89" s="7" t="s">
        <v>291</v>
      </c>
      <c r="B89" s="8" t="s">
        <v>35</v>
      </c>
      <c r="C89" s="8" t="s">
        <v>29</v>
      </c>
      <c r="D89" s="8" t="s">
        <v>292</v>
      </c>
      <c r="E89" s="8" t="s">
        <v>37</v>
      </c>
      <c r="F89" s="9">
        <v>44809</v>
      </c>
      <c r="G89" s="10">
        <v>0.67074074074074075</v>
      </c>
      <c r="H89" s="10">
        <v>0.75055555555555553</v>
      </c>
      <c r="I89" s="10">
        <v>0.7502199074074074</v>
      </c>
      <c r="J89" s="8">
        <v>43</v>
      </c>
      <c r="K89" s="8" t="s">
        <v>33</v>
      </c>
      <c r="L89" s="8" t="s">
        <v>293</v>
      </c>
      <c r="M89" s="11" t="s">
        <v>12</v>
      </c>
      <c r="N89" s="11" t="s">
        <v>24</v>
      </c>
      <c r="O89" s="8" t="s">
        <v>192</v>
      </c>
      <c r="P89" s="8" t="s">
        <v>252</v>
      </c>
      <c r="Q89" s="8" t="s">
        <v>27</v>
      </c>
      <c r="R89" s="12"/>
    </row>
    <row r="90" spans="1:18">
      <c r="A90" s="1" t="s">
        <v>294</v>
      </c>
      <c r="B90" s="2" t="s">
        <v>19</v>
      </c>
      <c r="C90" s="2" t="s">
        <v>295</v>
      </c>
      <c r="D90" s="2" t="s">
        <v>296</v>
      </c>
      <c r="E90" s="2" t="s">
        <v>37</v>
      </c>
      <c r="F90" s="3">
        <v>44809</v>
      </c>
      <c r="G90" s="4">
        <v>0.67835648148148142</v>
      </c>
      <c r="H90" s="4">
        <v>0.88115740740740733</v>
      </c>
      <c r="I90" s="4">
        <v>0.95226851851851846</v>
      </c>
      <c r="J90" s="2">
        <v>43</v>
      </c>
      <c r="K90" s="2" t="s">
        <v>23</v>
      </c>
      <c r="L90" s="2"/>
      <c r="M90" s="5" t="s">
        <v>12</v>
      </c>
      <c r="N90" s="5" t="s">
        <v>24</v>
      </c>
      <c r="O90" s="2" t="s">
        <v>30</v>
      </c>
      <c r="P90" s="2" t="s">
        <v>297</v>
      </c>
      <c r="Q90" s="2" t="s">
        <v>78</v>
      </c>
      <c r="R90" s="6"/>
    </row>
    <row r="91" spans="1:18">
      <c r="A91" s="7" t="s">
        <v>298</v>
      </c>
      <c r="B91" s="8" t="s">
        <v>19</v>
      </c>
      <c r="C91" s="8" t="s">
        <v>29</v>
      </c>
      <c r="D91" s="8" t="s">
        <v>296</v>
      </c>
      <c r="E91" s="8" t="s">
        <v>37</v>
      </c>
      <c r="F91" s="9">
        <v>44809</v>
      </c>
      <c r="G91" s="10">
        <v>0.67835648148148142</v>
      </c>
      <c r="H91" s="10">
        <v>0.95307870370370373</v>
      </c>
      <c r="I91" s="10">
        <v>0.95226851851851846</v>
      </c>
      <c r="J91" s="8">
        <v>43</v>
      </c>
      <c r="K91" s="8" t="s">
        <v>33</v>
      </c>
      <c r="L91" s="8" t="s">
        <v>299</v>
      </c>
      <c r="M91" s="11" t="s">
        <v>12</v>
      </c>
      <c r="N91" s="11" t="s">
        <v>24</v>
      </c>
      <c r="O91" s="8" t="s">
        <v>91</v>
      </c>
      <c r="P91" s="8" t="s">
        <v>238</v>
      </c>
      <c r="Q91" s="8" t="s">
        <v>27</v>
      </c>
      <c r="R91" s="12"/>
    </row>
    <row r="92" spans="1:18">
      <c r="A92" s="1" t="s">
        <v>300</v>
      </c>
      <c r="B92" s="2" t="s">
        <v>19</v>
      </c>
      <c r="C92" s="2" t="s">
        <v>295</v>
      </c>
      <c r="D92" s="2" t="s">
        <v>301</v>
      </c>
      <c r="E92" s="2" t="s">
        <v>37</v>
      </c>
      <c r="F92" s="3">
        <v>44811</v>
      </c>
      <c r="G92" s="4">
        <v>0.68035879629629636</v>
      </c>
      <c r="H92" s="4">
        <v>0.79028935185185178</v>
      </c>
      <c r="I92" s="4">
        <v>0.78991898148148154</v>
      </c>
      <c r="J92" s="2">
        <v>43</v>
      </c>
      <c r="K92" s="2" t="s">
        <v>33</v>
      </c>
      <c r="L92" s="2" t="s">
        <v>302</v>
      </c>
      <c r="M92" s="5" t="s">
        <v>12</v>
      </c>
      <c r="N92" s="5" t="s">
        <v>24</v>
      </c>
      <c r="O92" s="2" t="s">
        <v>107</v>
      </c>
      <c r="P92" s="2" t="s">
        <v>297</v>
      </c>
      <c r="Q92" s="2" t="s">
        <v>27</v>
      </c>
      <c r="R92" s="6"/>
    </row>
    <row r="93" spans="1:18">
      <c r="A93" s="7" t="s">
        <v>303</v>
      </c>
      <c r="B93" s="8" t="s">
        <v>35</v>
      </c>
      <c r="C93" s="8" t="s">
        <v>29</v>
      </c>
      <c r="D93" s="8" t="s">
        <v>304</v>
      </c>
      <c r="E93" s="8" t="s">
        <v>37</v>
      </c>
      <c r="F93" s="9">
        <v>44811</v>
      </c>
      <c r="G93" s="10">
        <v>0.6762731481481481</v>
      </c>
      <c r="H93" s="10">
        <v>0.79679398148148151</v>
      </c>
      <c r="I93" s="10">
        <v>0.8812037037037036</v>
      </c>
      <c r="J93" s="8">
        <v>43</v>
      </c>
      <c r="K93" s="8" t="s">
        <v>23</v>
      </c>
      <c r="L93" s="8"/>
      <c r="M93" s="11" t="s">
        <v>12</v>
      </c>
      <c r="N93" s="11" t="s">
        <v>24</v>
      </c>
      <c r="O93" s="8" t="s">
        <v>91</v>
      </c>
      <c r="P93" s="8" t="s">
        <v>178</v>
      </c>
      <c r="Q93" s="8" t="s">
        <v>78</v>
      </c>
      <c r="R93" s="12"/>
    </row>
    <row r="94" spans="1:18">
      <c r="A94" s="1" t="s">
        <v>305</v>
      </c>
      <c r="B94" s="2" t="s">
        <v>35</v>
      </c>
      <c r="C94" s="2" t="s">
        <v>306</v>
      </c>
      <c r="D94" s="2" t="s">
        <v>304</v>
      </c>
      <c r="E94" s="2" t="s">
        <v>37</v>
      </c>
      <c r="F94" s="3">
        <v>44811</v>
      </c>
      <c r="G94" s="4">
        <v>0.6762731481481481</v>
      </c>
      <c r="H94" s="4">
        <v>0.88216435185185194</v>
      </c>
      <c r="I94" s="4">
        <v>0.8812037037037036</v>
      </c>
      <c r="J94" s="2">
        <v>43</v>
      </c>
      <c r="K94" s="2" t="s">
        <v>33</v>
      </c>
      <c r="L94" s="2" t="s">
        <v>245</v>
      </c>
      <c r="M94" s="5" t="s">
        <v>12</v>
      </c>
      <c r="N94" s="5" t="s">
        <v>24</v>
      </c>
      <c r="O94" s="2" t="s">
        <v>30</v>
      </c>
      <c r="P94" s="2" t="s">
        <v>238</v>
      </c>
      <c r="Q94" s="2" t="s">
        <v>27</v>
      </c>
      <c r="R94" s="6"/>
    </row>
    <row r="95" spans="1:18">
      <c r="A95" s="7" t="s">
        <v>307</v>
      </c>
      <c r="B95" s="8" t="s">
        <v>19</v>
      </c>
      <c r="C95" s="8" t="s">
        <v>295</v>
      </c>
      <c r="D95" s="8" t="s">
        <v>308</v>
      </c>
      <c r="E95" s="8" t="s">
        <v>37</v>
      </c>
      <c r="F95" s="9">
        <v>44812</v>
      </c>
      <c r="G95" s="10">
        <v>0.16170138888888888</v>
      </c>
      <c r="H95" s="10">
        <v>0.16438657407407406</v>
      </c>
      <c r="I95" s="10">
        <v>0.16399305555555554</v>
      </c>
      <c r="J95" s="8">
        <v>43</v>
      </c>
      <c r="K95" s="8" t="s">
        <v>33</v>
      </c>
      <c r="L95" s="8" t="s">
        <v>302</v>
      </c>
      <c r="M95" s="11" t="s">
        <v>12</v>
      </c>
      <c r="N95" s="11" t="s">
        <v>24</v>
      </c>
      <c r="O95" s="8" t="s">
        <v>107</v>
      </c>
      <c r="P95" s="8" t="s">
        <v>297</v>
      </c>
      <c r="Q95" s="8" t="s">
        <v>27</v>
      </c>
      <c r="R95" s="12"/>
    </row>
    <row r="96" spans="1:18">
      <c r="A96" s="1" t="s">
        <v>309</v>
      </c>
      <c r="B96" s="2" t="s">
        <v>19</v>
      </c>
      <c r="C96" s="2" t="s">
        <v>295</v>
      </c>
      <c r="D96" s="2" t="s">
        <v>310</v>
      </c>
      <c r="E96" s="2" t="s">
        <v>37</v>
      </c>
      <c r="F96" s="3">
        <v>44812</v>
      </c>
      <c r="G96" s="4">
        <v>0.16878472222222221</v>
      </c>
      <c r="H96" s="4">
        <v>0.20761574074074074</v>
      </c>
      <c r="I96" s="4">
        <v>0.20731481481481481</v>
      </c>
      <c r="J96" s="2">
        <v>43</v>
      </c>
      <c r="K96" s="2" t="s">
        <v>33</v>
      </c>
      <c r="L96" s="2" t="s">
        <v>311</v>
      </c>
      <c r="M96" s="5" t="s">
        <v>12</v>
      </c>
      <c r="N96" s="5" t="s">
        <v>24</v>
      </c>
      <c r="O96" s="2" t="s">
        <v>25</v>
      </c>
      <c r="P96" s="2" t="s">
        <v>182</v>
      </c>
      <c r="Q96" s="2" t="s">
        <v>27</v>
      </c>
      <c r="R96" s="6"/>
    </row>
    <row r="97" spans="1:18">
      <c r="A97" s="7" t="s">
        <v>312</v>
      </c>
      <c r="B97" s="8" t="s">
        <v>35</v>
      </c>
      <c r="C97" s="8" t="s">
        <v>29</v>
      </c>
      <c r="D97" s="8" t="s">
        <v>313</v>
      </c>
      <c r="E97" s="8" t="s">
        <v>37</v>
      </c>
      <c r="F97" s="9">
        <v>44816</v>
      </c>
      <c r="G97" s="10">
        <v>0.68078703703703702</v>
      </c>
      <c r="H97" s="10">
        <v>0.68119212962962961</v>
      </c>
      <c r="I97" s="10">
        <v>0.68152777777777773</v>
      </c>
      <c r="J97" s="8">
        <v>43</v>
      </c>
      <c r="K97" s="8" t="s">
        <v>23</v>
      </c>
      <c r="L97" s="8"/>
      <c r="M97" s="11" t="s">
        <v>12</v>
      </c>
      <c r="N97" s="11" t="s">
        <v>24</v>
      </c>
      <c r="O97" s="8" t="s">
        <v>192</v>
      </c>
      <c r="P97" s="2" t="s">
        <v>314</v>
      </c>
      <c r="Q97" s="8" t="s">
        <v>27</v>
      </c>
      <c r="R97" s="12"/>
    </row>
    <row r="98" spans="1:18">
      <c r="A98" s="1" t="s">
        <v>315</v>
      </c>
      <c r="B98" s="2" t="s">
        <v>35</v>
      </c>
      <c r="C98" s="2" t="s">
        <v>86</v>
      </c>
      <c r="D98" s="2" t="s">
        <v>313</v>
      </c>
      <c r="E98" s="2" t="s">
        <v>37</v>
      </c>
      <c r="F98" s="3">
        <v>44816</v>
      </c>
      <c r="G98" s="4">
        <v>0.68078703703703702</v>
      </c>
      <c r="H98" s="4">
        <v>0.68174768518518514</v>
      </c>
      <c r="I98" s="4">
        <v>0.68152777777777773</v>
      </c>
      <c r="J98" s="2">
        <v>43</v>
      </c>
      <c r="K98" s="2" t="s">
        <v>33</v>
      </c>
      <c r="L98" s="2" t="s">
        <v>316</v>
      </c>
      <c r="M98" s="5" t="s">
        <v>12</v>
      </c>
      <c r="N98" s="5" t="s">
        <v>24</v>
      </c>
      <c r="O98" s="2" t="s">
        <v>192</v>
      </c>
      <c r="P98" s="2" t="s">
        <v>314</v>
      </c>
      <c r="Q98" s="2" t="s">
        <v>27</v>
      </c>
      <c r="R98" s="6"/>
    </row>
    <row r="99" spans="1:18">
      <c r="A99" s="7" t="s">
        <v>317</v>
      </c>
      <c r="B99" s="8" t="s">
        <v>35</v>
      </c>
      <c r="C99" s="8" t="s">
        <v>29</v>
      </c>
      <c r="D99" s="8" t="s">
        <v>318</v>
      </c>
      <c r="E99" s="8" t="s">
        <v>37</v>
      </c>
      <c r="F99" s="9">
        <v>44816</v>
      </c>
      <c r="G99" s="10">
        <v>0.68226851851851855</v>
      </c>
      <c r="H99" s="10">
        <v>0.68263888888888891</v>
      </c>
      <c r="I99" s="10">
        <v>0.68236111111111108</v>
      </c>
      <c r="J99" s="8">
        <v>43</v>
      </c>
      <c r="K99" s="8" t="s">
        <v>33</v>
      </c>
      <c r="L99" s="8" t="s">
        <v>316</v>
      </c>
      <c r="M99" s="11" t="s">
        <v>12</v>
      </c>
      <c r="N99" s="11" t="s">
        <v>24</v>
      </c>
      <c r="O99" s="8" t="s">
        <v>192</v>
      </c>
      <c r="P99" s="2" t="s">
        <v>314</v>
      </c>
      <c r="Q99" s="8" t="s">
        <v>27</v>
      </c>
      <c r="R99" s="12"/>
    </row>
    <row r="100" spans="1:18">
      <c r="A100" s="1" t="s">
        <v>319</v>
      </c>
      <c r="B100" s="2" t="s">
        <v>35</v>
      </c>
      <c r="C100" s="2" t="s">
        <v>29</v>
      </c>
      <c r="D100" s="2" t="s">
        <v>320</v>
      </c>
      <c r="E100" s="2" t="s">
        <v>37</v>
      </c>
      <c r="F100" s="3">
        <v>44816</v>
      </c>
      <c r="G100" s="4">
        <v>0.69335648148148143</v>
      </c>
      <c r="H100" s="4">
        <v>0.6937268518518519</v>
      </c>
      <c r="I100" s="4">
        <v>0.69407407407407407</v>
      </c>
      <c r="J100" s="2">
        <v>43</v>
      </c>
      <c r="K100" s="2" t="s">
        <v>23</v>
      </c>
      <c r="L100" s="2"/>
      <c r="M100" s="5" t="s">
        <v>12</v>
      </c>
      <c r="N100" s="5" t="s">
        <v>24</v>
      </c>
      <c r="O100" s="2" t="s">
        <v>192</v>
      </c>
      <c r="P100" s="2" t="s">
        <v>314</v>
      </c>
      <c r="Q100" s="2" t="s">
        <v>27</v>
      </c>
      <c r="R100" s="6"/>
    </row>
    <row r="101" spans="1:18">
      <c r="A101" s="7" t="s">
        <v>321</v>
      </c>
      <c r="B101" s="8" t="s">
        <v>35</v>
      </c>
      <c r="C101" s="8" t="s">
        <v>20</v>
      </c>
      <c r="D101" s="8" t="s">
        <v>320</v>
      </c>
      <c r="E101" s="8" t="s">
        <v>37</v>
      </c>
      <c r="F101" s="9">
        <v>44816</v>
      </c>
      <c r="G101" s="10">
        <v>0.69335648148148143</v>
      </c>
      <c r="H101" s="10">
        <v>0.69429398148148147</v>
      </c>
      <c r="I101" s="10">
        <v>0.69407407407407407</v>
      </c>
      <c r="J101" s="8">
        <v>43</v>
      </c>
      <c r="K101" s="8" t="s">
        <v>33</v>
      </c>
      <c r="L101" s="8" t="s">
        <v>316</v>
      </c>
      <c r="M101" s="11" t="s">
        <v>12</v>
      </c>
      <c r="N101" s="11" t="s">
        <v>24</v>
      </c>
      <c r="O101" s="8" t="s">
        <v>192</v>
      </c>
      <c r="P101" s="2" t="s">
        <v>314</v>
      </c>
      <c r="Q101" s="8" t="s">
        <v>27</v>
      </c>
      <c r="R101" s="12"/>
    </row>
    <row r="102" spans="1:18">
      <c r="A102" s="1" t="s">
        <v>322</v>
      </c>
      <c r="B102" s="2" t="s">
        <v>35</v>
      </c>
      <c r="C102" s="2" t="s">
        <v>295</v>
      </c>
      <c r="D102" s="2" t="s">
        <v>323</v>
      </c>
      <c r="E102" s="2" t="s">
        <v>37</v>
      </c>
      <c r="F102" s="3">
        <v>44816</v>
      </c>
      <c r="G102" s="4">
        <v>0.6995717592592593</v>
      </c>
      <c r="H102" s="4">
        <v>0.69997685185185177</v>
      </c>
      <c r="I102" s="4">
        <v>0.70642361111111107</v>
      </c>
      <c r="J102" s="2">
        <v>43</v>
      </c>
      <c r="K102" s="2" t="s">
        <v>23</v>
      </c>
      <c r="L102" s="2"/>
      <c r="M102" s="5" t="s">
        <v>12</v>
      </c>
      <c r="N102" s="5" t="s">
        <v>24</v>
      </c>
      <c r="O102" s="2" t="s">
        <v>192</v>
      </c>
      <c r="P102" s="2" t="s">
        <v>314</v>
      </c>
      <c r="Q102" s="2" t="s">
        <v>27</v>
      </c>
      <c r="R102" s="6"/>
    </row>
    <row r="103" spans="1:18">
      <c r="A103" s="7" t="s">
        <v>324</v>
      </c>
      <c r="B103" s="8" t="s">
        <v>35</v>
      </c>
      <c r="C103" s="8" t="s">
        <v>29</v>
      </c>
      <c r="D103" s="8" t="s">
        <v>323</v>
      </c>
      <c r="E103" s="8" t="s">
        <v>37</v>
      </c>
      <c r="F103" s="9">
        <v>44816</v>
      </c>
      <c r="G103" s="10">
        <v>0.6995717592592593</v>
      </c>
      <c r="H103" s="10">
        <v>0.70539351851851861</v>
      </c>
      <c r="I103" s="10">
        <v>0.70642361111111107</v>
      </c>
      <c r="J103" s="8">
        <v>43</v>
      </c>
      <c r="K103" s="8" t="s">
        <v>23</v>
      </c>
      <c r="L103" s="8"/>
      <c r="M103" s="11" t="s">
        <v>12</v>
      </c>
      <c r="N103" s="11" t="s">
        <v>24</v>
      </c>
      <c r="O103" s="8" t="s">
        <v>192</v>
      </c>
      <c r="P103" s="2" t="s">
        <v>314</v>
      </c>
      <c r="Q103" s="8" t="s">
        <v>27</v>
      </c>
      <c r="R103" s="12"/>
    </row>
    <row r="104" spans="1:18">
      <c r="A104" s="1" t="s">
        <v>325</v>
      </c>
      <c r="B104" s="2" t="s">
        <v>35</v>
      </c>
      <c r="C104" s="2" t="s">
        <v>20</v>
      </c>
      <c r="D104" s="2" t="s">
        <v>323</v>
      </c>
      <c r="E104" s="2" t="s">
        <v>37</v>
      </c>
      <c r="F104" s="3">
        <v>44816</v>
      </c>
      <c r="G104" s="4">
        <v>0.6995717592592593</v>
      </c>
      <c r="H104" s="4">
        <v>0.70672453703703697</v>
      </c>
      <c r="I104" s="4">
        <v>0.70642361111111107</v>
      </c>
      <c r="J104" s="2">
        <v>43</v>
      </c>
      <c r="K104" s="2" t="s">
        <v>33</v>
      </c>
      <c r="L104" s="2" t="s">
        <v>316</v>
      </c>
      <c r="M104" s="5" t="s">
        <v>12</v>
      </c>
      <c r="N104" s="5" t="s">
        <v>24</v>
      </c>
      <c r="O104" s="2" t="s">
        <v>192</v>
      </c>
      <c r="P104" s="2" t="s">
        <v>314</v>
      </c>
      <c r="Q104" s="2" t="s">
        <v>27</v>
      </c>
      <c r="R104" s="6"/>
    </row>
    <row r="105" spans="1:18">
      <c r="A105" s="7" t="s">
        <v>326</v>
      </c>
      <c r="B105" s="8" t="s">
        <v>35</v>
      </c>
      <c r="C105" s="8" t="s">
        <v>20</v>
      </c>
      <c r="D105" s="8" t="s">
        <v>327</v>
      </c>
      <c r="E105" s="8" t="s">
        <v>37</v>
      </c>
      <c r="F105" s="9">
        <v>44816</v>
      </c>
      <c r="G105" s="10">
        <v>0.70818287037037031</v>
      </c>
      <c r="H105" s="10">
        <v>0.7085300925925927</v>
      </c>
      <c r="I105" s="10">
        <v>0.70822916666666658</v>
      </c>
      <c r="J105" s="8">
        <v>43</v>
      </c>
      <c r="K105" s="8" t="s">
        <v>33</v>
      </c>
      <c r="L105" s="8" t="s">
        <v>328</v>
      </c>
      <c r="M105" s="11" t="s">
        <v>12</v>
      </c>
      <c r="N105" s="11" t="s">
        <v>24</v>
      </c>
      <c r="O105" s="8" t="s">
        <v>192</v>
      </c>
      <c r="P105" s="8" t="s">
        <v>314</v>
      </c>
      <c r="Q105" s="8" t="s">
        <v>27</v>
      </c>
      <c r="R105" s="12"/>
    </row>
    <row r="106" spans="1:18">
      <c r="A106" s="1" t="s">
        <v>329</v>
      </c>
      <c r="B106" s="2" t="s">
        <v>273</v>
      </c>
      <c r="C106" s="2" t="s">
        <v>29</v>
      </c>
      <c r="D106" s="2" t="s">
        <v>330</v>
      </c>
      <c r="E106" s="2" t="s">
        <v>37</v>
      </c>
      <c r="F106" s="3">
        <v>44816</v>
      </c>
      <c r="G106" s="4">
        <v>0.71245370370370376</v>
      </c>
      <c r="H106" s="4">
        <v>0.86953703703703711</v>
      </c>
      <c r="I106" s="4">
        <v>0.869074074074074</v>
      </c>
      <c r="J106" s="2">
        <v>47</v>
      </c>
      <c r="K106" s="2" t="s">
        <v>33</v>
      </c>
      <c r="L106" s="2" t="s">
        <v>331</v>
      </c>
      <c r="M106" s="5" t="s">
        <v>12</v>
      </c>
      <c r="N106" s="5" t="s">
        <v>24</v>
      </c>
      <c r="O106" s="2" t="s">
        <v>30</v>
      </c>
      <c r="P106" s="2" t="s">
        <v>332</v>
      </c>
      <c r="Q106" s="2" t="s">
        <v>27</v>
      </c>
      <c r="R106" s="6"/>
    </row>
    <row r="107" spans="1:18">
      <c r="A107" s="7" t="s">
        <v>333</v>
      </c>
      <c r="B107" s="8" t="s">
        <v>35</v>
      </c>
      <c r="C107" s="8" t="s">
        <v>20</v>
      </c>
      <c r="D107" s="8" t="s">
        <v>334</v>
      </c>
      <c r="E107" s="8" t="s">
        <v>37</v>
      </c>
      <c r="F107" s="9">
        <v>44817</v>
      </c>
      <c r="G107" s="10">
        <v>0.3961689814814815</v>
      </c>
      <c r="H107" s="10">
        <v>0.43684027777777779</v>
      </c>
      <c r="I107" s="10">
        <v>0.43594907407407407</v>
      </c>
      <c r="J107" s="8">
        <v>44</v>
      </c>
      <c r="K107" s="8" t="s">
        <v>33</v>
      </c>
      <c r="L107" s="8" t="s">
        <v>335</v>
      </c>
      <c r="M107" s="11" t="s">
        <v>12</v>
      </c>
      <c r="N107" s="11" t="s">
        <v>24</v>
      </c>
      <c r="O107" s="8" t="s">
        <v>61</v>
      </c>
      <c r="P107" s="2" t="s">
        <v>178</v>
      </c>
      <c r="Q107" s="8" t="s">
        <v>27</v>
      </c>
      <c r="R107" s="12"/>
    </row>
    <row r="108" spans="1:18">
      <c r="A108" s="1" t="s">
        <v>336</v>
      </c>
      <c r="B108" s="2" t="s">
        <v>35</v>
      </c>
      <c r="C108" s="2" t="s">
        <v>29</v>
      </c>
      <c r="D108" s="2" t="s">
        <v>337</v>
      </c>
      <c r="E108" s="2" t="s">
        <v>37</v>
      </c>
      <c r="F108" s="3">
        <v>44817</v>
      </c>
      <c r="G108" s="4">
        <v>0.45711805555555557</v>
      </c>
      <c r="H108" s="4">
        <v>0.46625</v>
      </c>
      <c r="I108" s="4">
        <v>0.4682291666666667</v>
      </c>
      <c r="J108" s="2">
        <v>44</v>
      </c>
      <c r="K108" s="2" t="s">
        <v>23</v>
      </c>
      <c r="L108" s="2"/>
      <c r="M108" s="5" t="s">
        <v>12</v>
      </c>
      <c r="N108" s="5" t="s">
        <v>24</v>
      </c>
      <c r="O108" s="2" t="s">
        <v>192</v>
      </c>
      <c r="P108" s="2" t="s">
        <v>314</v>
      </c>
      <c r="Q108" s="2" t="s">
        <v>27</v>
      </c>
      <c r="R108" s="6"/>
    </row>
    <row r="109" spans="1:18">
      <c r="A109" s="7" t="s">
        <v>338</v>
      </c>
      <c r="B109" s="8" t="s">
        <v>35</v>
      </c>
      <c r="C109" s="8" t="s">
        <v>20</v>
      </c>
      <c r="D109" s="8" t="s">
        <v>337</v>
      </c>
      <c r="E109" s="8" t="s">
        <v>37</v>
      </c>
      <c r="F109" s="9">
        <v>44817</v>
      </c>
      <c r="G109" s="10">
        <v>0.45711805555555557</v>
      </c>
      <c r="H109" s="10">
        <v>0.46798611111111116</v>
      </c>
      <c r="I109" s="10">
        <v>0.4682291666666667</v>
      </c>
      <c r="J109" s="8">
        <v>44</v>
      </c>
      <c r="K109" s="8" t="s">
        <v>23</v>
      </c>
      <c r="L109" s="8"/>
      <c r="M109" s="11" t="s">
        <v>12</v>
      </c>
      <c r="N109" s="11" t="s">
        <v>24</v>
      </c>
      <c r="O109" s="8" t="s">
        <v>192</v>
      </c>
      <c r="P109" s="2" t="s">
        <v>314</v>
      </c>
      <c r="Q109" s="8" t="s">
        <v>27</v>
      </c>
      <c r="R109" s="12"/>
    </row>
    <row r="110" spans="1:18">
      <c r="A110" s="1" t="s">
        <v>339</v>
      </c>
      <c r="B110" s="2" t="s">
        <v>35</v>
      </c>
      <c r="C110" s="2" t="s">
        <v>295</v>
      </c>
      <c r="D110" s="2" t="s">
        <v>337</v>
      </c>
      <c r="E110" s="2" t="s">
        <v>37</v>
      </c>
      <c r="F110" s="3">
        <v>44817</v>
      </c>
      <c r="G110" s="4">
        <v>0.45711805555555557</v>
      </c>
      <c r="H110" s="4">
        <v>0.46841435185185182</v>
      </c>
      <c r="I110" s="4">
        <v>0.4682291666666667</v>
      </c>
      <c r="J110" s="2">
        <v>44</v>
      </c>
      <c r="K110" s="2" t="s">
        <v>33</v>
      </c>
      <c r="L110" s="2" t="s">
        <v>340</v>
      </c>
      <c r="M110" s="5" t="s">
        <v>12</v>
      </c>
      <c r="N110" s="5" t="s">
        <v>24</v>
      </c>
      <c r="O110" s="2" t="s">
        <v>192</v>
      </c>
      <c r="P110" s="2" t="s">
        <v>314</v>
      </c>
      <c r="Q110" s="2" t="s">
        <v>27</v>
      </c>
      <c r="R110" s="6"/>
    </row>
    <row r="111" spans="1:18">
      <c r="A111" s="7" t="s">
        <v>341</v>
      </c>
      <c r="B111" s="8" t="s">
        <v>35</v>
      </c>
      <c r="C111" s="8" t="s">
        <v>47</v>
      </c>
      <c r="D111" s="8" t="s">
        <v>342</v>
      </c>
      <c r="E111" s="8" t="s">
        <v>37</v>
      </c>
      <c r="F111" s="9">
        <v>44817</v>
      </c>
      <c r="G111" s="10">
        <v>0.47765046296296299</v>
      </c>
      <c r="H111" s="10">
        <v>0.53134259259259264</v>
      </c>
      <c r="I111" s="10">
        <v>0.53035879629629623</v>
      </c>
      <c r="J111" s="8">
        <v>44</v>
      </c>
      <c r="K111" s="8" t="s">
        <v>33</v>
      </c>
      <c r="L111" s="8" t="s">
        <v>343</v>
      </c>
      <c r="M111" s="11" t="s">
        <v>12</v>
      </c>
      <c r="N111" s="11" t="s">
        <v>24</v>
      </c>
      <c r="O111" s="8" t="s">
        <v>91</v>
      </c>
      <c r="P111" s="8" t="s">
        <v>344</v>
      </c>
      <c r="Q111" s="8" t="s">
        <v>27</v>
      </c>
      <c r="R111" s="12"/>
    </row>
    <row r="112" spans="1:18">
      <c r="A112" s="1" t="s">
        <v>345</v>
      </c>
      <c r="B112" s="2" t="s">
        <v>19</v>
      </c>
      <c r="C112" s="2" t="s">
        <v>47</v>
      </c>
      <c r="D112" s="2" t="s">
        <v>346</v>
      </c>
      <c r="E112" s="2" t="s">
        <v>37</v>
      </c>
      <c r="F112" s="3">
        <v>44818</v>
      </c>
      <c r="G112" s="4">
        <v>0.89035879629629633</v>
      </c>
      <c r="H112" s="4">
        <v>0.18967592592592594</v>
      </c>
      <c r="I112" s="4">
        <v>0.18934027777777776</v>
      </c>
      <c r="J112" s="2">
        <v>44</v>
      </c>
      <c r="K112" s="2" t="s">
        <v>33</v>
      </c>
      <c r="L112" s="2" t="s">
        <v>347</v>
      </c>
      <c r="M112" s="5" t="s">
        <v>12</v>
      </c>
      <c r="N112" s="5" t="s">
        <v>24</v>
      </c>
      <c r="O112" s="2" t="s">
        <v>123</v>
      </c>
      <c r="P112" s="2" t="s">
        <v>206</v>
      </c>
      <c r="Q112" s="2" t="s">
        <v>27</v>
      </c>
      <c r="R112" s="6"/>
    </row>
    <row r="113" spans="1:18">
      <c r="A113" s="7" t="s">
        <v>348</v>
      </c>
      <c r="B113" s="8" t="s">
        <v>35</v>
      </c>
      <c r="C113" s="8" t="s">
        <v>20</v>
      </c>
      <c r="D113" s="8" t="s">
        <v>349</v>
      </c>
      <c r="E113" s="8" t="s">
        <v>37</v>
      </c>
      <c r="F113" s="9">
        <v>44818</v>
      </c>
      <c r="G113" s="10">
        <v>0.50556712962962969</v>
      </c>
      <c r="H113" s="10">
        <v>0.50855324074074071</v>
      </c>
      <c r="I113" s="10">
        <v>0.59837962962962965</v>
      </c>
      <c r="J113" s="8">
        <v>43</v>
      </c>
      <c r="K113" s="8" t="s">
        <v>23</v>
      </c>
      <c r="L113" s="8"/>
      <c r="M113" s="11" t="s">
        <v>12</v>
      </c>
      <c r="N113" s="11" t="s">
        <v>24</v>
      </c>
      <c r="O113" s="8" t="s">
        <v>123</v>
      </c>
      <c r="P113" s="2" t="s">
        <v>350</v>
      </c>
      <c r="Q113" s="8" t="s">
        <v>27</v>
      </c>
      <c r="R113" s="6"/>
    </row>
    <row r="114" spans="1:18">
      <c r="A114" s="1" t="s">
        <v>351</v>
      </c>
      <c r="B114" s="2" t="s">
        <v>35</v>
      </c>
      <c r="C114" s="2" t="s">
        <v>295</v>
      </c>
      <c r="D114" s="2" t="s">
        <v>349</v>
      </c>
      <c r="E114" s="2" t="s">
        <v>37</v>
      </c>
      <c r="F114" s="3">
        <v>44818</v>
      </c>
      <c r="G114" s="4">
        <v>0.50556712962962969</v>
      </c>
      <c r="H114" s="4">
        <v>0.52153935185185185</v>
      </c>
      <c r="I114" s="4">
        <v>0.59837962962962965</v>
      </c>
      <c r="J114" s="2">
        <v>43</v>
      </c>
      <c r="K114" s="2" t="s">
        <v>23</v>
      </c>
      <c r="L114" s="2"/>
      <c r="M114" s="5" t="s">
        <v>12</v>
      </c>
      <c r="N114" s="5" t="s">
        <v>24</v>
      </c>
      <c r="O114" s="2" t="s">
        <v>80</v>
      </c>
      <c r="P114" s="2" t="s">
        <v>350</v>
      </c>
      <c r="Q114" s="2" t="s">
        <v>27</v>
      </c>
      <c r="R114" s="6"/>
    </row>
    <row r="115" spans="1:18">
      <c r="A115" s="7" t="s">
        <v>352</v>
      </c>
      <c r="B115" s="8" t="s">
        <v>35</v>
      </c>
      <c r="C115" s="8" t="s">
        <v>47</v>
      </c>
      <c r="D115" s="8" t="s">
        <v>349</v>
      </c>
      <c r="E115" s="8" t="s">
        <v>37</v>
      </c>
      <c r="F115" s="9">
        <v>44818</v>
      </c>
      <c r="G115" s="10">
        <v>0.50556712962962969</v>
      </c>
      <c r="H115" s="10">
        <v>0.59877314814814808</v>
      </c>
      <c r="I115" s="10">
        <v>0.59837962962962965</v>
      </c>
      <c r="J115" s="8">
        <v>43</v>
      </c>
      <c r="K115" s="8" t="s">
        <v>33</v>
      </c>
      <c r="L115" s="8" t="s">
        <v>353</v>
      </c>
      <c r="M115" s="11" t="s">
        <v>12</v>
      </c>
      <c r="N115" s="11" t="s">
        <v>24</v>
      </c>
      <c r="O115" s="8" t="s">
        <v>25</v>
      </c>
      <c r="P115" s="8" t="s">
        <v>354</v>
      </c>
      <c r="Q115" s="8" t="s">
        <v>27</v>
      </c>
      <c r="R115" s="12"/>
    </row>
    <row r="116" spans="1:18">
      <c r="A116" s="1" t="s">
        <v>355</v>
      </c>
      <c r="B116" s="2" t="s">
        <v>356</v>
      </c>
      <c r="C116" s="2" t="s">
        <v>47</v>
      </c>
      <c r="D116" s="2" t="s">
        <v>357</v>
      </c>
      <c r="E116" s="2" t="s">
        <v>37</v>
      </c>
      <c r="F116" s="3">
        <v>44818</v>
      </c>
      <c r="G116" s="4">
        <v>0.62954861111111116</v>
      </c>
      <c r="H116" s="4">
        <v>0.83523148148148152</v>
      </c>
      <c r="I116" s="4">
        <v>0.83486111111111105</v>
      </c>
      <c r="J116" s="2">
        <v>47</v>
      </c>
      <c r="K116" s="2" t="s">
        <v>33</v>
      </c>
      <c r="L116" s="2" t="s">
        <v>358</v>
      </c>
      <c r="M116" s="5" t="s">
        <v>12</v>
      </c>
      <c r="N116" s="5" t="s">
        <v>24</v>
      </c>
      <c r="O116" s="2" t="s">
        <v>80</v>
      </c>
      <c r="P116" s="2" t="s">
        <v>359</v>
      </c>
      <c r="Q116" s="2" t="s">
        <v>27</v>
      </c>
      <c r="R116" s="6"/>
    </row>
    <row r="117" spans="1:18">
      <c r="A117" s="7" t="s">
        <v>360</v>
      </c>
      <c r="B117" s="8" t="s">
        <v>35</v>
      </c>
      <c r="C117" s="8" t="s">
        <v>20</v>
      </c>
      <c r="D117" s="8" t="s">
        <v>361</v>
      </c>
      <c r="E117" s="8" t="s">
        <v>22</v>
      </c>
      <c r="F117" s="9">
        <v>44818</v>
      </c>
      <c r="G117" s="10">
        <v>0.88457175925925924</v>
      </c>
      <c r="H117" s="10">
        <v>0.88530092592592602</v>
      </c>
      <c r="I117" s="10">
        <v>0.89405092592592583</v>
      </c>
      <c r="J117" s="8">
        <v>43</v>
      </c>
      <c r="K117" s="8" t="s">
        <v>33</v>
      </c>
      <c r="L117" s="8"/>
      <c r="M117" s="11" t="s">
        <v>12</v>
      </c>
      <c r="N117" s="11" t="s">
        <v>24</v>
      </c>
      <c r="O117" s="8" t="s">
        <v>30</v>
      </c>
      <c r="P117" s="2" t="s">
        <v>178</v>
      </c>
      <c r="Q117" s="8" t="s">
        <v>27</v>
      </c>
      <c r="R117" s="12"/>
    </row>
    <row r="118" spans="1:18">
      <c r="A118" s="1" t="s">
        <v>362</v>
      </c>
      <c r="B118" s="2" t="s">
        <v>35</v>
      </c>
      <c r="C118" s="2" t="s">
        <v>47</v>
      </c>
      <c r="D118" s="2" t="s">
        <v>363</v>
      </c>
      <c r="E118" s="2" t="s">
        <v>37</v>
      </c>
      <c r="F118" s="3">
        <v>44818</v>
      </c>
      <c r="G118" s="4">
        <v>0.89841435185185192</v>
      </c>
      <c r="H118" s="4">
        <v>0.91663194444444451</v>
      </c>
      <c r="I118" s="4">
        <v>0.9356712962962962</v>
      </c>
      <c r="J118" s="2">
        <v>43</v>
      </c>
      <c r="K118" s="2" t="s">
        <v>23</v>
      </c>
      <c r="L118" s="2"/>
      <c r="M118" s="5" t="s">
        <v>12</v>
      </c>
      <c r="N118" s="5" t="s">
        <v>24</v>
      </c>
      <c r="O118" s="2" t="s">
        <v>25</v>
      </c>
      <c r="P118" s="2" t="s">
        <v>354</v>
      </c>
      <c r="Q118" s="2" t="s">
        <v>27</v>
      </c>
      <c r="R118" s="6"/>
    </row>
    <row r="119" spans="1:18">
      <c r="A119" s="7" t="s">
        <v>364</v>
      </c>
      <c r="B119" s="8" t="s">
        <v>35</v>
      </c>
      <c r="C119" s="8" t="s">
        <v>29</v>
      </c>
      <c r="D119" s="8" t="s">
        <v>363</v>
      </c>
      <c r="E119" s="8" t="s">
        <v>37</v>
      </c>
      <c r="F119" s="9">
        <v>44818</v>
      </c>
      <c r="G119" s="10">
        <v>0.89841435185185192</v>
      </c>
      <c r="H119" s="10">
        <v>0.9361342592592593</v>
      </c>
      <c r="I119" s="10">
        <v>0.9356712962962962</v>
      </c>
      <c r="J119" s="8">
        <v>43</v>
      </c>
      <c r="K119" s="8" t="s">
        <v>33</v>
      </c>
      <c r="L119" s="8" t="s">
        <v>365</v>
      </c>
      <c r="M119" s="11" t="s">
        <v>12</v>
      </c>
      <c r="N119" s="11" t="s">
        <v>24</v>
      </c>
      <c r="O119" s="8" t="s">
        <v>25</v>
      </c>
      <c r="P119" s="8" t="s">
        <v>354</v>
      </c>
      <c r="Q119" s="8" t="s">
        <v>27</v>
      </c>
      <c r="R119" s="12"/>
    </row>
    <row r="120" spans="1:18">
      <c r="A120" s="1" t="s">
        <v>366</v>
      </c>
      <c r="B120" s="2" t="s">
        <v>35</v>
      </c>
      <c r="C120" s="2"/>
      <c r="D120" s="2" t="s">
        <v>367</v>
      </c>
      <c r="E120" s="2" t="s">
        <v>37</v>
      </c>
      <c r="F120" s="3">
        <v>44819</v>
      </c>
      <c r="G120" s="4">
        <v>0.4306828703703704</v>
      </c>
      <c r="H120" s="4">
        <v>0.44292824074074072</v>
      </c>
      <c r="I120" s="4">
        <v>0.44253472222222223</v>
      </c>
      <c r="J120" s="2">
        <v>43</v>
      </c>
      <c r="K120" s="2" t="s">
        <v>33</v>
      </c>
      <c r="L120" s="2" t="s">
        <v>293</v>
      </c>
      <c r="M120" s="5" t="s">
        <v>12</v>
      </c>
      <c r="N120" s="5" t="s">
        <v>24</v>
      </c>
      <c r="O120" s="2" t="s">
        <v>80</v>
      </c>
      <c r="P120" s="2" t="s">
        <v>53</v>
      </c>
      <c r="Q120" s="2" t="s">
        <v>27</v>
      </c>
      <c r="R120" s="6"/>
    </row>
    <row r="121" spans="1:18">
      <c r="A121" s="7" t="s">
        <v>368</v>
      </c>
      <c r="B121" s="8" t="s">
        <v>35</v>
      </c>
      <c r="C121" s="8"/>
      <c r="D121" s="8" t="s">
        <v>369</v>
      </c>
      <c r="E121" s="8"/>
      <c r="F121" s="9">
        <v>44819</v>
      </c>
      <c r="G121" s="10">
        <v>0.45825231481481482</v>
      </c>
      <c r="H121" s="10">
        <v>0.45870370370370367</v>
      </c>
      <c r="I121" s="10"/>
      <c r="J121" s="8">
        <v>43</v>
      </c>
      <c r="K121" s="8" t="s">
        <v>33</v>
      </c>
      <c r="L121" s="8"/>
      <c r="M121" s="11" t="s">
        <v>12</v>
      </c>
      <c r="N121" s="11" t="s">
        <v>24</v>
      </c>
      <c r="O121" s="8" t="s">
        <v>370</v>
      </c>
      <c r="P121" s="8" t="s">
        <v>53</v>
      </c>
      <c r="Q121" s="8" t="s">
        <v>27</v>
      </c>
      <c r="R121" s="12"/>
    </row>
    <row r="122" spans="1:18">
      <c r="A122" s="1" t="s">
        <v>371</v>
      </c>
      <c r="B122" s="2" t="s">
        <v>19</v>
      </c>
      <c r="C122" s="2"/>
      <c r="D122" s="2" t="s">
        <v>372</v>
      </c>
      <c r="E122" s="2" t="s">
        <v>37</v>
      </c>
      <c r="F122" s="3">
        <v>44819</v>
      </c>
      <c r="G122" s="4">
        <v>0.4151157407407407</v>
      </c>
      <c r="H122" s="4">
        <v>0.48076388888888894</v>
      </c>
      <c r="I122" s="4">
        <v>0.48040509259259262</v>
      </c>
      <c r="J122" s="2">
        <v>43</v>
      </c>
      <c r="K122" s="2" t="s">
        <v>33</v>
      </c>
      <c r="L122" s="2" t="s">
        <v>373</v>
      </c>
      <c r="M122" s="5" t="s">
        <v>12</v>
      </c>
      <c r="N122" s="5" t="s">
        <v>24</v>
      </c>
      <c r="O122" s="2" t="s">
        <v>374</v>
      </c>
      <c r="P122" s="2" t="s">
        <v>375</v>
      </c>
      <c r="Q122" s="2" t="s">
        <v>27</v>
      </c>
      <c r="R122" s="6"/>
    </row>
    <row r="123" spans="1:18">
      <c r="A123" s="7" t="s">
        <v>376</v>
      </c>
      <c r="B123" s="8" t="s">
        <v>35</v>
      </c>
      <c r="C123" s="8"/>
      <c r="D123" s="8" t="s">
        <v>377</v>
      </c>
      <c r="E123" s="8" t="s">
        <v>37</v>
      </c>
      <c r="F123" s="9">
        <v>44819</v>
      </c>
      <c r="G123" s="10">
        <v>0.49008101851851849</v>
      </c>
      <c r="H123" s="10">
        <v>0.53637731481481488</v>
      </c>
      <c r="I123" s="10">
        <v>0.53666666666666674</v>
      </c>
      <c r="J123" s="8">
        <v>43</v>
      </c>
      <c r="K123" s="8" t="s">
        <v>23</v>
      </c>
      <c r="L123" s="8"/>
      <c r="M123" s="11" t="s">
        <v>12</v>
      </c>
      <c r="N123" s="11" t="s">
        <v>24</v>
      </c>
      <c r="O123" s="8" t="s">
        <v>91</v>
      </c>
      <c r="P123" s="2" t="s">
        <v>354</v>
      </c>
      <c r="Q123" s="8" t="s">
        <v>78</v>
      </c>
      <c r="R123" s="12"/>
    </row>
    <row r="124" spans="1:18">
      <c r="A124" s="1" t="s">
        <v>378</v>
      </c>
      <c r="B124" s="2" t="s">
        <v>35</v>
      </c>
      <c r="C124" s="2"/>
      <c r="D124" s="2" t="s">
        <v>377</v>
      </c>
      <c r="E124" s="2" t="s">
        <v>37</v>
      </c>
      <c r="F124" s="3">
        <v>44819</v>
      </c>
      <c r="G124" s="4">
        <v>0.49008101851851849</v>
      </c>
      <c r="H124" s="4">
        <v>0.53733796296296299</v>
      </c>
      <c r="I124" s="4">
        <v>0.53666666666666674</v>
      </c>
      <c r="J124" s="2">
        <v>43</v>
      </c>
      <c r="K124" s="2" t="s">
        <v>33</v>
      </c>
      <c r="L124" s="2" t="s">
        <v>245</v>
      </c>
      <c r="M124" s="5" t="s">
        <v>12</v>
      </c>
      <c r="N124" s="5" t="s">
        <v>24</v>
      </c>
      <c r="O124" s="2" t="s">
        <v>30</v>
      </c>
      <c r="P124" s="2" t="s">
        <v>354</v>
      </c>
      <c r="Q124" s="2" t="s">
        <v>27</v>
      </c>
      <c r="R124" s="22"/>
    </row>
    <row r="125" spans="1:18">
      <c r="A125" s="7" t="s">
        <v>379</v>
      </c>
      <c r="B125" s="8" t="s">
        <v>35</v>
      </c>
      <c r="C125" s="8"/>
      <c r="D125" s="8" t="s">
        <v>380</v>
      </c>
      <c r="E125" s="8" t="s">
        <v>37</v>
      </c>
      <c r="F125" s="9">
        <v>44819</v>
      </c>
      <c r="G125" s="10">
        <v>0.56815972222222222</v>
      </c>
      <c r="H125" s="10">
        <v>0.5685648148148148</v>
      </c>
      <c r="I125" s="10">
        <v>0.56827546296296294</v>
      </c>
      <c r="J125" s="8">
        <v>43</v>
      </c>
      <c r="K125" s="8" t="s">
        <v>23</v>
      </c>
      <c r="L125" s="8"/>
      <c r="M125" s="11" t="s">
        <v>12</v>
      </c>
      <c r="N125" s="11" t="s">
        <v>24</v>
      </c>
      <c r="O125" s="8" t="s">
        <v>192</v>
      </c>
      <c r="P125" s="2" t="s">
        <v>314</v>
      </c>
      <c r="Q125" s="8" t="s">
        <v>27</v>
      </c>
      <c r="R125" s="12"/>
    </row>
    <row r="126" spans="1:18">
      <c r="A126" s="1" t="s">
        <v>381</v>
      </c>
      <c r="B126" s="2" t="s">
        <v>35</v>
      </c>
      <c r="C126" s="2"/>
      <c r="D126" s="2" t="s">
        <v>380</v>
      </c>
      <c r="E126" s="2" t="s">
        <v>37</v>
      </c>
      <c r="F126" s="3">
        <v>44819</v>
      </c>
      <c r="G126" s="4">
        <v>0.56815972222222222</v>
      </c>
      <c r="H126" s="4">
        <v>0.5709953703703704</v>
      </c>
      <c r="I126" s="4">
        <v>0.56827546296296294</v>
      </c>
      <c r="J126" s="2">
        <v>43</v>
      </c>
      <c r="K126" s="2" t="s">
        <v>33</v>
      </c>
      <c r="L126" s="2" t="s">
        <v>382</v>
      </c>
      <c r="M126" s="5" t="s">
        <v>12</v>
      </c>
      <c r="N126" s="5" t="s">
        <v>24</v>
      </c>
      <c r="O126" s="2" t="s">
        <v>192</v>
      </c>
      <c r="P126" s="2" t="s">
        <v>314</v>
      </c>
      <c r="Q126" s="2" t="s">
        <v>27</v>
      </c>
      <c r="R126" s="6"/>
    </row>
    <row r="127" spans="1:18">
      <c r="A127" s="7" t="s">
        <v>383</v>
      </c>
      <c r="B127" s="8" t="s">
        <v>35</v>
      </c>
      <c r="C127" s="8"/>
      <c r="D127" s="8" t="s">
        <v>384</v>
      </c>
      <c r="E127" s="8" t="s">
        <v>37</v>
      </c>
      <c r="F127" s="9">
        <v>44819</v>
      </c>
      <c r="G127" s="10">
        <v>0.57351851851851854</v>
      </c>
      <c r="H127" s="10">
        <v>0.6334953703703704</v>
      </c>
      <c r="I127" s="10">
        <v>0.6762731481481481</v>
      </c>
      <c r="J127" s="8">
        <v>43</v>
      </c>
      <c r="K127" s="8" t="s">
        <v>33</v>
      </c>
      <c r="L127" s="8" t="s">
        <v>385</v>
      </c>
      <c r="M127" s="11" t="s">
        <v>12</v>
      </c>
      <c r="N127" s="11" t="s">
        <v>24</v>
      </c>
      <c r="O127" s="8" t="s">
        <v>91</v>
      </c>
      <c r="P127" s="2" t="s">
        <v>344</v>
      </c>
      <c r="Q127" s="8" t="s">
        <v>27</v>
      </c>
      <c r="R127" s="12"/>
    </row>
    <row r="128" spans="1:18">
      <c r="A128" s="1" t="s">
        <v>386</v>
      </c>
      <c r="B128" s="2" t="s">
        <v>35</v>
      </c>
      <c r="C128" s="2"/>
      <c r="D128" s="2" t="s">
        <v>387</v>
      </c>
      <c r="E128" s="2" t="s">
        <v>388</v>
      </c>
      <c r="F128" s="3">
        <v>44819</v>
      </c>
      <c r="G128" s="4">
        <v>0.67775462962962962</v>
      </c>
      <c r="H128" s="4">
        <v>0.68125000000000002</v>
      </c>
      <c r="I128" s="4">
        <v>0.98916666666666664</v>
      </c>
      <c r="J128" s="2">
        <v>43</v>
      </c>
      <c r="K128" s="2" t="s">
        <v>23</v>
      </c>
      <c r="L128" s="2"/>
      <c r="M128" s="5" t="s">
        <v>12</v>
      </c>
      <c r="N128" s="5" t="s">
        <v>24</v>
      </c>
      <c r="O128" s="2" t="s">
        <v>91</v>
      </c>
      <c r="P128" s="2" t="s">
        <v>344</v>
      </c>
      <c r="Q128" s="2" t="s">
        <v>27</v>
      </c>
      <c r="R128" s="6"/>
    </row>
    <row r="129" spans="1:18">
      <c r="A129" s="7" t="s">
        <v>389</v>
      </c>
      <c r="B129" s="8" t="s">
        <v>19</v>
      </c>
      <c r="C129" s="8"/>
      <c r="D129" s="8" t="s">
        <v>390</v>
      </c>
      <c r="E129" s="8"/>
      <c r="F129" s="9">
        <v>44819</v>
      </c>
      <c r="G129" s="10">
        <v>0.68756944444444434</v>
      </c>
      <c r="H129" s="10">
        <v>0.6912152777777778</v>
      </c>
      <c r="I129" s="10"/>
      <c r="J129" s="8">
        <v>43</v>
      </c>
      <c r="K129" s="8" t="s">
        <v>33</v>
      </c>
      <c r="L129" s="8"/>
      <c r="M129" s="11" t="s">
        <v>12</v>
      </c>
      <c r="N129" s="11" t="s">
        <v>24</v>
      </c>
      <c r="O129" s="8" t="s">
        <v>25</v>
      </c>
      <c r="P129" s="8" t="s">
        <v>53</v>
      </c>
      <c r="Q129" s="8" t="s">
        <v>27</v>
      </c>
      <c r="R129" s="12"/>
    </row>
    <row r="130" spans="1:18">
      <c r="A130" s="1" t="s">
        <v>391</v>
      </c>
      <c r="B130" s="2" t="s">
        <v>19</v>
      </c>
      <c r="C130" s="2"/>
      <c r="D130" s="2" t="s">
        <v>392</v>
      </c>
      <c r="E130" s="2" t="s">
        <v>37</v>
      </c>
      <c r="F130" s="3">
        <v>44820</v>
      </c>
      <c r="G130" s="4">
        <v>0.70060185185185186</v>
      </c>
      <c r="H130" s="4">
        <v>8.671296296296295E-2</v>
      </c>
      <c r="I130" s="4">
        <v>8.5590277777777779E-2</v>
      </c>
      <c r="J130" s="2">
        <v>43</v>
      </c>
      <c r="K130" s="2" t="s">
        <v>33</v>
      </c>
      <c r="L130" s="2" t="s">
        <v>393</v>
      </c>
      <c r="M130" s="5" t="s">
        <v>12</v>
      </c>
      <c r="N130" s="5" t="s">
        <v>24</v>
      </c>
      <c r="O130" s="2" t="s">
        <v>61</v>
      </c>
      <c r="P130" s="2" t="s">
        <v>89</v>
      </c>
      <c r="Q130" s="2" t="s">
        <v>27</v>
      </c>
      <c r="R130" s="6"/>
    </row>
    <row r="131" spans="1:18">
      <c r="A131" s="7" t="s">
        <v>394</v>
      </c>
      <c r="B131" s="8" t="s">
        <v>19</v>
      </c>
      <c r="C131" s="8"/>
      <c r="D131" s="8" t="s">
        <v>395</v>
      </c>
      <c r="E131" s="8" t="s">
        <v>37</v>
      </c>
      <c r="F131" s="9">
        <v>44820</v>
      </c>
      <c r="G131" s="10">
        <v>0.55880787037037039</v>
      </c>
      <c r="H131" s="10">
        <v>0.55906250000000002</v>
      </c>
      <c r="I131" s="10">
        <v>0.56033564814814818</v>
      </c>
      <c r="J131" s="8">
        <v>43</v>
      </c>
      <c r="K131" s="8" t="s">
        <v>23</v>
      </c>
      <c r="L131" s="8"/>
      <c r="M131" s="11" t="s">
        <v>12</v>
      </c>
      <c r="N131" s="11" t="s">
        <v>24</v>
      </c>
      <c r="O131" s="8" t="s">
        <v>39</v>
      </c>
      <c r="P131" s="8"/>
      <c r="Q131" s="8" t="s">
        <v>78</v>
      </c>
      <c r="R131" s="12"/>
    </row>
    <row r="132" spans="1:18">
      <c r="A132" s="1" t="s">
        <v>396</v>
      </c>
      <c r="B132" s="2" t="s">
        <v>19</v>
      </c>
      <c r="C132" s="2"/>
      <c r="D132" s="2" t="s">
        <v>395</v>
      </c>
      <c r="E132" s="2" t="s">
        <v>37</v>
      </c>
      <c r="F132" s="3">
        <v>44820</v>
      </c>
      <c r="G132" s="4">
        <v>0.55880787037037039</v>
      </c>
      <c r="H132" s="4">
        <v>0.55993055555555549</v>
      </c>
      <c r="I132" s="4">
        <v>0.56033564814814818</v>
      </c>
      <c r="J132" s="2">
        <v>43</v>
      </c>
      <c r="K132" s="2" t="s">
        <v>23</v>
      </c>
      <c r="L132" s="2"/>
      <c r="M132" s="5" t="s">
        <v>12</v>
      </c>
      <c r="N132" s="5" t="s">
        <v>24</v>
      </c>
      <c r="O132" s="2" t="s">
        <v>39</v>
      </c>
      <c r="P132" s="2"/>
      <c r="Q132" s="2" t="s">
        <v>27</v>
      </c>
      <c r="R132" s="6"/>
    </row>
    <row r="133" spans="1:18">
      <c r="A133" s="7" t="s">
        <v>397</v>
      </c>
      <c r="B133" s="8" t="s">
        <v>19</v>
      </c>
      <c r="C133" s="8"/>
      <c r="D133" s="8" t="s">
        <v>395</v>
      </c>
      <c r="E133" s="8" t="s">
        <v>37</v>
      </c>
      <c r="F133" s="9">
        <v>44820</v>
      </c>
      <c r="G133" s="10">
        <v>0.55880787037037039</v>
      </c>
      <c r="H133" s="10">
        <v>0.56054398148148155</v>
      </c>
      <c r="I133" s="10">
        <v>0.56033564814814818</v>
      </c>
      <c r="J133" s="8">
        <v>43</v>
      </c>
      <c r="K133" s="8" t="s">
        <v>33</v>
      </c>
      <c r="L133" s="8" t="s">
        <v>398</v>
      </c>
      <c r="M133" s="11" t="s">
        <v>12</v>
      </c>
      <c r="N133" s="11" t="s">
        <v>24</v>
      </c>
      <c r="O133" s="8" t="s">
        <v>39</v>
      </c>
      <c r="P133" s="8"/>
      <c r="Q133" s="8" t="s">
        <v>27</v>
      </c>
      <c r="R133" s="12"/>
    </row>
    <row r="134" spans="1:18">
      <c r="A134" s="1" t="s">
        <v>399</v>
      </c>
      <c r="B134" s="2" t="s">
        <v>19</v>
      </c>
      <c r="C134" s="2"/>
      <c r="D134" s="2" t="s">
        <v>400</v>
      </c>
      <c r="E134" s="2" t="s">
        <v>37</v>
      </c>
      <c r="F134" s="3">
        <v>44820</v>
      </c>
      <c r="G134" s="4">
        <v>0.5738078703703704</v>
      </c>
      <c r="H134" s="4">
        <v>0.57407407407407407</v>
      </c>
      <c r="I134" s="4">
        <v>0.57436342592592593</v>
      </c>
      <c r="J134" s="2">
        <v>43</v>
      </c>
      <c r="K134" s="2" t="s">
        <v>23</v>
      </c>
      <c r="L134" s="2"/>
      <c r="M134" s="5" t="s">
        <v>12</v>
      </c>
      <c r="N134" s="5" t="s">
        <v>24</v>
      </c>
      <c r="O134" s="2" t="s">
        <v>39</v>
      </c>
      <c r="P134" s="2"/>
      <c r="Q134" s="2" t="s">
        <v>27</v>
      </c>
      <c r="R134" s="6"/>
    </row>
    <row r="135" spans="1:18">
      <c r="A135" s="7" t="s">
        <v>401</v>
      </c>
      <c r="B135" s="8" t="s">
        <v>19</v>
      </c>
      <c r="C135" s="8"/>
      <c r="D135" s="8" t="s">
        <v>400</v>
      </c>
      <c r="E135" s="8" t="s">
        <v>37</v>
      </c>
      <c r="F135" s="9">
        <v>44820</v>
      </c>
      <c r="G135" s="10">
        <v>0.5738078703703704</v>
      </c>
      <c r="H135" s="10">
        <v>0.57458333333333333</v>
      </c>
      <c r="I135" s="10">
        <v>0.57436342592592593</v>
      </c>
      <c r="J135" s="8">
        <v>43</v>
      </c>
      <c r="K135" s="8" t="s">
        <v>33</v>
      </c>
      <c r="L135" s="8" t="s">
        <v>402</v>
      </c>
      <c r="M135" s="11" t="s">
        <v>12</v>
      </c>
      <c r="N135" s="11" t="s">
        <v>24</v>
      </c>
      <c r="O135" s="8" t="s">
        <v>39</v>
      </c>
      <c r="P135" s="8"/>
      <c r="Q135" s="8" t="s">
        <v>27</v>
      </c>
      <c r="R135" s="12"/>
    </row>
    <row r="136" spans="1:18">
      <c r="A136" s="1" t="s">
        <v>403</v>
      </c>
      <c r="B136" s="2" t="s">
        <v>19</v>
      </c>
      <c r="C136" s="2"/>
      <c r="D136" s="2" t="s">
        <v>404</v>
      </c>
      <c r="E136" s="2" t="s">
        <v>37</v>
      </c>
      <c r="F136" s="3">
        <v>44820</v>
      </c>
      <c r="G136" s="4">
        <v>0.57670138888888889</v>
      </c>
      <c r="H136" s="4">
        <v>0.57589120370370372</v>
      </c>
      <c r="I136" s="4">
        <v>0.57672453703703697</v>
      </c>
      <c r="J136" s="2">
        <v>43</v>
      </c>
      <c r="K136" s="2" t="s">
        <v>23</v>
      </c>
      <c r="L136" s="2"/>
      <c r="M136" s="5" t="s">
        <v>12</v>
      </c>
      <c r="N136" s="5" t="s">
        <v>24</v>
      </c>
      <c r="O136" s="2" t="s">
        <v>39</v>
      </c>
      <c r="P136" s="2"/>
      <c r="Q136" s="2" t="s">
        <v>78</v>
      </c>
      <c r="R136" s="6"/>
    </row>
    <row r="137" spans="1:18">
      <c r="A137" s="7" t="s">
        <v>405</v>
      </c>
      <c r="B137" s="8" t="s">
        <v>19</v>
      </c>
      <c r="C137" s="8"/>
      <c r="D137" s="8" t="s">
        <v>404</v>
      </c>
      <c r="E137" s="8" t="s">
        <v>37</v>
      </c>
      <c r="F137" s="9">
        <v>44820</v>
      </c>
      <c r="G137" s="10">
        <v>0.57670138888888889</v>
      </c>
      <c r="H137" s="10">
        <v>0.57694444444444437</v>
      </c>
      <c r="I137" s="10">
        <v>0.57672453703703697</v>
      </c>
      <c r="J137" s="8">
        <v>43</v>
      </c>
      <c r="K137" s="8" t="s">
        <v>33</v>
      </c>
      <c r="L137" s="8" t="s">
        <v>398</v>
      </c>
      <c r="M137" s="11" t="s">
        <v>12</v>
      </c>
      <c r="N137" s="11" t="s">
        <v>24</v>
      </c>
      <c r="O137" s="8" t="s">
        <v>39</v>
      </c>
      <c r="P137" s="8"/>
      <c r="Q137" s="8" t="s">
        <v>27</v>
      </c>
      <c r="R137" s="12"/>
    </row>
    <row r="138" spans="1:18">
      <c r="A138" s="1" t="s">
        <v>406</v>
      </c>
      <c r="B138" s="2" t="s">
        <v>19</v>
      </c>
      <c r="C138" s="2"/>
      <c r="D138" s="2" t="s">
        <v>407</v>
      </c>
      <c r="E138" s="2" t="s">
        <v>37</v>
      </c>
      <c r="F138" s="3">
        <v>44820</v>
      </c>
      <c r="G138" s="4">
        <v>0.58489583333333328</v>
      </c>
      <c r="H138" s="4">
        <v>0.58515046296296302</v>
      </c>
      <c r="I138" s="4">
        <v>0.58545138888888892</v>
      </c>
      <c r="J138" s="2">
        <v>43</v>
      </c>
      <c r="K138" s="2" t="s">
        <v>23</v>
      </c>
      <c r="L138" s="2"/>
      <c r="M138" s="5" t="s">
        <v>12</v>
      </c>
      <c r="N138" s="5" t="s">
        <v>24</v>
      </c>
      <c r="O138" s="2" t="s">
        <v>39</v>
      </c>
      <c r="P138" s="2"/>
      <c r="Q138" s="2" t="s">
        <v>27</v>
      </c>
      <c r="R138" s="6"/>
    </row>
    <row r="139" spans="1:18">
      <c r="A139" s="7" t="s">
        <v>408</v>
      </c>
      <c r="B139" s="8" t="s">
        <v>19</v>
      </c>
      <c r="C139" s="8"/>
      <c r="D139" s="8" t="s">
        <v>407</v>
      </c>
      <c r="E139" s="8" t="s">
        <v>37</v>
      </c>
      <c r="F139" s="9">
        <v>44820</v>
      </c>
      <c r="G139" s="10">
        <v>0.58489583333333328</v>
      </c>
      <c r="H139" s="10">
        <v>0.58564814814814814</v>
      </c>
      <c r="I139" s="10">
        <v>0.58545138888888892</v>
      </c>
      <c r="J139" s="8">
        <v>43</v>
      </c>
      <c r="K139" s="8" t="s">
        <v>33</v>
      </c>
      <c r="L139" s="8" t="s">
        <v>398</v>
      </c>
      <c r="M139" s="11" t="s">
        <v>12</v>
      </c>
      <c r="N139" s="11" t="s">
        <v>24</v>
      </c>
      <c r="O139" s="8" t="s">
        <v>39</v>
      </c>
      <c r="P139" s="8"/>
      <c r="Q139" s="8" t="s">
        <v>27</v>
      </c>
      <c r="R139" s="12"/>
    </row>
    <row r="140" spans="1:18">
      <c r="A140" s="1" t="s">
        <v>409</v>
      </c>
      <c r="B140" s="2" t="s">
        <v>19</v>
      </c>
      <c r="C140" s="2"/>
      <c r="D140" s="2" t="s">
        <v>410</v>
      </c>
      <c r="E140" s="2" t="s">
        <v>37</v>
      </c>
      <c r="F140" s="3">
        <v>44820</v>
      </c>
      <c r="G140" s="4">
        <v>0.62277777777777776</v>
      </c>
      <c r="H140" s="4">
        <v>0.62200231481481483</v>
      </c>
      <c r="I140" s="4">
        <v>0.62310185185185185</v>
      </c>
      <c r="J140" s="2">
        <v>43</v>
      </c>
      <c r="K140" s="2" t="s">
        <v>23</v>
      </c>
      <c r="L140" s="2"/>
      <c r="M140" s="5" t="s">
        <v>12</v>
      </c>
      <c r="N140" s="5" t="s">
        <v>24</v>
      </c>
      <c r="O140" s="2" t="s">
        <v>39</v>
      </c>
      <c r="P140" s="2"/>
      <c r="Q140" s="2" t="s">
        <v>78</v>
      </c>
      <c r="R140" s="6"/>
    </row>
    <row r="141" spans="1:18">
      <c r="A141" s="7" t="s">
        <v>411</v>
      </c>
      <c r="B141" s="8" t="s">
        <v>19</v>
      </c>
      <c r="C141" s="8"/>
      <c r="D141" s="8" t="s">
        <v>410</v>
      </c>
      <c r="E141" s="8" t="s">
        <v>37</v>
      </c>
      <c r="F141" s="9">
        <v>44820</v>
      </c>
      <c r="G141" s="10">
        <v>0.62277777777777776</v>
      </c>
      <c r="H141" s="10">
        <v>0.62305555555555558</v>
      </c>
      <c r="I141" s="10">
        <v>0.62310185185185185</v>
      </c>
      <c r="J141" s="8">
        <v>43</v>
      </c>
      <c r="K141" s="8" t="s">
        <v>23</v>
      </c>
      <c r="L141" s="8"/>
      <c r="M141" s="11" t="s">
        <v>12</v>
      </c>
      <c r="N141" s="11" t="s">
        <v>24</v>
      </c>
      <c r="O141" s="8" t="s">
        <v>39</v>
      </c>
      <c r="P141" s="8"/>
      <c r="Q141" s="8" t="s">
        <v>27</v>
      </c>
      <c r="R141" s="12"/>
    </row>
    <row r="142" spans="1:18">
      <c r="A142" s="1" t="s">
        <v>412</v>
      </c>
      <c r="B142" s="2" t="s">
        <v>19</v>
      </c>
      <c r="C142" s="2"/>
      <c r="D142" s="2" t="s">
        <v>410</v>
      </c>
      <c r="E142" s="2" t="s">
        <v>37</v>
      </c>
      <c r="F142" s="3">
        <v>44820</v>
      </c>
      <c r="G142" s="4">
        <v>0.62277777777777776</v>
      </c>
      <c r="H142" s="4">
        <v>0.62329861111111107</v>
      </c>
      <c r="I142" s="4">
        <v>0.62310185185185185</v>
      </c>
      <c r="J142" s="2">
        <v>43</v>
      </c>
      <c r="K142" s="2" t="s">
        <v>23</v>
      </c>
      <c r="L142" s="2"/>
      <c r="M142" s="5" t="s">
        <v>12</v>
      </c>
      <c r="N142" s="5" t="s">
        <v>24</v>
      </c>
      <c r="O142" s="2" t="s">
        <v>39</v>
      </c>
      <c r="P142" s="2"/>
      <c r="Q142" s="2" t="s">
        <v>27</v>
      </c>
      <c r="R142" s="6"/>
    </row>
    <row r="143" spans="1:18">
      <c r="A143" s="7" t="s">
        <v>413</v>
      </c>
      <c r="B143" s="8" t="s">
        <v>19</v>
      </c>
      <c r="C143" s="8"/>
      <c r="D143" s="8" t="s">
        <v>410</v>
      </c>
      <c r="E143" s="8" t="s">
        <v>37</v>
      </c>
      <c r="F143" s="9">
        <v>44820</v>
      </c>
      <c r="G143" s="10">
        <v>0.62277777777777776</v>
      </c>
      <c r="H143" s="10">
        <v>0.62452546296296296</v>
      </c>
      <c r="I143" s="10">
        <v>0.62310185185185185</v>
      </c>
      <c r="J143" s="8">
        <v>43</v>
      </c>
      <c r="K143" s="8" t="s">
        <v>33</v>
      </c>
      <c r="L143" s="8" t="s">
        <v>398</v>
      </c>
      <c r="M143" s="11" t="s">
        <v>12</v>
      </c>
      <c r="N143" s="11" t="s">
        <v>24</v>
      </c>
      <c r="O143" s="8" t="s">
        <v>39</v>
      </c>
      <c r="P143" s="8"/>
      <c r="Q143" s="8" t="s">
        <v>78</v>
      </c>
      <c r="R143" s="12"/>
    </row>
    <row r="144" spans="1:18">
      <c r="A144" s="1" t="s">
        <v>414</v>
      </c>
      <c r="B144" s="2" t="s">
        <v>35</v>
      </c>
      <c r="C144" s="2"/>
      <c r="D144" s="2" t="s">
        <v>415</v>
      </c>
      <c r="E144" s="2" t="s">
        <v>37</v>
      </c>
      <c r="F144" s="3">
        <v>44820</v>
      </c>
      <c r="G144" s="4">
        <v>0.5404282407407407</v>
      </c>
      <c r="H144" s="4">
        <v>0.84983796296296299</v>
      </c>
      <c r="I144" s="4">
        <v>0.8488310185185185</v>
      </c>
      <c r="J144" s="2">
        <v>43</v>
      </c>
      <c r="K144" s="2" t="s">
        <v>33</v>
      </c>
      <c r="L144" s="2" t="s">
        <v>416</v>
      </c>
      <c r="M144" s="5" t="s">
        <v>12</v>
      </c>
      <c r="N144" s="5" t="s">
        <v>24</v>
      </c>
      <c r="O144" s="2" t="s">
        <v>91</v>
      </c>
      <c r="P144" s="2"/>
      <c r="Q144" s="2" t="s">
        <v>27</v>
      </c>
      <c r="R144" s="6"/>
    </row>
    <row r="145" spans="1:18">
      <c r="A145" s="7" t="s">
        <v>417</v>
      </c>
      <c r="B145" s="8" t="s">
        <v>19</v>
      </c>
      <c r="C145" s="8"/>
      <c r="D145" s="8" t="s">
        <v>418</v>
      </c>
      <c r="E145" s="8" t="s">
        <v>37</v>
      </c>
      <c r="F145" s="9">
        <v>44822</v>
      </c>
      <c r="G145" s="10">
        <v>0.44888888888888889</v>
      </c>
      <c r="H145" s="10">
        <v>0.71616898148148145</v>
      </c>
      <c r="I145" s="10">
        <v>0.71587962962962959</v>
      </c>
      <c r="J145" s="8">
        <v>43</v>
      </c>
      <c r="K145" s="8" t="s">
        <v>33</v>
      </c>
      <c r="L145" s="8" t="s">
        <v>419</v>
      </c>
      <c r="M145" s="11" t="s">
        <v>12</v>
      </c>
      <c r="N145" s="11" t="s">
        <v>24</v>
      </c>
      <c r="O145" s="8" t="s">
        <v>25</v>
      </c>
      <c r="P145" s="8"/>
      <c r="Q145" s="8" t="s">
        <v>27</v>
      </c>
      <c r="R145" s="12"/>
    </row>
    <row r="146" spans="1:18">
      <c r="A146" s="1" t="s">
        <v>420</v>
      </c>
      <c r="B146" s="2" t="s">
        <v>35</v>
      </c>
      <c r="C146" s="2"/>
      <c r="D146" s="2" t="s">
        <v>421</v>
      </c>
      <c r="E146" s="2" t="s">
        <v>37</v>
      </c>
      <c r="F146" s="3">
        <v>44822</v>
      </c>
      <c r="G146" s="4">
        <v>0.45995370370370375</v>
      </c>
      <c r="H146" s="4">
        <v>0.91947916666666663</v>
      </c>
      <c r="I146" s="4">
        <v>0.27158564814814817</v>
      </c>
      <c r="J146" s="2">
        <v>43</v>
      </c>
      <c r="K146" s="2" t="s">
        <v>33</v>
      </c>
      <c r="L146" s="2" t="s">
        <v>416</v>
      </c>
      <c r="M146" s="5" t="s">
        <v>12</v>
      </c>
      <c r="N146" s="5" t="s">
        <v>24</v>
      </c>
      <c r="O146" s="2" t="s">
        <v>91</v>
      </c>
      <c r="P146" s="2"/>
      <c r="Q146" s="2" t="s">
        <v>27</v>
      </c>
      <c r="R146" s="6"/>
    </row>
    <row r="147" spans="1:18">
      <c r="A147" s="7" t="s">
        <v>422</v>
      </c>
      <c r="B147" s="8" t="s">
        <v>19</v>
      </c>
      <c r="C147" s="8"/>
      <c r="D147" s="8" t="s">
        <v>418</v>
      </c>
      <c r="E147" s="8" t="s">
        <v>37</v>
      </c>
      <c r="F147" s="9">
        <v>44823</v>
      </c>
      <c r="G147" s="10">
        <v>0.44888888888888889</v>
      </c>
      <c r="H147" s="10">
        <v>0.20988425925925924</v>
      </c>
      <c r="I147" s="10">
        <v>0.71587962962962959</v>
      </c>
      <c r="J147" s="8">
        <v>43</v>
      </c>
      <c r="K147" s="8" t="s">
        <v>23</v>
      </c>
      <c r="L147" s="8"/>
      <c r="M147" s="11" t="s">
        <v>12</v>
      </c>
      <c r="N147" s="11" t="s">
        <v>24</v>
      </c>
      <c r="O147" s="8" t="s">
        <v>30</v>
      </c>
      <c r="P147" s="8"/>
      <c r="Q147" s="8" t="s">
        <v>27</v>
      </c>
      <c r="R147" s="12"/>
    </row>
    <row r="148" spans="1:18">
      <c r="A148" s="1" t="s">
        <v>423</v>
      </c>
      <c r="B148" s="2" t="s">
        <v>35</v>
      </c>
      <c r="C148" s="2"/>
      <c r="D148" s="2" t="s">
        <v>421</v>
      </c>
      <c r="E148" s="2" t="s">
        <v>37</v>
      </c>
      <c r="F148" s="3">
        <v>44823</v>
      </c>
      <c r="G148" s="4">
        <v>0.45995370370370375</v>
      </c>
      <c r="H148" s="4">
        <v>0.27259259259259255</v>
      </c>
      <c r="I148" s="4">
        <v>0.27158564814814817</v>
      </c>
      <c r="J148" s="2">
        <v>43</v>
      </c>
      <c r="K148" s="2" t="s">
        <v>23</v>
      </c>
      <c r="L148" s="2"/>
      <c r="M148" s="5" t="s">
        <v>12</v>
      </c>
      <c r="N148" s="5" t="s">
        <v>24</v>
      </c>
      <c r="O148" s="2" t="s">
        <v>91</v>
      </c>
      <c r="P148" s="2"/>
      <c r="Q148" s="2" t="s">
        <v>27</v>
      </c>
      <c r="R148" s="6"/>
    </row>
    <row r="149" spans="1:18">
      <c r="A149" s="7" t="s">
        <v>424</v>
      </c>
      <c r="B149" s="8" t="s">
        <v>19</v>
      </c>
      <c r="C149" s="8"/>
      <c r="D149" s="8" t="s">
        <v>425</v>
      </c>
      <c r="E149" s="8" t="s">
        <v>22</v>
      </c>
      <c r="F149" s="9">
        <v>44823</v>
      </c>
      <c r="G149" s="10">
        <v>0.29820601851851852</v>
      </c>
      <c r="H149" s="10">
        <v>0.30480324074074078</v>
      </c>
      <c r="I149" s="10">
        <v>0.31119212962962967</v>
      </c>
      <c r="J149" s="8">
        <v>43</v>
      </c>
      <c r="K149" s="8" t="s">
        <v>33</v>
      </c>
      <c r="L149" s="8"/>
      <c r="M149" s="11" t="s">
        <v>12</v>
      </c>
      <c r="N149" s="11" t="s">
        <v>24</v>
      </c>
      <c r="O149" s="8" t="s">
        <v>25</v>
      </c>
      <c r="P149" s="8" t="s">
        <v>426</v>
      </c>
      <c r="Q149" s="8" t="s">
        <v>27</v>
      </c>
      <c r="R149" s="12"/>
    </row>
    <row r="150" spans="1:18">
      <c r="A150" s="1" t="s">
        <v>427</v>
      </c>
      <c r="B150" s="2" t="s">
        <v>35</v>
      </c>
      <c r="C150" s="2"/>
      <c r="D150" s="2" t="s">
        <v>428</v>
      </c>
      <c r="E150" s="2" t="s">
        <v>37</v>
      </c>
      <c r="F150" s="3">
        <v>44823</v>
      </c>
      <c r="G150" s="4">
        <v>0.27817129629629628</v>
      </c>
      <c r="H150" s="4">
        <v>0.47268518518518521</v>
      </c>
      <c r="I150" s="4">
        <v>0.47170138888888885</v>
      </c>
      <c r="J150" s="2">
        <v>43</v>
      </c>
      <c r="K150" s="2" t="s">
        <v>33</v>
      </c>
      <c r="L150" s="2" t="s">
        <v>429</v>
      </c>
      <c r="M150" s="5" t="s">
        <v>12</v>
      </c>
      <c r="N150" s="5" t="s">
        <v>24</v>
      </c>
      <c r="O150" s="2" t="s">
        <v>91</v>
      </c>
      <c r="P150" s="2"/>
      <c r="Q150" s="2" t="s">
        <v>27</v>
      </c>
      <c r="R150" s="6"/>
    </row>
    <row r="151" spans="1:18">
      <c r="A151" s="7" t="s">
        <v>430</v>
      </c>
      <c r="B151" s="8" t="s">
        <v>35</v>
      </c>
      <c r="C151" s="8"/>
      <c r="D151" s="8" t="s">
        <v>431</v>
      </c>
      <c r="E151" s="8" t="s">
        <v>37</v>
      </c>
      <c r="F151" s="9">
        <v>44825</v>
      </c>
      <c r="G151" s="10">
        <v>0.66516203703703702</v>
      </c>
      <c r="H151" s="10">
        <v>0.68200231481481488</v>
      </c>
      <c r="I151" s="10">
        <v>0.68103009259259262</v>
      </c>
      <c r="J151" s="8">
        <v>43</v>
      </c>
      <c r="K151" s="8" t="s">
        <v>33</v>
      </c>
      <c r="L151" s="8" t="s">
        <v>432</v>
      </c>
      <c r="M151" s="11" t="s">
        <v>12</v>
      </c>
      <c r="N151" s="11" t="s">
        <v>24</v>
      </c>
      <c r="O151" s="8" t="s">
        <v>91</v>
      </c>
      <c r="P151" s="8" t="s">
        <v>151</v>
      </c>
      <c r="Q151" s="8" t="s">
        <v>27</v>
      </c>
      <c r="R151" s="12"/>
    </row>
    <row r="152" spans="1:18">
      <c r="A152" s="1" t="s">
        <v>433</v>
      </c>
      <c r="B152" s="2" t="s">
        <v>19</v>
      </c>
      <c r="C152" s="2"/>
      <c r="D152" s="2" t="s">
        <v>434</v>
      </c>
      <c r="E152" s="2" t="s">
        <v>37</v>
      </c>
      <c r="F152" s="3">
        <v>44825</v>
      </c>
      <c r="G152" s="4">
        <v>0.64633101851851849</v>
      </c>
      <c r="H152" s="4">
        <v>0.75061342592592595</v>
      </c>
      <c r="I152" s="4">
        <v>0.75023148148148155</v>
      </c>
      <c r="J152" s="2">
        <v>43</v>
      </c>
      <c r="K152" s="2" t="s">
        <v>33</v>
      </c>
      <c r="L152" s="2" t="s">
        <v>435</v>
      </c>
      <c r="M152" s="5" t="s">
        <v>12</v>
      </c>
      <c r="N152" s="5" t="s">
        <v>24</v>
      </c>
      <c r="O152" s="2" t="s">
        <v>39</v>
      </c>
      <c r="P152" s="2" t="s">
        <v>40</v>
      </c>
      <c r="Q152" s="2" t="s">
        <v>27</v>
      </c>
      <c r="R152" s="6"/>
    </row>
    <row r="153" spans="1:18">
      <c r="A153" s="7" t="s">
        <v>436</v>
      </c>
      <c r="B153" s="8" t="s">
        <v>356</v>
      </c>
      <c r="C153" s="8"/>
      <c r="D153" s="8" t="s">
        <v>437</v>
      </c>
      <c r="E153" s="8" t="s">
        <v>37</v>
      </c>
      <c r="F153" s="9">
        <v>44827</v>
      </c>
      <c r="G153" s="10">
        <v>0.56603009259259263</v>
      </c>
      <c r="H153" s="10">
        <v>0.94074074074074077</v>
      </c>
      <c r="I153" s="10">
        <v>0.93976851851851861</v>
      </c>
      <c r="J153" s="8">
        <v>48</v>
      </c>
      <c r="K153" s="8" t="s">
        <v>33</v>
      </c>
      <c r="L153" s="8" t="s">
        <v>438</v>
      </c>
      <c r="M153" s="11" t="s">
        <v>12</v>
      </c>
      <c r="N153" s="11" t="s">
        <v>24</v>
      </c>
      <c r="O153" s="8" t="s">
        <v>439</v>
      </c>
      <c r="P153" s="8"/>
      <c r="Q153" s="8" t="s">
        <v>27</v>
      </c>
      <c r="R153" s="12"/>
    </row>
    <row r="154" spans="1:18">
      <c r="A154" s="1" t="s">
        <v>440</v>
      </c>
      <c r="B154" s="2" t="s">
        <v>356</v>
      </c>
      <c r="C154" s="2"/>
      <c r="D154" s="2" t="s">
        <v>441</v>
      </c>
      <c r="E154" s="2" t="s">
        <v>37</v>
      </c>
      <c r="F154" s="3">
        <v>44830</v>
      </c>
      <c r="G154" s="4">
        <v>0.42131944444444441</v>
      </c>
      <c r="H154" s="4">
        <v>0.56950231481481484</v>
      </c>
      <c r="I154" s="4">
        <v>0.56910879629629629</v>
      </c>
      <c r="J154" s="2">
        <v>48</v>
      </c>
      <c r="K154" s="2" t="s">
        <v>33</v>
      </c>
      <c r="L154" s="2" t="s">
        <v>442</v>
      </c>
      <c r="M154" s="5" t="s">
        <v>12</v>
      </c>
      <c r="N154" s="5" t="s">
        <v>24</v>
      </c>
      <c r="O154" s="2" t="s">
        <v>80</v>
      </c>
      <c r="P154" s="2"/>
      <c r="Q154" s="2" t="s">
        <v>27</v>
      </c>
      <c r="R154" s="6"/>
    </row>
    <row r="155" spans="1:18">
      <c r="A155" s="7" t="s">
        <v>443</v>
      </c>
      <c r="B155" s="8" t="s">
        <v>35</v>
      </c>
      <c r="C155" s="8"/>
      <c r="D155" s="8" t="s">
        <v>444</v>
      </c>
      <c r="E155" s="8" t="s">
        <v>37</v>
      </c>
      <c r="F155" s="9">
        <v>44832</v>
      </c>
      <c r="G155" s="10">
        <v>0.71103009259259264</v>
      </c>
      <c r="H155" s="10">
        <v>0.76222222222222225</v>
      </c>
      <c r="I155" s="10">
        <v>0.76121527777777775</v>
      </c>
      <c r="J155" s="8">
        <v>43</v>
      </c>
      <c r="K155" s="8" t="s">
        <v>33</v>
      </c>
      <c r="L155" s="8" t="s">
        <v>445</v>
      </c>
      <c r="M155" s="11" t="s">
        <v>12</v>
      </c>
      <c r="N155" s="11" t="s">
        <v>24</v>
      </c>
      <c r="O155" s="8" t="s">
        <v>91</v>
      </c>
      <c r="P155" s="8"/>
      <c r="Q155" s="8" t="s">
        <v>27</v>
      </c>
      <c r="R155" s="12"/>
    </row>
    <row r="156" spans="1:18">
      <c r="A156" s="7" t="s">
        <v>446</v>
      </c>
      <c r="B156" s="8" t="s">
        <v>19</v>
      </c>
      <c r="C156" s="8"/>
      <c r="D156" s="8" t="s">
        <v>447</v>
      </c>
      <c r="E156" s="8" t="s">
        <v>37</v>
      </c>
      <c r="F156" s="9">
        <v>44832</v>
      </c>
      <c r="G156" s="10">
        <v>0.80693287037037031</v>
      </c>
      <c r="H156" s="10">
        <v>0.86903935185185188</v>
      </c>
      <c r="I156" s="10">
        <v>0.86809027777777781</v>
      </c>
      <c r="J156" s="8">
        <v>43</v>
      </c>
      <c r="K156" s="8" t="s">
        <v>33</v>
      </c>
      <c r="L156" s="8" t="s">
        <v>448</v>
      </c>
      <c r="M156" s="11" t="s">
        <v>12</v>
      </c>
      <c r="N156" s="11" t="s">
        <v>24</v>
      </c>
      <c r="O156" s="8" t="s">
        <v>123</v>
      </c>
      <c r="P156" s="8"/>
      <c r="Q156" s="8" t="s">
        <v>27</v>
      </c>
      <c r="R156" s="12"/>
    </row>
    <row r="157" spans="1:18">
      <c r="A157" t="s">
        <v>449</v>
      </c>
      <c r="B157" t="s">
        <v>19</v>
      </c>
      <c r="D157" t="s">
        <v>450</v>
      </c>
      <c r="E157" t="s">
        <v>37</v>
      </c>
      <c r="F157" s="49">
        <v>44832</v>
      </c>
      <c r="G157" s="44">
        <v>0.8728125000000001</v>
      </c>
      <c r="H157" s="44">
        <v>0.88587962962962974</v>
      </c>
      <c r="I157" s="44">
        <v>0.97468749999999993</v>
      </c>
      <c r="J157">
        <v>43</v>
      </c>
      <c r="K157" t="s">
        <v>23</v>
      </c>
      <c r="M157" s="45" t="s">
        <v>12</v>
      </c>
      <c r="N157" s="45" t="s">
        <v>24</v>
      </c>
      <c r="O157" t="s">
        <v>61</v>
      </c>
      <c r="Q157" t="s">
        <v>27</v>
      </c>
    </row>
    <row r="158" spans="1:18">
      <c r="A158" t="s">
        <v>451</v>
      </c>
      <c r="B158" t="s">
        <v>19</v>
      </c>
      <c r="D158" t="s">
        <v>450</v>
      </c>
      <c r="E158" t="s">
        <v>37</v>
      </c>
      <c r="F158" s="49">
        <v>44832</v>
      </c>
      <c r="G158" s="44">
        <v>0.8728125000000001</v>
      </c>
      <c r="H158" s="44">
        <v>0.97505787037037039</v>
      </c>
      <c r="I158" s="44">
        <v>0.97468749999999993</v>
      </c>
      <c r="J158">
        <v>43</v>
      </c>
      <c r="K158" t="s">
        <v>33</v>
      </c>
      <c r="L158" t="s">
        <v>452</v>
      </c>
      <c r="M158" s="45" t="s">
        <v>12</v>
      </c>
      <c r="N158" s="45" t="s">
        <v>24</v>
      </c>
      <c r="O158" t="s">
        <v>30</v>
      </c>
      <c r="Q158" t="s">
        <v>27</v>
      </c>
    </row>
    <row r="159" spans="1:18">
      <c r="A159" s="50" t="s">
        <v>453</v>
      </c>
      <c r="B159" s="50" t="s">
        <v>356</v>
      </c>
      <c r="C159" s="50"/>
      <c r="D159" s="50" t="s">
        <v>454</v>
      </c>
      <c r="E159" s="50" t="s">
        <v>37</v>
      </c>
      <c r="F159" s="52">
        <v>44833</v>
      </c>
      <c r="G159" s="53">
        <v>0.6383564814814815</v>
      </c>
      <c r="H159" s="53">
        <v>0.7955902777777778</v>
      </c>
      <c r="I159" s="53">
        <v>0.79519675925925926</v>
      </c>
      <c r="J159" s="50">
        <v>48</v>
      </c>
      <c r="K159" s="50" t="s">
        <v>33</v>
      </c>
      <c r="L159" s="50" t="s">
        <v>455</v>
      </c>
      <c r="M159" s="54" t="s">
        <v>12</v>
      </c>
      <c r="N159" s="54" t="s">
        <v>24</v>
      </c>
      <c r="O159" s="50" t="s">
        <v>30</v>
      </c>
      <c r="P159" s="50"/>
      <c r="Q159" s="50" t="s">
        <v>27</v>
      </c>
      <c r="R159" s="50"/>
    </row>
    <row r="160" spans="1:18">
      <c r="A160" t="s">
        <v>456</v>
      </c>
      <c r="B160" t="s">
        <v>35</v>
      </c>
      <c r="D160" t="s">
        <v>457</v>
      </c>
      <c r="E160" t="s">
        <v>37</v>
      </c>
      <c r="F160" s="49">
        <v>44833</v>
      </c>
      <c r="G160" s="44">
        <v>0.90173611111111107</v>
      </c>
      <c r="H160" s="44">
        <v>2.7199074074074074E-3</v>
      </c>
      <c r="I160" s="44">
        <v>2.3263888888888887E-3</v>
      </c>
      <c r="J160">
        <v>43</v>
      </c>
      <c r="K160" t="s">
        <v>33</v>
      </c>
      <c r="L160" t="s">
        <v>416</v>
      </c>
      <c r="M160" s="45" t="s">
        <v>12</v>
      </c>
      <c r="N160" s="45" t="s">
        <v>24</v>
      </c>
      <c r="O160" t="s">
        <v>30</v>
      </c>
      <c r="Q160" t="s">
        <v>27</v>
      </c>
    </row>
    <row r="161" spans="1:17">
      <c r="A161" t="s">
        <v>458</v>
      </c>
      <c r="B161" t="s">
        <v>35</v>
      </c>
      <c r="D161" t="s">
        <v>459</v>
      </c>
      <c r="E161" t="s">
        <v>37</v>
      </c>
      <c r="F161" s="49">
        <v>44833</v>
      </c>
      <c r="G161" s="44">
        <v>0.83905092592592589</v>
      </c>
      <c r="H161" s="44">
        <v>0.90376157407407398</v>
      </c>
      <c r="I161" s="44">
        <v>0.90337962962962959</v>
      </c>
      <c r="J161">
        <v>43</v>
      </c>
      <c r="K161" t="s">
        <v>33</v>
      </c>
      <c r="L161" t="s">
        <v>460</v>
      </c>
      <c r="M161" s="45" t="s">
        <v>12</v>
      </c>
      <c r="N161" s="45" t="s">
        <v>24</v>
      </c>
      <c r="O161" t="s">
        <v>91</v>
      </c>
      <c r="Q161" t="s">
        <v>27</v>
      </c>
    </row>
    <row r="162" spans="1:17">
      <c r="A162" t="s">
        <v>461</v>
      </c>
      <c r="B162" t="s">
        <v>356</v>
      </c>
      <c r="D162" t="s">
        <v>462</v>
      </c>
      <c r="E162" t="s">
        <v>37</v>
      </c>
      <c r="F162" s="49">
        <v>44835</v>
      </c>
      <c r="G162" s="44">
        <v>0.73762731481481481</v>
      </c>
      <c r="H162" s="44">
        <v>0.8247916666666667</v>
      </c>
      <c r="I162" s="44">
        <v>0.82442129629629635</v>
      </c>
      <c r="J162">
        <v>48</v>
      </c>
      <c r="K162" t="s">
        <v>33</v>
      </c>
      <c r="L162" t="s">
        <v>463</v>
      </c>
      <c r="M162" s="45" t="s">
        <v>12</v>
      </c>
      <c r="N162" s="45" t="s">
        <v>24</v>
      </c>
      <c r="O162" t="s">
        <v>91</v>
      </c>
      <c r="Q162" t="s">
        <v>27</v>
      </c>
    </row>
    <row r="163" spans="1:17">
      <c r="A163" t="s">
        <v>464</v>
      </c>
      <c r="B163" t="s">
        <v>19</v>
      </c>
      <c r="D163" t="s">
        <v>465</v>
      </c>
      <c r="E163" t="s">
        <v>37</v>
      </c>
      <c r="F163" s="49">
        <v>44836</v>
      </c>
      <c r="G163" s="44">
        <v>0.66982638888888879</v>
      </c>
      <c r="H163" s="44">
        <v>2.478009259259259E-2</v>
      </c>
      <c r="I163" s="44">
        <v>2.3657407407407408E-2</v>
      </c>
      <c r="J163">
        <v>43</v>
      </c>
      <c r="K163" t="s">
        <v>33</v>
      </c>
      <c r="L163" t="s">
        <v>466</v>
      </c>
      <c r="M163" s="45" t="s">
        <v>12</v>
      </c>
      <c r="N163" s="45" t="s">
        <v>24</v>
      </c>
      <c r="O163" t="s">
        <v>61</v>
      </c>
      <c r="Q163" t="s">
        <v>27</v>
      </c>
    </row>
  </sheetData>
  <autoFilter ref="A1:R1" xr:uid="{00000000-0001-0000-0000-000000000000}">
    <sortState xmlns:xlrd2="http://schemas.microsoft.com/office/spreadsheetml/2017/richdata2" ref="A2:R162">
      <sortCondition ref="F1"/>
    </sortState>
  </autoFilter>
  <hyperlinks>
    <hyperlink ref="M2" r:id="rId1" xr:uid="{2B7B8C04-17E6-49F6-BAFE-6FBE2EF2F905}"/>
    <hyperlink ref="N2" r:id="rId2" xr:uid="{E783C564-0CE1-4D35-A928-E8C59CD16BE3}"/>
    <hyperlink ref="M3" r:id="rId3" xr:uid="{9921156B-1B66-41C4-BE3E-35DCDB26C962}"/>
    <hyperlink ref="N3" r:id="rId4" xr:uid="{8B03E706-4769-4ED0-BBE7-204D0503C52E}"/>
    <hyperlink ref="M4" r:id="rId5" xr:uid="{B386B8F7-8448-4348-A64E-E6B011BC790A}"/>
    <hyperlink ref="N4" r:id="rId6" xr:uid="{DE36C91C-433D-41F0-9DC6-CEBA4FA28317}"/>
    <hyperlink ref="M5" r:id="rId7" xr:uid="{10F95DCD-4F5D-4109-B915-E17C518E64A9}"/>
    <hyperlink ref="N5" r:id="rId8" xr:uid="{376B4B88-5544-4432-B3F1-BE5A157DBC4E}"/>
    <hyperlink ref="M6" r:id="rId9" xr:uid="{7CEDBC19-4452-4185-A2FC-5974C178CB76}"/>
    <hyperlink ref="N6" r:id="rId10" xr:uid="{7A5A8A10-E7A5-436E-9AE8-E61FA37BFB67}"/>
    <hyperlink ref="M7" r:id="rId11" xr:uid="{587EBA36-4C73-4382-B6AF-7D5E843800D8}"/>
    <hyperlink ref="N7" r:id="rId12" xr:uid="{DB65B1D1-898A-40E3-B48A-4D15A607346C}"/>
    <hyperlink ref="M8" r:id="rId13" xr:uid="{F651C16A-844F-44B7-9A27-F5D8BB282F45}"/>
    <hyperlink ref="N8" r:id="rId14" xr:uid="{600743BC-29F2-4F91-B814-D384ABF176F5}"/>
    <hyperlink ref="M9" r:id="rId15" xr:uid="{5B7F828D-ABA3-4756-916A-6BF761301EE2}"/>
    <hyperlink ref="N9" r:id="rId16" xr:uid="{0563BB2A-4C9F-47B7-BD33-82845C8EDC80}"/>
    <hyperlink ref="M10" r:id="rId17" xr:uid="{3B5E4390-2EC0-49AA-AF40-50E23BA46962}"/>
    <hyperlink ref="N10" r:id="rId18" xr:uid="{3788F350-66A6-404E-8537-CFDAEB0E4F1B}"/>
    <hyperlink ref="M11" r:id="rId19" xr:uid="{E53AE54B-1655-4C13-B97A-43DD0D361B41}"/>
    <hyperlink ref="N11" r:id="rId20" xr:uid="{4FDDB92B-85E3-40CC-A99B-7BFBCD61F1F4}"/>
    <hyperlink ref="M12" r:id="rId21" xr:uid="{B2887ECD-D778-461E-92B9-76DC571B3207}"/>
    <hyperlink ref="N12" r:id="rId22" xr:uid="{FE0F5C97-71F9-4545-BE6C-ACB910FC811A}"/>
    <hyperlink ref="M13" r:id="rId23" xr:uid="{66B8B2A8-03B5-427F-8A0C-FBDE9DE985A5}"/>
    <hyperlink ref="N13" r:id="rId24" xr:uid="{5A42544E-30CF-4C45-A184-E985D6A5681B}"/>
    <hyperlink ref="M14" r:id="rId25" xr:uid="{22498049-BB9F-4560-8B3D-136258AAB841}"/>
    <hyperlink ref="N14" r:id="rId26" xr:uid="{5C1BB9DB-7C2C-4018-A6F9-CDEB0A091504}"/>
    <hyperlink ref="M15" r:id="rId27" xr:uid="{A4C0973A-0833-4EBF-BDA1-434354E12011}"/>
    <hyperlink ref="N15" r:id="rId28" xr:uid="{0BAC0BD7-39F1-49BA-9884-8E4672BA08B5}"/>
    <hyperlink ref="M16" r:id="rId29" xr:uid="{FF549B00-8463-4C34-9AC2-D53C18809E04}"/>
    <hyperlink ref="N16" r:id="rId30" xr:uid="{6CEA07EA-3C11-44F8-A0F1-2EEA35A6C5ED}"/>
    <hyperlink ref="M17" r:id="rId31" xr:uid="{1E804013-FA38-4FA6-BF2C-A0F2943E9D00}"/>
    <hyperlink ref="N17" r:id="rId32" xr:uid="{B65229ED-D259-4070-97D6-13BBF1190DD4}"/>
    <hyperlink ref="M18" r:id="rId33" xr:uid="{9FAF8620-998C-4DA4-820F-B8BD82E1B2CB}"/>
    <hyperlink ref="N18" r:id="rId34" xr:uid="{09679AB6-6C5D-403E-BBE7-82A1091B7E86}"/>
    <hyperlink ref="M19" r:id="rId35" xr:uid="{D1963385-4740-4F61-BEC1-25F6AC84333E}"/>
    <hyperlink ref="N19" r:id="rId36" xr:uid="{D544051A-7178-4713-9279-150DBF74B9E8}"/>
    <hyperlink ref="M20" r:id="rId37" xr:uid="{98F4A3E6-FB50-48B4-8517-098E4CB461AC}"/>
    <hyperlink ref="N20" r:id="rId38" xr:uid="{7442C358-434E-421C-874C-3EEFFA06C9F0}"/>
    <hyperlink ref="M21" r:id="rId39" xr:uid="{0E771C30-C076-4E55-8C82-9A002A4A3801}"/>
    <hyperlink ref="N21" r:id="rId40" xr:uid="{FDE26E9A-331F-453F-BFF7-EE5FE1485A48}"/>
    <hyperlink ref="M22" r:id="rId41" xr:uid="{3DE1863B-01A5-4C1C-B266-72517CE50E45}"/>
    <hyperlink ref="N22" r:id="rId42" xr:uid="{426E36DC-1045-4831-B1FC-4D1AE5EA8D05}"/>
    <hyperlink ref="M23" r:id="rId43" xr:uid="{33AAF918-C6CC-4FFD-8179-F3451E578957}"/>
    <hyperlink ref="N23" r:id="rId44" xr:uid="{23ACE6AF-446E-4739-A08A-A53454A30B41}"/>
    <hyperlink ref="M24" r:id="rId45" xr:uid="{E450949E-0D73-4E04-8145-4D257040D11D}"/>
    <hyperlink ref="N24" r:id="rId46" xr:uid="{2D713563-C2E8-4630-80A8-5B8A1AC024D2}"/>
    <hyperlink ref="M25" r:id="rId47" xr:uid="{2E3AA694-463F-4968-95EC-0FE9C80950BD}"/>
    <hyperlink ref="N25" r:id="rId48" xr:uid="{6B5CD597-ECEE-4E9F-A11C-200BECAA203A}"/>
    <hyperlink ref="M26" r:id="rId49" xr:uid="{FD5CA932-7251-4B94-B247-B847F1754C03}"/>
    <hyperlink ref="N26" r:id="rId50" xr:uid="{0161E1C7-BB04-457F-974C-DABB38BA9E4C}"/>
    <hyperlink ref="M27" r:id="rId51" xr:uid="{D2EF494C-0DA7-4237-8D2C-2D50D9E1FA38}"/>
    <hyperlink ref="N27" r:id="rId52" xr:uid="{55E7164E-3F53-4871-8A64-3E937DC474D5}"/>
    <hyperlink ref="M28" r:id="rId53" xr:uid="{49630C23-14C2-45DA-9321-D5ED67817B63}"/>
    <hyperlink ref="N28" r:id="rId54" xr:uid="{D47FF76B-D93E-4ACB-809E-2BCCAA0D81EA}"/>
    <hyperlink ref="M29" r:id="rId55" xr:uid="{6F9B4044-4487-40F8-B0CD-D1FC2C355FD9}"/>
    <hyperlink ref="N29" r:id="rId56" xr:uid="{699EA0EC-D864-45E2-9053-878E26BB7567}"/>
    <hyperlink ref="M30" r:id="rId57" xr:uid="{D113F75B-055C-4ED5-B09D-2EEDCAD437E1}"/>
    <hyperlink ref="N30" r:id="rId58" xr:uid="{F3A372EB-5D05-4E39-80F6-D75C5C1868FB}"/>
    <hyperlink ref="M31" r:id="rId59" xr:uid="{F9E0A3CA-E4FB-4EF0-9A6C-346552464B1E}"/>
    <hyperlink ref="N31" r:id="rId60" xr:uid="{3AAB2040-6245-47E6-9ADA-49D072427907}"/>
    <hyperlink ref="M32" r:id="rId61" xr:uid="{881B84EA-7A04-45B1-905C-3D14A4BAB696}"/>
    <hyperlink ref="N32" r:id="rId62" xr:uid="{3FD1F4A4-48F1-407A-9C4B-7C0F420AB023}"/>
    <hyperlink ref="M33" r:id="rId63" xr:uid="{808C040E-2D09-4F73-87C2-43F08E85BAB6}"/>
    <hyperlink ref="N33" r:id="rId64" xr:uid="{38480E63-04EB-4E83-AD52-B78CAB184CBB}"/>
    <hyperlink ref="M34" r:id="rId65" xr:uid="{A5F682D1-2BCA-467B-A78B-D9979CCEB872}"/>
    <hyperlink ref="N34" r:id="rId66" xr:uid="{DCA7777B-0E98-4B53-8DFC-6D89071C4113}"/>
    <hyperlink ref="M35" r:id="rId67" xr:uid="{AFFFFA9E-0C66-4F98-898F-7A51A77DE736}"/>
    <hyperlink ref="N35" r:id="rId68" xr:uid="{99FDD684-774D-46E6-8CC6-6B8B521625CC}"/>
    <hyperlink ref="M36" r:id="rId69" xr:uid="{2332C692-7160-4657-8569-30B46AF50F2C}"/>
    <hyperlink ref="N36" r:id="rId70" xr:uid="{71D047B9-1C24-4C25-A75E-30EA695715B3}"/>
    <hyperlink ref="M37" r:id="rId71" xr:uid="{1B4106A8-1EE6-4EAA-8FD9-3FE8C6FB20AF}"/>
    <hyperlink ref="N37" r:id="rId72" xr:uid="{8B9E2321-DEC4-404C-B5D1-DF36BC258007}"/>
    <hyperlink ref="M38" r:id="rId73" xr:uid="{134E441F-C557-4722-B7E2-9C7399D75EA3}"/>
    <hyperlink ref="N38" r:id="rId74" xr:uid="{8C0B0F25-8B9E-4195-88CE-007A8B79C25D}"/>
    <hyperlink ref="M39" r:id="rId75" xr:uid="{3BA119AC-7E58-4889-852F-AF52160E14B8}"/>
    <hyperlink ref="N39" r:id="rId76" xr:uid="{164360F4-629E-43C5-8A72-7D7FD0F4CAEF}"/>
    <hyperlink ref="M40" r:id="rId77" xr:uid="{F1E87122-4D23-4D81-A0C8-C4B6147D7F90}"/>
    <hyperlink ref="N40" r:id="rId78" xr:uid="{48E015E9-22CD-46AA-9970-452F993FC0A3}"/>
    <hyperlink ref="M41" r:id="rId79" xr:uid="{918E89BD-7DC9-4016-999C-5ACB16C5928F}"/>
    <hyperlink ref="N41" r:id="rId80" xr:uid="{1299FF31-D5C6-4DFC-A61E-076ABC4A2477}"/>
    <hyperlink ref="M42" r:id="rId81" xr:uid="{28952EA2-906D-4878-AA4B-24397101029C}"/>
    <hyperlink ref="N42" r:id="rId82" xr:uid="{ABF1AE5D-9A60-479C-B70A-3CA797D64D38}"/>
    <hyperlink ref="M43" r:id="rId83" xr:uid="{89A2DDBC-CE5B-4908-9331-A504A48B04CB}"/>
    <hyperlink ref="N43" r:id="rId84" xr:uid="{E8F5736F-A8A0-4B41-85F1-C5005F784804}"/>
    <hyperlink ref="M44" r:id="rId85" xr:uid="{1B21609F-2189-4BA6-AC87-7452F80F7CA4}"/>
    <hyperlink ref="N44" r:id="rId86" xr:uid="{B617830E-3674-4427-8738-748074F0E61C}"/>
    <hyperlink ref="M45" r:id="rId87" xr:uid="{4B722CD1-E524-40D7-A787-902FA583D843}"/>
    <hyperlink ref="N45" r:id="rId88" xr:uid="{7E7DC43F-2E38-4EB2-AF38-4D3D159CB740}"/>
    <hyperlink ref="M46" r:id="rId89" xr:uid="{E16E7DA9-3B00-439A-A089-DB127DBB560B}"/>
    <hyperlink ref="N46" r:id="rId90" xr:uid="{0AA9DC31-E892-4BFF-ACB9-B0991511326F}"/>
    <hyperlink ref="M47" r:id="rId91" xr:uid="{12DEBB67-BB2A-4AA6-BD7C-926ACA3A84D7}"/>
    <hyperlink ref="N47" r:id="rId92" xr:uid="{EF052BBE-7A54-4DDC-8A3C-BDFCD46C3552}"/>
    <hyperlink ref="M48" r:id="rId93" xr:uid="{8FED76DE-7D1D-41A8-A3D6-4ABC03097E7D}"/>
    <hyperlink ref="N48" r:id="rId94" xr:uid="{5797F2FC-8FCD-422A-B817-CF481CE3C76A}"/>
    <hyperlink ref="M49" r:id="rId95" xr:uid="{B74E2EA7-38B1-4275-88A0-AE4828107738}"/>
    <hyperlink ref="N49" r:id="rId96" xr:uid="{974FEE98-53E3-45CF-9742-638018A844EC}"/>
    <hyperlink ref="M50" r:id="rId97" xr:uid="{A2BA9685-39DA-4D98-BA31-7A6C42EC38F5}"/>
    <hyperlink ref="N50" r:id="rId98" xr:uid="{EB9000FC-210C-4E9E-BE25-7E06E7B4AAC1}"/>
    <hyperlink ref="M51" r:id="rId99" xr:uid="{D2C4DDFF-7938-4D34-B5F5-C4E6F070059A}"/>
    <hyperlink ref="N51" r:id="rId100" xr:uid="{4C8F5997-AE63-42CB-9431-74579A56CB62}"/>
    <hyperlink ref="M52" r:id="rId101" xr:uid="{3B796ED0-98C8-40B4-BBB9-227EADFDA2B0}"/>
    <hyperlink ref="N52" r:id="rId102" xr:uid="{BD920BA5-7A31-466E-8757-69BE392C5E8C}"/>
    <hyperlink ref="M53" r:id="rId103" xr:uid="{40555122-BDA8-4868-BD34-C2B19A6B16B1}"/>
    <hyperlink ref="N53" r:id="rId104" xr:uid="{2EB10E1D-C68F-4DB4-B2C2-DD736FEC2A82}"/>
    <hyperlink ref="M54" r:id="rId105" xr:uid="{D3D99B6A-3E9B-4C37-95F0-D5DCF3B8D601}"/>
    <hyperlink ref="N54" r:id="rId106" xr:uid="{DA5ACD5D-542F-46B2-8772-13CDB5DCA05E}"/>
    <hyperlink ref="M55" r:id="rId107" xr:uid="{E38B529D-33F5-4F08-9414-2C40873F95A2}"/>
    <hyperlink ref="N55" r:id="rId108" xr:uid="{643573BA-9C59-48C1-B89D-6BD606551002}"/>
    <hyperlink ref="M56" r:id="rId109" xr:uid="{3831458B-B747-490F-85FD-B275D9DF93A1}"/>
    <hyperlink ref="N56" r:id="rId110" xr:uid="{98E4B8C6-4087-4368-87D6-CA274ACE8CF6}"/>
    <hyperlink ref="M57" r:id="rId111" xr:uid="{6A06745D-3437-4812-A1D2-99DBCE6C9FFB}"/>
    <hyperlink ref="N57" r:id="rId112" xr:uid="{9FE6C947-A56E-4605-9CE2-21B41EC3A564}"/>
    <hyperlink ref="M58" r:id="rId113" xr:uid="{AC1708B3-E285-41DB-9625-80A4BF89733F}"/>
    <hyperlink ref="N58" r:id="rId114" xr:uid="{3248337A-F2F6-4ADA-92F6-7169F26BDC28}"/>
    <hyperlink ref="M59" r:id="rId115" xr:uid="{04B77520-BE7C-4AB2-B640-6835697B20F9}"/>
    <hyperlink ref="N59" r:id="rId116" xr:uid="{1F915077-0667-4596-9A45-71F50C26D327}"/>
    <hyperlink ref="M60" r:id="rId117" xr:uid="{FE5D876F-C75E-4574-97CD-CE13539AAC72}"/>
    <hyperlink ref="N60" r:id="rId118" xr:uid="{9B19A773-4D35-4307-9EC7-CBF9AE3E7521}"/>
    <hyperlink ref="M61" r:id="rId119" xr:uid="{2DD02CE1-0675-4E13-B771-A5FA5CA46E7B}"/>
    <hyperlink ref="N61" r:id="rId120" xr:uid="{E07FA3EA-EEEF-4731-B981-FD783E8E5881}"/>
    <hyperlink ref="M62" r:id="rId121" xr:uid="{6AC8D07C-5C31-4497-91DA-45A62B758B60}"/>
    <hyperlink ref="N62" r:id="rId122" xr:uid="{FD1EB9D5-794C-4EDA-A16A-87DBA34CA686}"/>
    <hyperlink ref="M63" r:id="rId123" xr:uid="{D6E87819-DE44-4728-A548-4C92351B3C8E}"/>
    <hyperlink ref="N63" r:id="rId124" xr:uid="{9CBED4DF-1CC0-4B76-B16C-FB762C8A581F}"/>
    <hyperlink ref="M64" r:id="rId125" xr:uid="{39724E8F-1D35-4098-8A1E-8481C6D28CA4}"/>
    <hyperlink ref="N64" r:id="rId126" xr:uid="{19374AD3-11AB-4224-B792-82378AA5EDD2}"/>
    <hyperlink ref="M65" r:id="rId127" xr:uid="{47F09FC9-5416-4677-918D-A3210D11DF85}"/>
    <hyperlink ref="N65" r:id="rId128" xr:uid="{ADAB32B1-0654-4488-82B8-CE5C312BA0E0}"/>
    <hyperlink ref="M66" r:id="rId129" xr:uid="{95E003A2-52C1-49D6-8AA3-4A3B0D71D381}"/>
    <hyperlink ref="N66" r:id="rId130" xr:uid="{C089CCB8-F656-4152-A509-356E8FEE76C5}"/>
    <hyperlink ref="M67" r:id="rId131" xr:uid="{8D8675E2-7AA9-4FBA-A698-57A4AA3A37BB}"/>
    <hyperlink ref="N67" r:id="rId132" xr:uid="{D3CCBB8F-5BC0-4CE1-9A99-EAA49138503D}"/>
    <hyperlink ref="M68" r:id="rId133" xr:uid="{F1026292-AFF2-41E7-96F1-44B9AA0EE716}"/>
    <hyperlink ref="N68" r:id="rId134" xr:uid="{EF13DB61-1F00-43DE-81B8-10015BB08B9E}"/>
    <hyperlink ref="M69" r:id="rId135" xr:uid="{E7EF853B-EB26-4B4F-BF7C-B324CCD58619}"/>
    <hyperlink ref="N69" r:id="rId136" xr:uid="{BE11D6F8-82E6-4D59-ADC2-F534E0BD4303}"/>
    <hyperlink ref="M70" r:id="rId137" xr:uid="{8FE92505-7C5C-45E0-90F1-790C555E9B54}"/>
    <hyperlink ref="N70" r:id="rId138" xr:uid="{42A9833B-CE10-4526-92ED-8EAD09FC3719}"/>
    <hyperlink ref="M71" r:id="rId139" xr:uid="{E0B7B496-0071-492E-83F4-618CC4BA7A82}"/>
    <hyperlink ref="N71" r:id="rId140" xr:uid="{F81C2D25-A726-432B-91FA-9E3DA28BF0DD}"/>
    <hyperlink ref="M72" r:id="rId141" xr:uid="{350449CC-429B-438A-914C-62156FB1AB91}"/>
    <hyperlink ref="N72" r:id="rId142" xr:uid="{D16115B3-1131-4532-B88A-33D083B7B52B}"/>
    <hyperlink ref="M73" r:id="rId143" xr:uid="{D4414DE1-5BF8-49DA-9B7B-092614A877FA}"/>
    <hyperlink ref="N73" r:id="rId144" xr:uid="{75F3BDC6-CCE6-44DF-84E9-C171F708C1EC}"/>
    <hyperlink ref="M74" r:id="rId145" xr:uid="{DD41B092-8B5E-46BE-8675-F0986F3493AA}"/>
    <hyperlink ref="N74" r:id="rId146" xr:uid="{CE61F4A3-DF5B-4021-BE8B-4DBDE161232C}"/>
    <hyperlink ref="M75" r:id="rId147" xr:uid="{4855EC6A-DF84-44C4-9542-C4E5689F9896}"/>
    <hyperlink ref="N75" r:id="rId148" xr:uid="{E758CB48-BAC8-4F1B-8D20-08A6B2F23A59}"/>
    <hyperlink ref="M76" r:id="rId149" xr:uid="{BF9AEFF3-3BC5-4090-A572-6F83A81C3892}"/>
    <hyperlink ref="N76" r:id="rId150" xr:uid="{ABC02B6C-D6A5-4A93-BC3F-8667958822E9}"/>
    <hyperlink ref="M77" r:id="rId151" xr:uid="{BCC834E8-EEFA-474C-BEEA-B1BF17D16B88}"/>
    <hyperlink ref="N77" r:id="rId152" xr:uid="{40B7CB9D-D1E4-419C-8D80-BF4159A25069}"/>
    <hyperlink ref="M78" r:id="rId153" xr:uid="{08DD86F6-05E1-4A4B-99AD-88B3C0693C56}"/>
    <hyperlink ref="N78" r:id="rId154" xr:uid="{BF4C08D5-C93C-4740-A1E5-32BB8D3687F2}"/>
    <hyperlink ref="M79" r:id="rId155" xr:uid="{EFB29E1C-8D67-419A-A086-9A0FEB575BF6}"/>
    <hyperlink ref="N79" r:id="rId156" xr:uid="{FC15E4DE-25F9-4B7A-AF36-19C1085D794E}"/>
    <hyperlink ref="M80" r:id="rId157" xr:uid="{F2BC0BC4-05F6-4ECF-B8E6-86D9604B48EE}"/>
    <hyperlink ref="N80" r:id="rId158" xr:uid="{3E6C7B35-E17C-4DB7-B8E1-C637AB0E320A}"/>
    <hyperlink ref="M81" r:id="rId159" xr:uid="{F0613510-D2DF-47D4-A26A-87532AAA197B}"/>
    <hyperlink ref="N81" r:id="rId160" xr:uid="{1A0B1F8C-7D98-49DF-B5EA-C96BFBA39156}"/>
    <hyperlink ref="M82" r:id="rId161" xr:uid="{FD5C33EE-B47F-42B9-A3C6-AC71E14842EF}"/>
    <hyperlink ref="N82" r:id="rId162" xr:uid="{6AA7600B-99FA-4A15-8203-938DECC4B2EF}"/>
    <hyperlink ref="M83" r:id="rId163" xr:uid="{9C6CB324-C211-45C3-828F-37791652C5A8}"/>
    <hyperlink ref="N83" r:id="rId164" xr:uid="{AE6AB5A6-8CBB-4A5C-B053-5075F808710B}"/>
    <hyperlink ref="M84" r:id="rId165" xr:uid="{4D34ACE5-C07A-4670-93AE-DC150153F8C9}"/>
    <hyperlink ref="N84" r:id="rId166" xr:uid="{3E037D9E-9D1F-434D-A48B-1879687DCBD9}"/>
    <hyperlink ref="M85" r:id="rId167" xr:uid="{D0E378AF-50F9-4FB3-8547-E66065BD760B}"/>
    <hyperlink ref="N85" r:id="rId168" xr:uid="{AF979DC2-C9B6-4613-A7D9-998208C95C59}"/>
    <hyperlink ref="M86" r:id="rId169" xr:uid="{4916F883-E265-48D4-BE43-936BF87A1DF6}"/>
    <hyperlink ref="N86" r:id="rId170" xr:uid="{8815FAFA-6503-47A3-BF05-E151F3A6A35E}"/>
    <hyperlink ref="M87" r:id="rId171" xr:uid="{4456FD80-B1B7-492B-B779-A6BE6DB02278}"/>
    <hyperlink ref="N87" r:id="rId172" xr:uid="{D383B362-685D-49D4-ADB8-32FF3D4874F0}"/>
    <hyperlink ref="M88" r:id="rId173" xr:uid="{685CCACB-2BFB-4656-B80F-523A82110E28}"/>
    <hyperlink ref="N88" r:id="rId174" xr:uid="{35F8C520-8333-449C-A7B3-0328682ECC49}"/>
    <hyperlink ref="M89" r:id="rId175" xr:uid="{838AF4F7-1F52-4FA8-B5D0-77797DD95DD8}"/>
    <hyperlink ref="N89" r:id="rId176" xr:uid="{D3638A7E-49CA-41FB-8137-0386D7456FCE}"/>
    <hyperlink ref="M90" r:id="rId177" xr:uid="{9C681D42-23B1-4A81-BB02-3A0B9FEBC4E2}"/>
    <hyperlink ref="N90" r:id="rId178" xr:uid="{346D1895-1EFC-4413-A878-BDD42EC25797}"/>
    <hyperlink ref="M91" r:id="rId179" xr:uid="{44AB7956-07E8-4993-A999-428752FEC4A3}"/>
    <hyperlink ref="N91" r:id="rId180" xr:uid="{F925DC56-D95D-48BA-ABFB-762D21230212}"/>
    <hyperlink ref="M92" r:id="rId181" xr:uid="{C2ECB2CB-D16C-4C68-8A5B-DD6AD64A3B90}"/>
    <hyperlink ref="N92" r:id="rId182" xr:uid="{2DE4517D-BF11-4C67-9A81-9A25110EC3E3}"/>
    <hyperlink ref="M93" r:id="rId183" xr:uid="{E5EC717E-6979-4D0D-AEC2-4E280DBA0ADE}"/>
    <hyperlink ref="N93" r:id="rId184" xr:uid="{0938551B-8936-46CA-81D6-270EF70F2DB5}"/>
    <hyperlink ref="M94" r:id="rId185" xr:uid="{50498624-D576-4570-B948-DABE273A3D36}"/>
    <hyperlink ref="N94" r:id="rId186" xr:uid="{0CBD47A1-8640-44B8-A22E-D5DE5B753D63}"/>
    <hyperlink ref="M95" r:id="rId187" xr:uid="{411973A6-BB2D-480A-9291-DFE4EF182E24}"/>
    <hyperlink ref="N95" r:id="rId188" xr:uid="{B67C22AE-4946-4247-8C60-C3386CBE05C3}"/>
    <hyperlink ref="M96" r:id="rId189" xr:uid="{F7D68493-7A50-47D1-BD9A-7B3BA4880AC4}"/>
    <hyperlink ref="N96" r:id="rId190" xr:uid="{955F7A86-8F0F-45BF-A5DF-E2A852AC9BBA}"/>
    <hyperlink ref="M97" r:id="rId191" xr:uid="{41BB2E02-31C1-4470-A383-7A70A559F7EE}"/>
    <hyperlink ref="N97" r:id="rId192" xr:uid="{150CC379-D7B9-47FC-A02D-EF53427EE552}"/>
    <hyperlink ref="M98" r:id="rId193" xr:uid="{252D1FC6-4215-4192-82D3-DF38841CF0C2}"/>
    <hyperlink ref="N98" r:id="rId194" xr:uid="{E7987FF0-807F-44BB-9F84-CF766AFEF127}"/>
    <hyperlink ref="M99" r:id="rId195" xr:uid="{B77A75A7-C664-4ABE-9DF9-23C47F2F487A}"/>
    <hyperlink ref="N99" r:id="rId196" xr:uid="{07D5A595-B0D3-4118-BF86-C57BC957694A}"/>
    <hyperlink ref="M100" r:id="rId197" xr:uid="{3F242984-3F00-4676-A4CA-FEF89FDAB327}"/>
    <hyperlink ref="N100" r:id="rId198" xr:uid="{3BD03BD6-E743-4521-8377-EEC13EC07B3A}"/>
    <hyperlink ref="M101" r:id="rId199" xr:uid="{0709AFEA-F18F-4905-BBF1-35F2F0A1FC1D}"/>
    <hyperlink ref="N101" r:id="rId200" xr:uid="{5A473047-7AE0-49D2-BC1A-DC80D6605FB6}"/>
    <hyperlink ref="M102" r:id="rId201" xr:uid="{54DA341F-CC0F-41EE-89AF-022A168385D6}"/>
    <hyperlink ref="N102" r:id="rId202" xr:uid="{8CF1826F-40C5-49D9-835D-E4DFA658F9B9}"/>
    <hyperlink ref="M103" r:id="rId203" xr:uid="{8E4FA32B-AC2B-4BC6-97DE-0F28DA9FC4A8}"/>
    <hyperlink ref="N103" r:id="rId204" xr:uid="{6FD5EF42-4BE7-41BC-9029-1C0CA4A6ED37}"/>
    <hyperlink ref="M104" r:id="rId205" xr:uid="{254C7EC5-57CC-4471-9FFE-E3038788CBE3}"/>
    <hyperlink ref="N104" r:id="rId206" xr:uid="{B6546B84-A7AB-46C2-8381-C7134C0EBEFF}"/>
    <hyperlink ref="M105" r:id="rId207" xr:uid="{B3FEA4D3-E76E-4438-B28C-118E13201CC3}"/>
    <hyperlink ref="N105" r:id="rId208" xr:uid="{FAE17949-F3E0-42E2-A269-ECDFB648B171}"/>
    <hyperlink ref="M106" r:id="rId209" xr:uid="{7A27132C-82BE-4222-B8DD-B5EA86AC24B1}"/>
    <hyperlink ref="N106" r:id="rId210" xr:uid="{2F1BB885-725C-46D2-9B26-EBD96068AFA7}"/>
    <hyperlink ref="M107" r:id="rId211" xr:uid="{75DBC6A2-2551-45A7-9BD3-9CA4E464D01E}"/>
    <hyperlink ref="N107" r:id="rId212" xr:uid="{6EBFB3F7-D66D-49E1-8DA6-6C521F9BCB10}"/>
    <hyperlink ref="M108" r:id="rId213" xr:uid="{EB4C43BA-96F6-4995-BEB1-2CCCEE76CDD8}"/>
    <hyperlink ref="N108" r:id="rId214" xr:uid="{3126AB1A-20E5-4213-889B-B17D42ECB5B7}"/>
    <hyperlink ref="M109" r:id="rId215" xr:uid="{D87B1803-DED8-473A-82EE-E8EFEAE7460A}"/>
    <hyperlink ref="N109" r:id="rId216" xr:uid="{EA67B898-A69C-4AD8-A7AF-187A6DE047C1}"/>
    <hyperlink ref="M110" r:id="rId217" xr:uid="{3A1FBDB3-CC1B-47BA-A581-6DA28D5E8A50}"/>
    <hyperlink ref="N110" r:id="rId218" xr:uid="{B31B96DF-90F2-4445-8324-9F5A9AF8E4FC}"/>
    <hyperlink ref="M111" r:id="rId219" xr:uid="{01995374-A269-4655-AD21-B74B53BE11AA}"/>
    <hyperlink ref="N111" r:id="rId220" xr:uid="{FE9F3C93-BF86-4DC4-8A1A-A85C173E9304}"/>
    <hyperlink ref="M112" r:id="rId221" xr:uid="{4310E16F-7CBF-440A-8A7F-D561477F4CBB}"/>
    <hyperlink ref="N112" r:id="rId222" xr:uid="{9CD1F8BF-A784-4C2B-8996-BA38BEE3D38D}"/>
    <hyperlink ref="M113" r:id="rId223" xr:uid="{BB02BF15-FBDB-4E54-BC20-D678E4979D14}"/>
    <hyperlink ref="N113" r:id="rId224" xr:uid="{4E387BFA-28F6-4552-8DC9-A2E28BF9B9CF}"/>
    <hyperlink ref="M114" r:id="rId225" xr:uid="{4286B000-C85D-43C1-AA5A-AF10AF8AC06C}"/>
    <hyperlink ref="N114" r:id="rId226" xr:uid="{A3F70EC4-B9C0-48B8-AB83-8EF8A99B11B4}"/>
    <hyperlink ref="M115" r:id="rId227" xr:uid="{4D415BD4-9EB6-46E9-90D8-E68AD1840571}"/>
    <hyperlink ref="N115" r:id="rId228" xr:uid="{DA67D063-B955-452C-BDCE-387D105F9D7E}"/>
    <hyperlink ref="M116" r:id="rId229" xr:uid="{C22CBBA9-2EAD-4E95-8426-ADD72DEEAA17}"/>
    <hyperlink ref="N116" r:id="rId230" xr:uid="{6C6DD8E7-6D42-40F8-81A4-192DEFBDFA1F}"/>
    <hyperlink ref="M117" r:id="rId231" xr:uid="{FAEDD4F7-3B35-4A67-99C9-499D74D43E78}"/>
    <hyperlink ref="N117" r:id="rId232" xr:uid="{F63B881B-3C96-45ED-A5BF-9B7E9F3FB1AA}"/>
    <hyperlink ref="M118" r:id="rId233" xr:uid="{BC45B347-EBBA-42DB-A907-55CF88A6E035}"/>
    <hyperlink ref="N118" r:id="rId234" xr:uid="{A30EDE7F-C66D-42AD-9A93-A0D5031D38A0}"/>
    <hyperlink ref="M119" r:id="rId235" xr:uid="{A0916A66-A9E8-4C99-B7BA-2143AF1163CB}"/>
    <hyperlink ref="N119" r:id="rId236" xr:uid="{F8B338F3-9019-466B-95F6-3A6D4CFC8B12}"/>
    <hyperlink ref="M120" r:id="rId237" xr:uid="{1E9E0B1A-2A1E-47B1-8239-4C46E0CD883F}"/>
    <hyperlink ref="N120" r:id="rId238" xr:uid="{210A894A-1591-4AE4-8DFD-A2BCB8E38C04}"/>
    <hyperlink ref="M121" r:id="rId239" xr:uid="{AC5DF58F-DD50-4B5A-B9CB-F271AA6B0778}"/>
    <hyperlink ref="N121" r:id="rId240" xr:uid="{6A46117C-204C-4909-A3CE-BEF566386832}"/>
    <hyperlink ref="M122" r:id="rId241" xr:uid="{8E58D006-0FFD-447D-87DC-08383C60FD68}"/>
    <hyperlink ref="N122" r:id="rId242" xr:uid="{A90CCCD9-DBDC-43BF-BC87-176FA15AE321}"/>
    <hyperlink ref="M123" r:id="rId243" xr:uid="{900E0D83-F150-4DC8-B639-FB47DE296785}"/>
    <hyperlink ref="N123" r:id="rId244" xr:uid="{3939D453-19FA-4B4F-9F5B-46D9AE73256D}"/>
    <hyperlink ref="M124" r:id="rId245" xr:uid="{D0415B5B-F5C1-4944-9C48-50AB17F1B41F}"/>
    <hyperlink ref="N124" r:id="rId246" xr:uid="{A65F73C9-9279-4C98-97CA-69E465DCF55A}"/>
    <hyperlink ref="M125" r:id="rId247" xr:uid="{CA78AD02-C087-4BC5-AE0D-1F567E028C93}"/>
    <hyperlink ref="N125" r:id="rId248" xr:uid="{9FE1370C-812B-4819-825C-C36DD6B811A5}"/>
    <hyperlink ref="M126" r:id="rId249" xr:uid="{92DAE4E9-7369-4F7A-B8E4-920113AB3A4E}"/>
    <hyperlink ref="N126" r:id="rId250" xr:uid="{EE61906B-D2FD-4F44-9A96-375A7C200AA3}"/>
    <hyperlink ref="M127" r:id="rId251" xr:uid="{26CE0A9E-8084-4956-A09E-40D903182100}"/>
    <hyperlink ref="N127" r:id="rId252" xr:uid="{F35CF4B3-13A5-486A-BE4A-1376A872F754}"/>
    <hyperlink ref="M128" r:id="rId253" xr:uid="{CA8E4A5A-6CA1-4C0E-B338-2E406750FC1E}"/>
    <hyperlink ref="N128" r:id="rId254" xr:uid="{699FC688-A795-407C-84D5-174DA0B539EA}"/>
    <hyperlink ref="M129" r:id="rId255" xr:uid="{F082AE30-D8F9-43A7-A622-F14A54CBE8D3}"/>
    <hyperlink ref="N129" r:id="rId256" xr:uid="{0A4BBDE7-7B61-4ABE-A2CA-A0705A44CBD0}"/>
    <hyperlink ref="M130" r:id="rId257" xr:uid="{7EDAC76E-146A-42BF-B8D4-82C1F20B6133}"/>
    <hyperlink ref="N130" r:id="rId258" xr:uid="{2A8CC64A-DE83-4F81-A337-B68C013E5181}"/>
    <hyperlink ref="M131" r:id="rId259" xr:uid="{3250F8B5-B76C-4359-B0EC-124E01EF2E70}"/>
    <hyperlink ref="N131" r:id="rId260" xr:uid="{DB0288D8-9545-40C8-BFCE-35F602ECFC40}"/>
    <hyperlink ref="M132" r:id="rId261" xr:uid="{B8EA3B23-E467-48F0-B628-CCFD78E06CE3}"/>
    <hyperlink ref="N132" r:id="rId262" xr:uid="{2F7CA07F-3B7C-4689-97C3-20F5E7671602}"/>
    <hyperlink ref="M133" r:id="rId263" xr:uid="{9B0EF619-2DD5-4BD6-835F-7F7CD380C03D}"/>
    <hyperlink ref="N133" r:id="rId264" xr:uid="{2F96737A-5EA3-461D-A1A6-588DA12F67FA}"/>
    <hyperlink ref="M134" r:id="rId265" xr:uid="{3AB0D732-BB89-4ED4-BDA2-705A18EE347F}"/>
    <hyperlink ref="N134" r:id="rId266" xr:uid="{CA32BC8E-8BB3-4993-945F-EE7D0C2A6F86}"/>
    <hyperlink ref="M135" r:id="rId267" xr:uid="{07CEC670-21EA-4880-B610-876C9F049EF5}"/>
    <hyperlink ref="N135" r:id="rId268" xr:uid="{EB6CFF50-526B-4B96-BB3C-661487DB1245}"/>
    <hyperlink ref="M136" r:id="rId269" xr:uid="{7F8D98DC-971A-4609-A78F-4BEFB0AE96F6}"/>
    <hyperlink ref="N136" r:id="rId270" xr:uid="{7FE8A3EC-CBAA-4081-BD06-B81CADEC2053}"/>
    <hyperlink ref="M137" r:id="rId271" xr:uid="{E843AAC8-8B17-435C-923B-8D3C75C64E88}"/>
    <hyperlink ref="N137" r:id="rId272" xr:uid="{01700D2C-D411-47C6-B7A9-4FBE754800C0}"/>
    <hyperlink ref="M138" r:id="rId273" xr:uid="{CBA4F357-4F81-4772-9B1D-DF482DEE3D3E}"/>
    <hyperlink ref="N138" r:id="rId274" xr:uid="{0F4D8C34-15F8-4772-BB96-F5EB8761AE1C}"/>
    <hyperlink ref="M139" r:id="rId275" xr:uid="{249B03A0-F45D-4C4E-B2D4-7227D1CA4BA3}"/>
    <hyperlink ref="N139" r:id="rId276" xr:uid="{38EA07FD-9D3D-455E-A653-12F0AA97C2AA}"/>
    <hyperlink ref="M140" r:id="rId277" xr:uid="{6654FC5D-BC5C-4106-AA75-2EF5AFF2DABD}"/>
    <hyperlink ref="N140" r:id="rId278" xr:uid="{FC2377E2-0D2D-4417-AF63-C4307BC776F6}"/>
    <hyperlink ref="M141" r:id="rId279" xr:uid="{B801E124-4623-4023-8B16-6A4658597307}"/>
    <hyperlink ref="N141" r:id="rId280" xr:uid="{16AE1FA9-B36E-4874-A7D0-8D3B0D88B36E}"/>
    <hyperlink ref="M142" r:id="rId281" xr:uid="{C13DA35A-0475-46C3-A75A-99C7A17C43EF}"/>
    <hyperlink ref="N142" r:id="rId282" xr:uid="{40C08A6E-D8EE-404E-A6EF-C7B5FE7A049A}"/>
    <hyperlink ref="M143" r:id="rId283" xr:uid="{99A58D5D-A593-4A2A-BADE-F680BA68EBC4}"/>
    <hyperlink ref="N143" r:id="rId284" xr:uid="{5DD256FF-4183-4C5B-8043-63CAB090E1A1}"/>
    <hyperlink ref="M144" r:id="rId285" xr:uid="{2ED2D351-C4F7-41BF-8CF5-27CC6F60B46C}"/>
    <hyperlink ref="N144" r:id="rId286" xr:uid="{E8F66690-8AAC-4BF3-A1AC-65A418F3013E}"/>
    <hyperlink ref="M145" r:id="rId287" xr:uid="{B87E9113-5E36-42DB-B65C-ACA2B563E778}"/>
    <hyperlink ref="N145" r:id="rId288" xr:uid="{DF02BD34-7B5E-4A4C-9CED-A5385146F4D9}"/>
    <hyperlink ref="M146" r:id="rId289" xr:uid="{53267CCF-3552-43AC-8BED-782019DDCE4F}"/>
    <hyperlink ref="N146" r:id="rId290" xr:uid="{FA60CF93-C93E-445D-B975-0C7766908B0B}"/>
    <hyperlink ref="M147" r:id="rId291" xr:uid="{CFEC420B-7A43-4793-B239-556AD5269407}"/>
    <hyperlink ref="N147" r:id="rId292" xr:uid="{43C288BC-BB24-467C-843D-B4163A5B1109}"/>
    <hyperlink ref="M148" r:id="rId293" xr:uid="{6A8B79C0-05AF-4902-AFCE-7636FB7FA0B8}"/>
    <hyperlink ref="N148" r:id="rId294" xr:uid="{78B5E71E-6FDE-4BEE-9222-B00A5E7ECD9F}"/>
    <hyperlink ref="M149" r:id="rId295" xr:uid="{0BAC705F-BC8F-4C31-840E-BA54D4725F7D}"/>
    <hyperlink ref="N149" r:id="rId296" xr:uid="{EE5D2DA8-5D85-4B1C-A554-A591459D8D36}"/>
    <hyperlink ref="M150" r:id="rId297" xr:uid="{AB04A44F-AE46-40F9-96AA-8710AC937E7E}"/>
    <hyperlink ref="N150" r:id="rId298" xr:uid="{A63FB21C-A4C6-4164-8237-D03FB9B86B89}"/>
    <hyperlink ref="M151" r:id="rId299" xr:uid="{57C7B679-83BC-43CF-BCB5-726546C07016}"/>
    <hyperlink ref="N151" r:id="rId300" xr:uid="{8C6BC282-904B-4EA3-AFA6-FA0E002D3D82}"/>
    <hyperlink ref="M152" r:id="rId301" xr:uid="{C74CE312-ACCC-4474-B616-EB6E3A6F6A93}"/>
    <hyperlink ref="N152" r:id="rId302" xr:uid="{43DEF8B3-E149-4019-A34E-0EC98311DA99}"/>
    <hyperlink ref="M153" r:id="rId303" xr:uid="{6B1D2807-8628-41AF-8923-548F5E0544EB}"/>
    <hyperlink ref="N153" r:id="rId304" xr:uid="{FD58F58D-1438-48C9-90B2-989B046CF730}"/>
    <hyperlink ref="M154" r:id="rId305" xr:uid="{C5F505FD-A497-44B4-BCE4-5750FA8F25F6}"/>
    <hyperlink ref="N154" r:id="rId306" xr:uid="{34924224-FACF-4DD0-8D8F-B833F14BEA05}"/>
    <hyperlink ref="M155" r:id="rId307" xr:uid="{9E488448-DDCA-425D-9499-8B6CD726D98D}"/>
    <hyperlink ref="N155" r:id="rId308" xr:uid="{E531F88C-5AED-4D11-B2A9-10813A7E732C}"/>
    <hyperlink ref="M159" r:id="rId309" xr:uid="{E7D306E1-3036-445A-B872-4A0C19FFE8E9}"/>
    <hyperlink ref="N159" r:id="rId310" xr:uid="{1343C99E-D70F-4920-8647-1188001332B9}"/>
    <hyperlink ref="M162" r:id="rId311" xr:uid="{1EA836B7-4DB1-4B63-B0AB-B4C725BD3F88}"/>
    <hyperlink ref="N162" r:id="rId312" xr:uid="{C77D8486-73AF-4F4B-8A2D-E7B04FCD669C}"/>
    <hyperlink ref="M156" r:id="rId313" xr:uid="{4C6CCE0E-9C0A-45E0-AE41-7BE790018C46}"/>
    <hyperlink ref="N156" r:id="rId314" xr:uid="{69F93000-5DEF-4A99-A74D-F6A68651FBCB}"/>
    <hyperlink ref="M157" r:id="rId315" xr:uid="{E9DE2290-3FBD-414E-BCB9-0B7AD599FE58}"/>
    <hyperlink ref="N157" r:id="rId316" xr:uid="{FC842DA7-FC93-44C7-9447-84D7F00BFA6C}"/>
    <hyperlink ref="M158" r:id="rId317" xr:uid="{556293F3-029C-4502-90C5-A7A63640C7C6}"/>
    <hyperlink ref="N158" r:id="rId318" xr:uid="{AF26FC69-E845-4F2F-A95B-9CF2E97F2C10}"/>
    <hyperlink ref="M160" r:id="rId319" xr:uid="{FA8AF3C6-6A14-4C5A-86CE-3768F22FFBAF}"/>
    <hyperlink ref="N160" r:id="rId320" xr:uid="{C7744A28-99D9-4FF6-8ACE-F6AD98962F2A}"/>
    <hyperlink ref="M161" r:id="rId321" xr:uid="{9F35BCF8-7605-4E51-A5EC-A2569066A2D3}"/>
    <hyperlink ref="N161" r:id="rId322" xr:uid="{D60C27B5-926C-4BB8-AAB1-815D7E26B2BE}"/>
    <hyperlink ref="M163" r:id="rId323" xr:uid="{AE6D5A9F-F004-4C55-9380-F7A9F58FA99F}"/>
    <hyperlink ref="N163" r:id="rId324" xr:uid="{CFB9F897-4B1B-4C2F-8BFF-BE70B089BA6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D55F6-78E6-4C4B-A203-7306DCAFB725}">
  <dimension ref="A1:K417"/>
  <sheetViews>
    <sheetView workbookViewId="0">
      <pane ySplit="1" topLeftCell="K417" activePane="bottomLeft" state="frozen"/>
      <selection pane="bottomLeft" activeCell="K417" sqref="K417"/>
    </sheetView>
  </sheetViews>
  <sheetFormatPr defaultRowHeight="15"/>
  <cols>
    <col min="1" max="1" width="19.85546875" customWidth="1"/>
    <col min="2" max="2" width="28.28515625" customWidth="1"/>
    <col min="3" max="3" width="44" customWidth="1"/>
    <col min="6" max="6" width="12.42578125" customWidth="1"/>
    <col min="7" max="7" width="23.140625" customWidth="1"/>
    <col min="8" max="8" width="17" customWidth="1"/>
    <col min="9" max="9" width="14.7109375" customWidth="1"/>
    <col min="10" max="10" width="20.28515625" customWidth="1"/>
    <col min="11" max="11" width="91.140625" customWidth="1"/>
  </cols>
  <sheetData>
    <row r="1" spans="1:11">
      <c r="A1" s="23" t="s">
        <v>0</v>
      </c>
      <c r="B1" s="24" t="s">
        <v>1</v>
      </c>
      <c r="C1" s="24" t="s">
        <v>467</v>
      </c>
      <c r="D1" s="24" t="s">
        <v>3</v>
      </c>
      <c r="E1" s="24" t="s">
        <v>468</v>
      </c>
      <c r="F1" s="24" t="s">
        <v>12</v>
      </c>
      <c r="G1" s="24" t="s">
        <v>13</v>
      </c>
      <c r="H1" s="24" t="s">
        <v>469</v>
      </c>
      <c r="I1" s="24" t="s">
        <v>16</v>
      </c>
      <c r="J1" s="24" t="s">
        <v>470</v>
      </c>
      <c r="K1" s="26" t="s">
        <v>471</v>
      </c>
    </row>
    <row r="2" spans="1:11">
      <c r="A2" s="1" t="s">
        <v>472</v>
      </c>
      <c r="B2" s="2" t="s">
        <v>35</v>
      </c>
      <c r="C2" s="2" t="s">
        <v>473</v>
      </c>
      <c r="D2" s="2"/>
      <c r="E2" s="2" t="s">
        <v>80</v>
      </c>
      <c r="F2" s="27" t="s">
        <v>12</v>
      </c>
      <c r="G2" s="28" t="s">
        <v>24</v>
      </c>
      <c r="H2" s="2"/>
      <c r="I2" s="2"/>
      <c r="J2" s="2"/>
      <c r="K2" s="6" t="s">
        <v>474</v>
      </c>
    </row>
    <row r="3" spans="1:11">
      <c r="A3" s="7" t="s">
        <v>18</v>
      </c>
      <c r="B3" s="8" t="s">
        <v>19</v>
      </c>
      <c r="C3" s="8" t="s">
        <v>475</v>
      </c>
      <c r="D3" s="8" t="s">
        <v>21</v>
      </c>
      <c r="E3" s="8" t="s">
        <v>25</v>
      </c>
      <c r="F3" s="29" t="s">
        <v>12</v>
      </c>
      <c r="G3" s="29" t="s">
        <v>24</v>
      </c>
      <c r="H3" s="8"/>
      <c r="I3" s="8" t="s">
        <v>27</v>
      </c>
      <c r="J3" s="8" t="s">
        <v>476</v>
      </c>
      <c r="K3" s="12" t="s">
        <v>477</v>
      </c>
    </row>
    <row r="4" spans="1:11">
      <c r="A4" s="1" t="s">
        <v>28</v>
      </c>
      <c r="B4" s="2" t="s">
        <v>19</v>
      </c>
      <c r="C4" s="2" t="s">
        <v>478</v>
      </c>
      <c r="D4" s="2" t="s">
        <v>21</v>
      </c>
      <c r="E4" s="2" t="s">
        <v>30</v>
      </c>
      <c r="F4" s="30" t="s">
        <v>12</v>
      </c>
      <c r="G4" s="30" t="s">
        <v>24</v>
      </c>
      <c r="H4" s="2"/>
      <c r="I4" s="2" t="s">
        <v>27</v>
      </c>
      <c r="J4" s="2" t="s">
        <v>476</v>
      </c>
      <c r="K4" s="6" t="s">
        <v>479</v>
      </c>
    </row>
    <row r="5" spans="1:11">
      <c r="A5" s="7" t="s">
        <v>32</v>
      </c>
      <c r="B5" s="8" t="s">
        <v>19</v>
      </c>
      <c r="C5" s="8" t="s">
        <v>480</v>
      </c>
      <c r="D5" s="8" t="s">
        <v>21</v>
      </c>
      <c r="E5" s="8" t="s">
        <v>30</v>
      </c>
      <c r="F5" s="29" t="s">
        <v>12</v>
      </c>
      <c r="G5" s="29" t="s">
        <v>24</v>
      </c>
      <c r="H5" s="8"/>
      <c r="I5" s="8" t="s">
        <v>27</v>
      </c>
      <c r="J5" s="8" t="s">
        <v>476</v>
      </c>
      <c r="K5" s="12" t="s">
        <v>481</v>
      </c>
    </row>
    <row r="6" spans="1:11">
      <c r="A6" s="1" t="s">
        <v>34</v>
      </c>
      <c r="B6" s="2" t="s">
        <v>35</v>
      </c>
      <c r="C6" s="2" t="s">
        <v>482</v>
      </c>
      <c r="D6" s="2" t="s">
        <v>36</v>
      </c>
      <c r="E6" s="2" t="s">
        <v>39</v>
      </c>
      <c r="F6" s="27" t="s">
        <v>12</v>
      </c>
      <c r="G6" s="28" t="s">
        <v>24</v>
      </c>
      <c r="H6" s="2"/>
      <c r="I6" s="2" t="s">
        <v>27</v>
      </c>
      <c r="J6" s="2" t="s">
        <v>476</v>
      </c>
      <c r="K6" s="6" t="s">
        <v>483</v>
      </c>
    </row>
    <row r="7" spans="1:11">
      <c r="A7" s="7" t="s">
        <v>41</v>
      </c>
      <c r="B7" s="8" t="s">
        <v>19</v>
      </c>
      <c r="C7" s="8" t="s">
        <v>482</v>
      </c>
      <c r="D7" s="8" t="s">
        <v>43</v>
      </c>
      <c r="E7" s="8" t="s">
        <v>30</v>
      </c>
      <c r="F7" s="29" t="s">
        <v>12</v>
      </c>
      <c r="G7" s="29" t="s">
        <v>24</v>
      </c>
      <c r="H7" s="8"/>
      <c r="I7" s="8" t="s">
        <v>27</v>
      </c>
      <c r="J7" s="8" t="s">
        <v>476</v>
      </c>
      <c r="K7" s="12" t="s">
        <v>484</v>
      </c>
    </row>
    <row r="8" spans="1:11">
      <c r="A8" s="1" t="s">
        <v>44</v>
      </c>
      <c r="B8" s="2" t="s">
        <v>19</v>
      </c>
      <c r="C8" s="2" t="s">
        <v>485</v>
      </c>
      <c r="D8" s="2" t="s">
        <v>43</v>
      </c>
      <c r="E8" s="2" t="s">
        <v>30</v>
      </c>
      <c r="F8" s="30" t="s">
        <v>12</v>
      </c>
      <c r="G8" s="30" t="s">
        <v>24</v>
      </c>
      <c r="H8" s="2"/>
      <c r="I8" s="2" t="s">
        <v>27</v>
      </c>
      <c r="J8" s="2" t="s">
        <v>476</v>
      </c>
      <c r="K8" s="6" t="s">
        <v>486</v>
      </c>
    </row>
    <row r="9" spans="1:11">
      <c r="A9" s="7" t="s">
        <v>46</v>
      </c>
      <c r="B9" s="8" t="s">
        <v>35</v>
      </c>
      <c r="C9" s="8" t="s">
        <v>487</v>
      </c>
      <c r="D9" s="8" t="s">
        <v>48</v>
      </c>
      <c r="E9" s="8" t="s">
        <v>39</v>
      </c>
      <c r="F9" s="31" t="s">
        <v>12</v>
      </c>
      <c r="G9" s="32" t="s">
        <v>24</v>
      </c>
      <c r="H9" s="8"/>
      <c r="I9" s="8" t="s">
        <v>27</v>
      </c>
      <c r="J9" s="8" t="s">
        <v>476</v>
      </c>
      <c r="K9" s="12" t="s">
        <v>488</v>
      </c>
    </row>
    <row r="10" spans="1:11">
      <c r="A10" s="1" t="s">
        <v>50</v>
      </c>
      <c r="B10" s="2" t="s">
        <v>35</v>
      </c>
      <c r="C10" s="2" t="s">
        <v>489</v>
      </c>
      <c r="D10" s="2" t="s">
        <v>51</v>
      </c>
      <c r="E10" s="2" t="s">
        <v>30</v>
      </c>
      <c r="F10" s="27" t="s">
        <v>12</v>
      </c>
      <c r="G10" s="28" t="s">
        <v>24</v>
      </c>
      <c r="H10" s="2"/>
      <c r="I10" s="2" t="s">
        <v>27</v>
      </c>
      <c r="J10" s="2" t="s">
        <v>476</v>
      </c>
      <c r="K10" s="6" t="s">
        <v>490</v>
      </c>
    </row>
    <row r="11" spans="1:11">
      <c r="A11" s="7" t="s">
        <v>491</v>
      </c>
      <c r="B11" s="8" t="s">
        <v>35</v>
      </c>
      <c r="C11" s="8" t="s">
        <v>492</v>
      </c>
      <c r="D11" s="8"/>
      <c r="E11" s="8" t="s">
        <v>80</v>
      </c>
      <c r="F11" s="31" t="s">
        <v>12</v>
      </c>
      <c r="G11" s="32" t="s">
        <v>24</v>
      </c>
      <c r="H11" s="8"/>
      <c r="I11" s="8"/>
      <c r="J11" s="8"/>
      <c r="K11" s="12" t="s">
        <v>493</v>
      </c>
    </row>
    <row r="12" spans="1:11">
      <c r="A12" s="1" t="s">
        <v>494</v>
      </c>
      <c r="B12" s="2" t="s">
        <v>19</v>
      </c>
      <c r="C12" s="2" t="s">
        <v>495</v>
      </c>
      <c r="D12" s="2"/>
      <c r="E12" s="2" t="s">
        <v>80</v>
      </c>
      <c r="F12" s="30" t="s">
        <v>12</v>
      </c>
      <c r="G12" s="30" t="s">
        <v>24</v>
      </c>
      <c r="H12" s="2"/>
      <c r="I12" s="2"/>
      <c r="J12" s="2"/>
      <c r="K12" s="6" t="s">
        <v>496</v>
      </c>
    </row>
    <row r="13" spans="1:11">
      <c r="A13" s="7" t="s">
        <v>497</v>
      </c>
      <c r="B13" s="8" t="s">
        <v>19</v>
      </c>
      <c r="C13" s="8" t="s">
        <v>498</v>
      </c>
      <c r="D13" s="8"/>
      <c r="E13" s="8" t="s">
        <v>199</v>
      </c>
      <c r="F13" s="11" t="s">
        <v>12</v>
      </c>
      <c r="G13" s="11" t="s">
        <v>24</v>
      </c>
      <c r="H13" s="8"/>
      <c r="I13" s="8"/>
      <c r="J13" s="8"/>
      <c r="K13" s="12" t="s">
        <v>499</v>
      </c>
    </row>
    <row r="14" spans="1:11">
      <c r="A14" s="1" t="s">
        <v>500</v>
      </c>
      <c r="B14" s="2" t="s">
        <v>35</v>
      </c>
      <c r="C14" s="2" t="s">
        <v>501</v>
      </c>
      <c r="D14" s="2"/>
      <c r="E14" s="2" t="s">
        <v>80</v>
      </c>
      <c r="F14" s="27" t="s">
        <v>12</v>
      </c>
      <c r="G14" s="28" t="s">
        <v>24</v>
      </c>
      <c r="H14" s="2"/>
      <c r="I14" s="2"/>
      <c r="J14" s="2"/>
      <c r="K14" s="6" t="s">
        <v>502</v>
      </c>
    </row>
    <row r="15" spans="1:11">
      <c r="A15" s="18" t="s">
        <v>54</v>
      </c>
      <c r="B15" s="8" t="s">
        <v>35</v>
      </c>
      <c r="C15" s="8" t="s">
        <v>503</v>
      </c>
      <c r="D15" s="8" t="s">
        <v>55</v>
      </c>
      <c r="E15" s="8" t="s">
        <v>30</v>
      </c>
      <c r="F15" s="31" t="s">
        <v>12</v>
      </c>
      <c r="G15" s="32" t="s">
        <v>24</v>
      </c>
      <c r="H15" s="8"/>
      <c r="I15" s="8" t="s">
        <v>27</v>
      </c>
      <c r="J15" s="8" t="s">
        <v>476</v>
      </c>
      <c r="K15" s="12" t="s">
        <v>504</v>
      </c>
    </row>
    <row r="16" spans="1:11">
      <c r="A16" s="1" t="s">
        <v>505</v>
      </c>
      <c r="B16" s="2" t="s">
        <v>35</v>
      </c>
      <c r="C16" s="2" t="s">
        <v>506</v>
      </c>
      <c r="D16" s="2"/>
      <c r="E16" s="2" t="s">
        <v>80</v>
      </c>
      <c r="F16" s="27" t="s">
        <v>12</v>
      </c>
      <c r="G16" s="28" t="s">
        <v>24</v>
      </c>
      <c r="H16" s="2"/>
      <c r="I16" s="2"/>
      <c r="J16" s="2"/>
      <c r="K16" s="6" t="s">
        <v>507</v>
      </c>
    </row>
    <row r="17" spans="1:11">
      <c r="A17" s="7" t="s">
        <v>57</v>
      </c>
      <c r="B17" s="8" t="s">
        <v>19</v>
      </c>
      <c r="C17" s="8" t="s">
        <v>508</v>
      </c>
      <c r="D17" s="8" t="s">
        <v>59</v>
      </c>
      <c r="E17" s="8" t="s">
        <v>61</v>
      </c>
      <c r="F17" s="29" t="s">
        <v>12</v>
      </c>
      <c r="G17" s="29" t="s">
        <v>24</v>
      </c>
      <c r="H17" s="8"/>
      <c r="I17" s="8" t="s">
        <v>27</v>
      </c>
      <c r="J17" s="8" t="s">
        <v>476</v>
      </c>
      <c r="K17" s="12" t="s">
        <v>509</v>
      </c>
    </row>
    <row r="18" spans="1:11">
      <c r="A18" s="1" t="s">
        <v>510</v>
      </c>
      <c r="B18" s="2" t="s">
        <v>273</v>
      </c>
      <c r="C18" s="2" t="s">
        <v>511</v>
      </c>
      <c r="D18" s="2"/>
      <c r="E18" s="2" t="s">
        <v>199</v>
      </c>
      <c r="F18" s="33" t="s">
        <v>12</v>
      </c>
      <c r="G18" s="5" t="s">
        <v>24</v>
      </c>
      <c r="H18" s="2"/>
      <c r="I18" s="2"/>
      <c r="J18" s="2"/>
      <c r="K18" s="6" t="s">
        <v>512</v>
      </c>
    </row>
    <row r="19" spans="1:11">
      <c r="A19" s="7" t="s">
        <v>513</v>
      </c>
      <c r="B19" s="8" t="s">
        <v>273</v>
      </c>
      <c r="C19" s="8" t="s">
        <v>514</v>
      </c>
      <c r="D19" s="8"/>
      <c r="E19" s="8" t="s">
        <v>515</v>
      </c>
      <c r="F19" s="31" t="s">
        <v>12</v>
      </c>
      <c r="G19" s="32" t="s">
        <v>24</v>
      </c>
      <c r="H19" s="8"/>
      <c r="I19" s="8"/>
      <c r="J19" s="8"/>
      <c r="K19" s="12" t="s">
        <v>516</v>
      </c>
    </row>
    <row r="20" spans="1:11">
      <c r="A20" s="1" t="s">
        <v>517</v>
      </c>
      <c r="B20" s="2" t="s">
        <v>273</v>
      </c>
      <c r="C20" s="2" t="s">
        <v>518</v>
      </c>
      <c r="D20" s="2"/>
      <c r="E20" s="2" t="s">
        <v>515</v>
      </c>
      <c r="F20" s="27" t="s">
        <v>12</v>
      </c>
      <c r="G20" s="28" t="s">
        <v>24</v>
      </c>
      <c r="H20" s="2"/>
      <c r="I20" s="2"/>
      <c r="J20" s="2"/>
      <c r="K20" s="6" t="s">
        <v>519</v>
      </c>
    </row>
    <row r="21" spans="1:11">
      <c r="A21" s="7" t="s">
        <v>520</v>
      </c>
      <c r="B21" s="8" t="s">
        <v>273</v>
      </c>
      <c r="C21" s="8" t="s">
        <v>521</v>
      </c>
      <c r="D21" s="8"/>
      <c r="E21" s="8" t="s">
        <v>39</v>
      </c>
      <c r="F21" s="31" t="s">
        <v>12</v>
      </c>
      <c r="G21" s="32" t="s">
        <v>24</v>
      </c>
      <c r="H21" s="8"/>
      <c r="I21" s="8"/>
      <c r="J21" s="8"/>
      <c r="K21" s="12" t="s">
        <v>522</v>
      </c>
    </row>
    <row r="22" spans="1:11">
      <c r="A22" s="1" t="s">
        <v>523</v>
      </c>
      <c r="B22" s="2" t="s">
        <v>273</v>
      </c>
      <c r="C22" s="2" t="s">
        <v>524</v>
      </c>
      <c r="D22" s="2"/>
      <c r="E22" s="2" t="s">
        <v>39</v>
      </c>
      <c r="F22" s="27" t="s">
        <v>12</v>
      </c>
      <c r="G22" s="28" t="s">
        <v>24</v>
      </c>
      <c r="H22" s="2"/>
      <c r="I22" s="2"/>
      <c r="J22" s="2"/>
      <c r="K22" s="6" t="s">
        <v>525</v>
      </c>
    </row>
    <row r="23" spans="1:11">
      <c r="A23" s="7" t="s">
        <v>63</v>
      </c>
      <c r="B23" s="8" t="s">
        <v>35</v>
      </c>
      <c r="C23" s="8" t="s">
        <v>526</v>
      </c>
      <c r="D23" s="8" t="s">
        <v>64</v>
      </c>
      <c r="E23" s="8" t="s">
        <v>30</v>
      </c>
      <c r="F23" s="31" t="s">
        <v>12</v>
      </c>
      <c r="G23" s="32" t="s">
        <v>24</v>
      </c>
      <c r="H23" s="8"/>
      <c r="I23" s="8" t="s">
        <v>27</v>
      </c>
      <c r="J23" s="8" t="s">
        <v>476</v>
      </c>
      <c r="K23" s="12" t="s">
        <v>527</v>
      </c>
    </row>
    <row r="24" spans="1:11">
      <c r="A24" s="1" t="s">
        <v>66</v>
      </c>
      <c r="B24" s="2" t="s">
        <v>35</v>
      </c>
      <c r="C24" s="2" t="s">
        <v>528</v>
      </c>
      <c r="D24" s="2" t="s">
        <v>67</v>
      </c>
      <c r="E24" s="2" t="s">
        <v>30</v>
      </c>
      <c r="F24" s="27" t="s">
        <v>12</v>
      </c>
      <c r="G24" s="28" t="s">
        <v>24</v>
      </c>
      <c r="H24" s="2"/>
      <c r="I24" s="2" t="s">
        <v>27</v>
      </c>
      <c r="J24" s="2" t="s">
        <v>476</v>
      </c>
      <c r="K24" s="6" t="s">
        <v>529</v>
      </c>
    </row>
    <row r="25" spans="1:11">
      <c r="A25" s="7" t="s">
        <v>68</v>
      </c>
      <c r="B25" s="8" t="s">
        <v>35</v>
      </c>
      <c r="C25" s="8" t="s">
        <v>530</v>
      </c>
      <c r="D25" s="16" t="s">
        <v>69</v>
      </c>
      <c r="E25" s="8" t="s">
        <v>30</v>
      </c>
      <c r="F25" s="31" t="s">
        <v>12</v>
      </c>
      <c r="G25" s="32" t="s">
        <v>24</v>
      </c>
      <c r="H25" s="8"/>
      <c r="I25" s="8" t="s">
        <v>27</v>
      </c>
      <c r="J25" s="8" t="s">
        <v>476</v>
      </c>
      <c r="K25" s="12" t="s">
        <v>531</v>
      </c>
    </row>
    <row r="26" spans="1:11">
      <c r="A26" s="1" t="s">
        <v>70</v>
      </c>
      <c r="B26" s="2" t="s">
        <v>35</v>
      </c>
      <c r="C26" s="2" t="s">
        <v>532</v>
      </c>
      <c r="D26" s="15" t="s">
        <v>69</v>
      </c>
      <c r="E26" s="2" t="s">
        <v>30</v>
      </c>
      <c r="F26" s="27" t="s">
        <v>12</v>
      </c>
      <c r="G26" s="28" t="s">
        <v>24</v>
      </c>
      <c r="H26" s="2"/>
      <c r="I26" s="2" t="s">
        <v>27</v>
      </c>
      <c r="J26" s="2" t="s">
        <v>476</v>
      </c>
      <c r="K26" s="6" t="s">
        <v>533</v>
      </c>
    </row>
    <row r="27" spans="1:11">
      <c r="A27" s="7" t="s">
        <v>72</v>
      </c>
      <c r="B27" s="8" t="s">
        <v>19</v>
      </c>
      <c r="C27" s="8" t="s">
        <v>534</v>
      </c>
      <c r="D27" s="8" t="s">
        <v>73</v>
      </c>
      <c r="E27" s="8" t="s">
        <v>61</v>
      </c>
      <c r="F27" s="29" t="s">
        <v>12</v>
      </c>
      <c r="G27" s="29" t="s">
        <v>24</v>
      </c>
      <c r="H27" s="8"/>
      <c r="I27" s="8" t="s">
        <v>27</v>
      </c>
      <c r="J27" s="8" t="s">
        <v>476</v>
      </c>
      <c r="K27" s="12" t="s">
        <v>535</v>
      </c>
    </row>
    <row r="28" spans="1:11">
      <c r="A28" s="1" t="s">
        <v>536</v>
      </c>
      <c r="B28" s="2" t="s">
        <v>35</v>
      </c>
      <c r="C28" s="2" t="s">
        <v>537</v>
      </c>
      <c r="D28" s="2"/>
      <c r="E28" s="2" t="s">
        <v>39</v>
      </c>
      <c r="F28" s="27" t="s">
        <v>12</v>
      </c>
      <c r="G28" s="28" t="s">
        <v>24</v>
      </c>
      <c r="H28" s="2"/>
      <c r="I28" s="2"/>
      <c r="J28" s="2"/>
      <c r="K28" s="6" t="s">
        <v>538</v>
      </c>
    </row>
    <row r="29" spans="1:11">
      <c r="A29" s="7" t="s">
        <v>539</v>
      </c>
      <c r="B29" s="8" t="s">
        <v>35</v>
      </c>
      <c r="C29" s="8" t="s">
        <v>540</v>
      </c>
      <c r="D29" s="8"/>
      <c r="E29" s="8" t="s">
        <v>39</v>
      </c>
      <c r="F29" s="31" t="s">
        <v>12</v>
      </c>
      <c r="G29" s="32" t="s">
        <v>24</v>
      </c>
      <c r="H29" s="8"/>
      <c r="I29" s="8"/>
      <c r="J29" s="8"/>
      <c r="K29" s="12" t="s">
        <v>541</v>
      </c>
    </row>
    <row r="30" spans="1:11">
      <c r="A30" s="1" t="s">
        <v>542</v>
      </c>
      <c r="B30" s="2" t="s">
        <v>19</v>
      </c>
      <c r="C30" s="2" t="s">
        <v>543</v>
      </c>
      <c r="D30" s="2"/>
      <c r="E30" s="2" t="s">
        <v>80</v>
      </c>
      <c r="F30" s="30" t="s">
        <v>12</v>
      </c>
      <c r="G30" s="30" t="s">
        <v>24</v>
      </c>
      <c r="H30" s="2"/>
      <c r="I30" s="2"/>
      <c r="J30" s="2"/>
      <c r="K30" s="6" t="s">
        <v>544</v>
      </c>
    </row>
    <row r="31" spans="1:11">
      <c r="A31" s="7" t="s">
        <v>545</v>
      </c>
      <c r="B31" s="8" t="s">
        <v>19</v>
      </c>
      <c r="C31" s="8" t="s">
        <v>546</v>
      </c>
      <c r="D31" s="8"/>
      <c r="E31" s="8" t="s">
        <v>80</v>
      </c>
      <c r="F31" s="29" t="s">
        <v>12</v>
      </c>
      <c r="G31" s="29" t="s">
        <v>24</v>
      </c>
      <c r="H31" s="8"/>
      <c r="I31" s="8"/>
      <c r="J31" s="8"/>
      <c r="K31" s="12" t="s">
        <v>547</v>
      </c>
    </row>
    <row r="32" spans="1:11">
      <c r="A32" s="1" t="s">
        <v>548</v>
      </c>
      <c r="B32" s="2" t="s">
        <v>19</v>
      </c>
      <c r="C32" s="2" t="s">
        <v>549</v>
      </c>
      <c r="D32" s="2"/>
      <c r="E32" s="2" t="s">
        <v>80</v>
      </c>
      <c r="F32" s="30" t="s">
        <v>12</v>
      </c>
      <c r="G32" s="30" t="s">
        <v>24</v>
      </c>
      <c r="H32" s="2"/>
      <c r="I32" s="2"/>
      <c r="J32" s="2"/>
      <c r="K32" s="6" t="s">
        <v>550</v>
      </c>
    </row>
    <row r="33" spans="1:11">
      <c r="A33" s="7" t="s">
        <v>551</v>
      </c>
      <c r="B33" s="8" t="s">
        <v>35</v>
      </c>
      <c r="C33" s="8" t="s">
        <v>552</v>
      </c>
      <c r="D33" s="8"/>
      <c r="E33" s="8" t="s">
        <v>39</v>
      </c>
      <c r="F33" s="31" t="s">
        <v>12</v>
      </c>
      <c r="G33" s="32" t="s">
        <v>24</v>
      </c>
      <c r="H33" s="8"/>
      <c r="I33" s="8"/>
      <c r="J33" s="8"/>
      <c r="K33" s="12" t="s">
        <v>553</v>
      </c>
    </row>
    <row r="34" spans="1:11">
      <c r="A34" s="1" t="s">
        <v>554</v>
      </c>
      <c r="B34" s="2" t="s">
        <v>273</v>
      </c>
      <c r="C34" s="2" t="s">
        <v>555</v>
      </c>
      <c r="D34" s="2"/>
      <c r="E34" s="2" t="s">
        <v>80</v>
      </c>
      <c r="F34" s="27" t="s">
        <v>12</v>
      </c>
      <c r="G34" s="28" t="s">
        <v>24</v>
      </c>
      <c r="H34" s="2"/>
      <c r="I34" s="2"/>
      <c r="J34" s="2"/>
      <c r="K34" s="6" t="s">
        <v>556</v>
      </c>
    </row>
    <row r="35" spans="1:11">
      <c r="A35" s="7" t="s">
        <v>557</v>
      </c>
      <c r="B35" s="8" t="s">
        <v>356</v>
      </c>
      <c r="C35" s="8" t="s">
        <v>558</v>
      </c>
      <c r="D35" s="8" t="s">
        <v>559</v>
      </c>
      <c r="E35" s="8" t="s">
        <v>107</v>
      </c>
      <c r="F35" s="31" t="s">
        <v>12</v>
      </c>
      <c r="G35" s="32" t="s">
        <v>24</v>
      </c>
      <c r="H35" s="8"/>
      <c r="I35" s="8" t="s">
        <v>27</v>
      </c>
      <c r="J35" s="8"/>
      <c r="K35" s="12" t="s">
        <v>560</v>
      </c>
    </row>
    <row r="36" spans="1:11">
      <c r="A36" s="1" t="s">
        <v>561</v>
      </c>
      <c r="B36" s="2" t="s">
        <v>356</v>
      </c>
      <c r="C36" s="2" t="s">
        <v>562</v>
      </c>
      <c r="D36" s="2" t="s">
        <v>563</v>
      </c>
      <c r="E36" s="2" t="s">
        <v>564</v>
      </c>
      <c r="F36" s="27" t="s">
        <v>12</v>
      </c>
      <c r="G36" s="28" t="s">
        <v>24</v>
      </c>
      <c r="H36" s="2"/>
      <c r="I36" s="2" t="s">
        <v>27</v>
      </c>
      <c r="J36" s="2"/>
      <c r="K36" s="6" t="s">
        <v>565</v>
      </c>
    </row>
    <row r="37" spans="1:11">
      <c r="A37" s="7" t="s">
        <v>566</v>
      </c>
      <c r="B37" s="8" t="s">
        <v>356</v>
      </c>
      <c r="C37" s="8" t="s">
        <v>567</v>
      </c>
      <c r="D37" s="8"/>
      <c r="E37" s="8" t="s">
        <v>564</v>
      </c>
      <c r="F37" s="31" t="s">
        <v>12</v>
      </c>
      <c r="G37" s="32" t="s">
        <v>24</v>
      </c>
      <c r="H37" s="8"/>
      <c r="I37" s="8"/>
      <c r="J37" s="8"/>
      <c r="K37" s="12" t="s">
        <v>568</v>
      </c>
    </row>
    <row r="38" spans="1:11">
      <c r="A38" s="1" t="s">
        <v>569</v>
      </c>
      <c r="B38" s="2" t="s">
        <v>356</v>
      </c>
      <c r="C38" s="2" t="s">
        <v>570</v>
      </c>
      <c r="D38" s="2"/>
      <c r="E38" s="2" t="s">
        <v>571</v>
      </c>
      <c r="F38" s="27" t="s">
        <v>12</v>
      </c>
      <c r="G38" s="28" t="s">
        <v>24</v>
      </c>
      <c r="H38" s="2"/>
      <c r="I38" s="2"/>
      <c r="J38" s="2"/>
      <c r="K38" s="6" t="s">
        <v>572</v>
      </c>
    </row>
    <row r="39" spans="1:11">
      <c r="A39" s="7" t="s">
        <v>573</v>
      </c>
      <c r="B39" s="8" t="s">
        <v>356</v>
      </c>
      <c r="C39" s="8" t="s">
        <v>574</v>
      </c>
      <c r="D39" s="8"/>
      <c r="E39" s="8" t="s">
        <v>575</v>
      </c>
      <c r="F39" s="31" t="s">
        <v>12</v>
      </c>
      <c r="G39" s="32" t="s">
        <v>24</v>
      </c>
      <c r="H39" s="8"/>
      <c r="I39" s="8"/>
      <c r="J39" s="8"/>
      <c r="K39" s="12" t="s">
        <v>576</v>
      </c>
    </row>
    <row r="40" spans="1:11">
      <c r="A40" s="1" t="s">
        <v>577</v>
      </c>
      <c r="B40" s="2" t="s">
        <v>356</v>
      </c>
      <c r="C40" s="2" t="s">
        <v>578</v>
      </c>
      <c r="D40" s="2"/>
      <c r="E40" s="2" t="s">
        <v>579</v>
      </c>
      <c r="F40" s="27" t="s">
        <v>12</v>
      </c>
      <c r="G40" s="28" t="s">
        <v>24</v>
      </c>
      <c r="H40" s="2"/>
      <c r="I40" s="2"/>
      <c r="J40" s="2"/>
      <c r="K40" s="6" t="s">
        <v>580</v>
      </c>
    </row>
    <row r="41" spans="1:11">
      <c r="A41" s="7" t="s">
        <v>581</v>
      </c>
      <c r="B41" s="8" t="s">
        <v>356</v>
      </c>
      <c r="C41" s="8" t="s">
        <v>582</v>
      </c>
      <c r="D41" s="8"/>
      <c r="E41" s="8" t="s">
        <v>579</v>
      </c>
      <c r="F41" s="31" t="s">
        <v>12</v>
      </c>
      <c r="G41" s="32" t="s">
        <v>24</v>
      </c>
      <c r="H41" s="8"/>
      <c r="I41" s="8"/>
      <c r="J41" s="8"/>
      <c r="K41" s="12" t="s">
        <v>583</v>
      </c>
    </row>
    <row r="42" spans="1:11">
      <c r="A42" s="1" t="s">
        <v>584</v>
      </c>
      <c r="B42" s="2" t="s">
        <v>356</v>
      </c>
      <c r="C42" s="2" t="s">
        <v>585</v>
      </c>
      <c r="D42" s="2"/>
      <c r="E42" s="2" t="s">
        <v>564</v>
      </c>
      <c r="F42" s="27" t="s">
        <v>12</v>
      </c>
      <c r="G42" s="28" t="s">
        <v>24</v>
      </c>
      <c r="H42" s="2"/>
      <c r="I42" s="2"/>
      <c r="J42" s="2"/>
      <c r="K42" s="6" t="s">
        <v>586</v>
      </c>
    </row>
    <row r="43" spans="1:11">
      <c r="A43" s="7" t="s">
        <v>587</v>
      </c>
      <c r="B43" s="8" t="s">
        <v>356</v>
      </c>
      <c r="C43" s="8" t="s">
        <v>588</v>
      </c>
      <c r="D43" s="8" t="s">
        <v>589</v>
      </c>
      <c r="E43" s="8" t="s">
        <v>91</v>
      </c>
      <c r="F43" s="31" t="s">
        <v>12</v>
      </c>
      <c r="G43" s="32" t="s">
        <v>24</v>
      </c>
      <c r="H43" s="8"/>
      <c r="I43" s="8" t="s">
        <v>27</v>
      </c>
      <c r="J43" s="8"/>
      <c r="K43" s="12" t="s">
        <v>590</v>
      </c>
    </row>
    <row r="44" spans="1:11">
      <c r="A44" s="1" t="s">
        <v>591</v>
      </c>
      <c r="B44" s="2" t="s">
        <v>19</v>
      </c>
      <c r="C44" s="2" t="s">
        <v>592</v>
      </c>
      <c r="D44" s="2"/>
      <c r="E44" s="2" t="s">
        <v>593</v>
      </c>
      <c r="F44" s="30" t="s">
        <v>12</v>
      </c>
      <c r="G44" s="30" t="s">
        <v>24</v>
      </c>
      <c r="H44" s="2"/>
      <c r="I44" s="2"/>
      <c r="J44" s="2"/>
      <c r="K44" s="6" t="s">
        <v>594</v>
      </c>
    </row>
    <row r="45" spans="1:11">
      <c r="A45" s="7" t="s">
        <v>75</v>
      </c>
      <c r="B45" s="8" t="s">
        <v>35</v>
      </c>
      <c r="C45" s="8" t="s">
        <v>595</v>
      </c>
      <c r="D45" s="8" t="s">
        <v>76</v>
      </c>
      <c r="E45" s="8" t="s">
        <v>30</v>
      </c>
      <c r="F45" s="31" t="s">
        <v>12</v>
      </c>
      <c r="G45" s="32" t="s">
        <v>24</v>
      </c>
      <c r="H45" s="8"/>
      <c r="I45" s="8" t="s">
        <v>78</v>
      </c>
      <c r="J45" s="8" t="s">
        <v>476</v>
      </c>
      <c r="K45" s="12" t="s">
        <v>596</v>
      </c>
    </row>
    <row r="46" spans="1:11">
      <c r="A46" s="1" t="s">
        <v>79</v>
      </c>
      <c r="B46" s="2" t="s">
        <v>35</v>
      </c>
      <c r="C46" s="2" t="s">
        <v>597</v>
      </c>
      <c r="D46" s="2" t="s">
        <v>76</v>
      </c>
      <c r="E46" s="2" t="s">
        <v>80</v>
      </c>
      <c r="F46" s="27" t="s">
        <v>12</v>
      </c>
      <c r="G46" s="28" t="s">
        <v>24</v>
      </c>
      <c r="H46" s="2"/>
      <c r="I46" s="2" t="s">
        <v>27</v>
      </c>
      <c r="J46" s="2" t="s">
        <v>476</v>
      </c>
      <c r="K46" s="6" t="s">
        <v>598</v>
      </c>
    </row>
    <row r="47" spans="1:11">
      <c r="A47" s="7" t="s">
        <v>599</v>
      </c>
      <c r="B47" s="8" t="s">
        <v>356</v>
      </c>
      <c r="C47" s="8" t="s">
        <v>600</v>
      </c>
      <c r="D47" s="8" t="s">
        <v>601</v>
      </c>
      <c r="E47" s="8" t="s">
        <v>91</v>
      </c>
      <c r="F47" s="31" t="s">
        <v>12</v>
      </c>
      <c r="G47" s="32" t="s">
        <v>24</v>
      </c>
      <c r="H47" s="8"/>
      <c r="I47" s="8" t="s">
        <v>27</v>
      </c>
      <c r="J47" s="8"/>
      <c r="K47" s="12" t="s">
        <v>602</v>
      </c>
    </row>
    <row r="48" spans="1:11">
      <c r="A48" s="1" t="s">
        <v>603</v>
      </c>
      <c r="B48" s="2" t="s">
        <v>356</v>
      </c>
      <c r="C48" s="2" t="s">
        <v>604</v>
      </c>
      <c r="D48" s="2"/>
      <c r="E48" s="2" t="s">
        <v>605</v>
      </c>
      <c r="F48" s="27" t="s">
        <v>12</v>
      </c>
      <c r="G48" s="28" t="s">
        <v>24</v>
      </c>
      <c r="H48" s="2"/>
      <c r="I48" s="2"/>
      <c r="J48" s="2"/>
      <c r="K48" s="6" t="s">
        <v>606</v>
      </c>
    </row>
    <row r="49" spans="1:11">
      <c r="A49" s="7" t="s">
        <v>607</v>
      </c>
      <c r="B49" s="8" t="s">
        <v>273</v>
      </c>
      <c r="C49" s="8" t="s">
        <v>608</v>
      </c>
      <c r="D49" s="8"/>
      <c r="E49" s="8" t="s">
        <v>564</v>
      </c>
      <c r="F49" s="31" t="s">
        <v>12</v>
      </c>
      <c r="G49" s="32" t="s">
        <v>24</v>
      </c>
      <c r="H49" s="8"/>
      <c r="I49" s="8"/>
      <c r="J49" s="8"/>
      <c r="K49" s="12" t="s">
        <v>609</v>
      </c>
    </row>
    <row r="50" spans="1:11">
      <c r="A50" s="1" t="s">
        <v>610</v>
      </c>
      <c r="B50" s="2" t="s">
        <v>273</v>
      </c>
      <c r="C50" s="2" t="s">
        <v>611</v>
      </c>
      <c r="D50" s="2"/>
      <c r="E50" s="2" t="s">
        <v>564</v>
      </c>
      <c r="F50" s="27" t="s">
        <v>12</v>
      </c>
      <c r="G50" s="28" t="s">
        <v>24</v>
      </c>
      <c r="H50" s="2"/>
      <c r="I50" s="2"/>
      <c r="J50" s="2"/>
      <c r="K50" s="6" t="s">
        <v>612</v>
      </c>
    </row>
    <row r="51" spans="1:11">
      <c r="A51" s="7" t="s">
        <v>613</v>
      </c>
      <c r="B51" s="8" t="s">
        <v>356</v>
      </c>
      <c r="C51" s="8" t="s">
        <v>614</v>
      </c>
      <c r="D51" s="8" t="s">
        <v>615</v>
      </c>
      <c r="E51" s="8" t="s">
        <v>107</v>
      </c>
      <c r="F51" s="31" t="s">
        <v>12</v>
      </c>
      <c r="G51" s="32" t="s">
        <v>24</v>
      </c>
      <c r="H51" s="8"/>
      <c r="I51" s="8" t="s">
        <v>27</v>
      </c>
      <c r="J51" s="8"/>
      <c r="K51" s="12" t="s">
        <v>616</v>
      </c>
    </row>
    <row r="52" spans="1:11">
      <c r="A52" s="1" t="s">
        <v>617</v>
      </c>
      <c r="B52" s="2" t="s">
        <v>356</v>
      </c>
      <c r="C52" s="2" t="s">
        <v>618</v>
      </c>
      <c r="D52" s="2" t="s">
        <v>619</v>
      </c>
      <c r="E52" s="2" t="s">
        <v>25</v>
      </c>
      <c r="F52" s="27" t="s">
        <v>12</v>
      </c>
      <c r="G52" s="28" t="s">
        <v>24</v>
      </c>
      <c r="H52" s="2"/>
      <c r="I52" s="2" t="s">
        <v>27</v>
      </c>
      <c r="J52" s="2"/>
      <c r="K52" s="6" t="s">
        <v>620</v>
      </c>
    </row>
    <row r="53" spans="1:11">
      <c r="A53" s="7" t="s">
        <v>621</v>
      </c>
      <c r="B53" s="8" t="s">
        <v>356</v>
      </c>
      <c r="C53" s="8" t="s">
        <v>622</v>
      </c>
      <c r="D53" s="8"/>
      <c r="E53" s="8" t="s">
        <v>571</v>
      </c>
      <c r="F53" s="31" t="s">
        <v>12</v>
      </c>
      <c r="G53" s="32" t="s">
        <v>24</v>
      </c>
      <c r="H53" s="8"/>
      <c r="I53" s="8"/>
      <c r="J53" s="8"/>
      <c r="K53" s="12" t="s">
        <v>623</v>
      </c>
    </row>
    <row r="54" spans="1:11">
      <c r="A54" s="1" t="s">
        <v>624</v>
      </c>
      <c r="B54" s="2" t="s">
        <v>356</v>
      </c>
      <c r="C54" s="2" t="s">
        <v>625</v>
      </c>
      <c r="D54" s="2"/>
      <c r="E54" s="2" t="s">
        <v>571</v>
      </c>
      <c r="F54" s="27" t="s">
        <v>12</v>
      </c>
      <c r="G54" s="28" t="s">
        <v>24</v>
      </c>
      <c r="H54" s="2"/>
      <c r="I54" s="2"/>
      <c r="J54" s="2"/>
      <c r="K54" s="6" t="s">
        <v>626</v>
      </c>
    </row>
    <row r="55" spans="1:11">
      <c r="A55" s="7" t="s">
        <v>627</v>
      </c>
      <c r="B55" s="8" t="s">
        <v>356</v>
      </c>
      <c r="C55" s="8" t="s">
        <v>628</v>
      </c>
      <c r="D55" s="8"/>
      <c r="E55" s="8" t="s">
        <v>571</v>
      </c>
      <c r="F55" s="31" t="s">
        <v>12</v>
      </c>
      <c r="G55" s="32" t="s">
        <v>24</v>
      </c>
      <c r="H55" s="8"/>
      <c r="I55" s="8"/>
      <c r="J55" s="8"/>
      <c r="K55" s="12" t="s">
        <v>629</v>
      </c>
    </row>
    <row r="56" spans="1:11">
      <c r="A56" s="1" t="s">
        <v>630</v>
      </c>
      <c r="B56" s="2" t="s">
        <v>356</v>
      </c>
      <c r="C56" s="2" t="s">
        <v>631</v>
      </c>
      <c r="D56" s="2"/>
      <c r="E56" s="2" t="s">
        <v>571</v>
      </c>
      <c r="F56" s="27" t="s">
        <v>12</v>
      </c>
      <c r="G56" s="28" t="s">
        <v>24</v>
      </c>
      <c r="H56" s="2"/>
      <c r="I56" s="2"/>
      <c r="J56" s="2"/>
      <c r="K56" s="6" t="s">
        <v>632</v>
      </c>
    </row>
    <row r="57" spans="1:11">
      <c r="A57" s="7" t="s">
        <v>633</v>
      </c>
      <c r="B57" s="8" t="s">
        <v>356</v>
      </c>
      <c r="C57" s="8" t="s">
        <v>634</v>
      </c>
      <c r="D57" s="8"/>
      <c r="E57" s="8" t="s">
        <v>635</v>
      </c>
      <c r="F57" s="31" t="s">
        <v>12</v>
      </c>
      <c r="G57" s="32" t="s">
        <v>24</v>
      </c>
      <c r="H57" s="8"/>
      <c r="I57" s="8"/>
      <c r="J57" s="8"/>
      <c r="K57" s="12" t="s">
        <v>636</v>
      </c>
    </row>
    <row r="58" spans="1:11">
      <c r="A58" s="1" t="s">
        <v>82</v>
      </c>
      <c r="B58" s="2" t="s">
        <v>35</v>
      </c>
      <c r="C58" s="2" t="s">
        <v>637</v>
      </c>
      <c r="D58" s="2" t="s">
        <v>83</v>
      </c>
      <c r="E58" s="2" t="s">
        <v>30</v>
      </c>
      <c r="F58" s="27" t="s">
        <v>12</v>
      </c>
      <c r="G58" s="28" t="s">
        <v>24</v>
      </c>
      <c r="H58" s="2"/>
      <c r="I58" s="2" t="s">
        <v>78</v>
      </c>
      <c r="J58" s="2" t="s">
        <v>476</v>
      </c>
      <c r="K58" s="6" t="s">
        <v>638</v>
      </c>
    </row>
    <row r="59" spans="1:11">
      <c r="A59" s="7" t="s">
        <v>85</v>
      </c>
      <c r="B59" s="8" t="s">
        <v>19</v>
      </c>
      <c r="C59" s="8" t="s">
        <v>639</v>
      </c>
      <c r="D59" s="8" t="s">
        <v>87</v>
      </c>
      <c r="E59" s="8" t="s">
        <v>61</v>
      </c>
      <c r="F59" s="29" t="s">
        <v>12</v>
      </c>
      <c r="G59" s="29" t="s">
        <v>24</v>
      </c>
      <c r="H59" s="8"/>
      <c r="I59" s="8" t="s">
        <v>27</v>
      </c>
      <c r="J59" s="8" t="s">
        <v>476</v>
      </c>
      <c r="K59" s="12" t="s">
        <v>640</v>
      </c>
    </row>
    <row r="60" spans="1:11">
      <c r="A60" s="1" t="s">
        <v>90</v>
      </c>
      <c r="B60" s="2" t="s">
        <v>35</v>
      </c>
      <c r="C60" s="2" t="s">
        <v>641</v>
      </c>
      <c r="D60" s="2" t="s">
        <v>83</v>
      </c>
      <c r="E60" s="2" t="s">
        <v>91</v>
      </c>
      <c r="F60" s="27" t="s">
        <v>12</v>
      </c>
      <c r="G60" s="28" t="s">
        <v>24</v>
      </c>
      <c r="H60" s="2"/>
      <c r="I60" s="2" t="s">
        <v>27</v>
      </c>
      <c r="J60" s="2" t="s">
        <v>476</v>
      </c>
      <c r="K60" s="6" t="s">
        <v>642</v>
      </c>
    </row>
    <row r="61" spans="1:11">
      <c r="A61" s="7" t="s">
        <v>643</v>
      </c>
      <c r="B61" s="8" t="s">
        <v>35</v>
      </c>
      <c r="C61" s="8" t="s">
        <v>644</v>
      </c>
      <c r="D61" s="8"/>
      <c r="E61" s="8" t="s">
        <v>177</v>
      </c>
      <c r="F61" s="31" t="s">
        <v>12</v>
      </c>
      <c r="G61" s="32" t="s">
        <v>24</v>
      </c>
      <c r="H61" s="8"/>
      <c r="I61" s="8"/>
      <c r="J61" s="8"/>
      <c r="K61" s="12" t="s">
        <v>645</v>
      </c>
    </row>
    <row r="62" spans="1:11">
      <c r="A62" s="1" t="s">
        <v>93</v>
      </c>
      <c r="B62" s="2" t="s">
        <v>19</v>
      </c>
      <c r="C62" s="2" t="s">
        <v>646</v>
      </c>
      <c r="D62" s="2" t="s">
        <v>94</v>
      </c>
      <c r="E62" s="2" t="s">
        <v>61</v>
      </c>
      <c r="F62" s="30" t="s">
        <v>12</v>
      </c>
      <c r="G62" s="30" t="s">
        <v>24</v>
      </c>
      <c r="H62" s="2"/>
      <c r="I62" s="2" t="s">
        <v>27</v>
      </c>
      <c r="J62" s="2" t="s">
        <v>476</v>
      </c>
      <c r="K62" s="6" t="s">
        <v>647</v>
      </c>
    </row>
    <row r="63" spans="1:11">
      <c r="A63" s="7" t="s">
        <v>95</v>
      </c>
      <c r="B63" s="8" t="s">
        <v>19</v>
      </c>
      <c r="C63" s="8" t="s">
        <v>648</v>
      </c>
      <c r="D63" s="8" t="s">
        <v>96</v>
      </c>
      <c r="E63" s="8" t="s">
        <v>91</v>
      </c>
      <c r="F63" s="29" t="s">
        <v>12</v>
      </c>
      <c r="G63" s="29" t="s">
        <v>24</v>
      </c>
      <c r="H63" s="8"/>
      <c r="I63" s="8" t="s">
        <v>78</v>
      </c>
      <c r="J63" s="8" t="s">
        <v>476</v>
      </c>
      <c r="K63" s="12" t="s">
        <v>649</v>
      </c>
    </row>
    <row r="64" spans="1:11">
      <c r="A64" s="1" t="s">
        <v>97</v>
      </c>
      <c r="B64" s="2" t="s">
        <v>19</v>
      </c>
      <c r="C64" s="2" t="s">
        <v>650</v>
      </c>
      <c r="D64" s="2" t="s">
        <v>96</v>
      </c>
      <c r="E64" s="2" t="s">
        <v>91</v>
      </c>
      <c r="F64" s="30" t="s">
        <v>12</v>
      </c>
      <c r="G64" s="30" t="s">
        <v>24</v>
      </c>
      <c r="H64" s="2"/>
      <c r="I64" s="2" t="s">
        <v>27</v>
      </c>
      <c r="J64" s="2" t="s">
        <v>476</v>
      </c>
      <c r="K64" s="6" t="s">
        <v>651</v>
      </c>
    </row>
    <row r="65" spans="1:11">
      <c r="A65" s="7" t="s">
        <v>652</v>
      </c>
      <c r="B65" s="8" t="s">
        <v>273</v>
      </c>
      <c r="C65" s="8" t="s">
        <v>653</v>
      </c>
      <c r="D65" s="8"/>
      <c r="E65" s="8" t="s">
        <v>654</v>
      </c>
      <c r="F65" s="31" t="s">
        <v>12</v>
      </c>
      <c r="G65" s="32" t="s">
        <v>24</v>
      </c>
      <c r="H65" s="8"/>
      <c r="I65" s="8"/>
      <c r="J65" s="8"/>
      <c r="K65" s="12" t="s">
        <v>655</v>
      </c>
    </row>
    <row r="66" spans="1:11">
      <c r="A66" s="1" t="s">
        <v>656</v>
      </c>
      <c r="B66" s="2" t="s">
        <v>356</v>
      </c>
      <c r="C66" s="2" t="s">
        <v>657</v>
      </c>
      <c r="D66" s="2"/>
      <c r="E66" s="2" t="s">
        <v>199</v>
      </c>
      <c r="F66" s="34"/>
      <c r="G66" s="28"/>
      <c r="H66" s="2"/>
      <c r="I66" s="2"/>
      <c r="J66" s="2"/>
      <c r="K66" s="6"/>
    </row>
    <row r="67" spans="1:11">
      <c r="A67" s="7" t="s">
        <v>658</v>
      </c>
      <c r="B67" s="8" t="s">
        <v>356</v>
      </c>
      <c r="C67" s="8" t="s">
        <v>659</v>
      </c>
      <c r="D67" s="8" t="s">
        <v>660</v>
      </c>
      <c r="E67" s="8" t="s">
        <v>25</v>
      </c>
      <c r="F67" s="31" t="s">
        <v>12</v>
      </c>
      <c r="G67" s="32" t="s">
        <v>24</v>
      </c>
      <c r="H67" s="8"/>
      <c r="I67" s="8" t="s">
        <v>27</v>
      </c>
      <c r="J67" s="8"/>
      <c r="K67" s="12" t="s">
        <v>661</v>
      </c>
    </row>
    <row r="68" spans="1:11">
      <c r="A68" s="1" t="s">
        <v>662</v>
      </c>
      <c r="B68" s="2" t="s">
        <v>356</v>
      </c>
      <c r="C68" s="2" t="s">
        <v>663</v>
      </c>
      <c r="D68" s="2" t="s">
        <v>660</v>
      </c>
      <c r="E68" s="2" t="s">
        <v>25</v>
      </c>
      <c r="F68" s="27" t="s">
        <v>12</v>
      </c>
      <c r="G68" s="28" t="s">
        <v>24</v>
      </c>
      <c r="H68" s="2"/>
      <c r="I68" s="2" t="s">
        <v>27</v>
      </c>
      <c r="J68" s="2"/>
      <c r="K68" s="6" t="s">
        <v>664</v>
      </c>
    </row>
    <row r="69" spans="1:11">
      <c r="A69" s="7" t="s">
        <v>665</v>
      </c>
      <c r="B69" s="8" t="s">
        <v>356</v>
      </c>
      <c r="C69" s="8" t="s">
        <v>666</v>
      </c>
      <c r="D69" s="8" t="s">
        <v>667</v>
      </c>
      <c r="E69" s="8" t="s">
        <v>107</v>
      </c>
      <c r="F69" s="31" t="s">
        <v>12</v>
      </c>
      <c r="G69" s="32" t="s">
        <v>24</v>
      </c>
      <c r="H69" s="8"/>
      <c r="I69" s="8" t="s">
        <v>27</v>
      </c>
      <c r="J69" s="8"/>
      <c r="K69" s="12" t="s">
        <v>668</v>
      </c>
    </row>
    <row r="70" spans="1:11">
      <c r="A70" s="1" t="s">
        <v>669</v>
      </c>
      <c r="B70" s="2" t="s">
        <v>356</v>
      </c>
      <c r="C70" s="2" t="s">
        <v>670</v>
      </c>
      <c r="D70" s="2" t="s">
        <v>667</v>
      </c>
      <c r="E70" s="2" t="s">
        <v>30</v>
      </c>
      <c r="F70" s="27" t="s">
        <v>12</v>
      </c>
      <c r="G70" s="28" t="s">
        <v>24</v>
      </c>
      <c r="H70" s="2"/>
      <c r="I70" s="2" t="s">
        <v>27</v>
      </c>
      <c r="J70" s="2"/>
      <c r="K70" s="6" t="s">
        <v>671</v>
      </c>
    </row>
    <row r="71" spans="1:11">
      <c r="A71" s="7" t="s">
        <v>672</v>
      </c>
      <c r="B71" s="8" t="s">
        <v>356</v>
      </c>
      <c r="C71" s="8" t="s">
        <v>673</v>
      </c>
      <c r="D71" s="8"/>
      <c r="E71" s="8" t="s">
        <v>199</v>
      </c>
      <c r="F71" s="35"/>
      <c r="G71" s="32"/>
      <c r="H71" s="8"/>
      <c r="I71" s="8"/>
      <c r="J71" s="8"/>
      <c r="K71" s="12"/>
    </row>
    <row r="72" spans="1:11">
      <c r="A72" s="1" t="s">
        <v>674</v>
      </c>
      <c r="B72" s="2" t="s">
        <v>356</v>
      </c>
      <c r="C72" s="2" t="s">
        <v>675</v>
      </c>
      <c r="D72" s="2"/>
      <c r="E72" s="2" t="s">
        <v>199</v>
      </c>
      <c r="F72" s="34"/>
      <c r="G72" s="28"/>
      <c r="H72" s="2"/>
      <c r="I72" s="2"/>
      <c r="J72" s="2"/>
      <c r="K72" s="6"/>
    </row>
    <row r="73" spans="1:11">
      <c r="A73" s="7" t="s">
        <v>676</v>
      </c>
      <c r="B73" s="8" t="s">
        <v>356</v>
      </c>
      <c r="C73" s="8" t="s">
        <v>677</v>
      </c>
      <c r="D73" s="8"/>
      <c r="E73" s="8" t="s">
        <v>199</v>
      </c>
      <c r="F73" s="35"/>
      <c r="G73" s="32"/>
      <c r="H73" s="8"/>
      <c r="I73" s="8"/>
      <c r="J73" s="8"/>
      <c r="K73" s="12"/>
    </row>
    <row r="74" spans="1:11">
      <c r="A74" s="1" t="s">
        <v>678</v>
      </c>
      <c r="B74" s="2" t="s">
        <v>356</v>
      </c>
      <c r="C74" s="2" t="s">
        <v>679</v>
      </c>
      <c r="D74" s="2"/>
      <c r="E74" s="2" t="s">
        <v>199</v>
      </c>
      <c r="F74" s="34"/>
      <c r="G74" s="28"/>
      <c r="H74" s="2"/>
      <c r="I74" s="2"/>
      <c r="J74" s="2"/>
      <c r="K74" s="6"/>
    </row>
    <row r="75" spans="1:11">
      <c r="A75" s="7" t="s">
        <v>100</v>
      </c>
      <c r="B75" s="8" t="s">
        <v>19</v>
      </c>
      <c r="C75" s="8" t="s">
        <v>680</v>
      </c>
      <c r="D75" s="8" t="s">
        <v>101</v>
      </c>
      <c r="E75" s="8" t="s">
        <v>80</v>
      </c>
      <c r="F75" s="29" t="s">
        <v>12</v>
      </c>
      <c r="G75" s="29" t="s">
        <v>24</v>
      </c>
      <c r="H75" s="8"/>
      <c r="I75" s="8" t="s">
        <v>27</v>
      </c>
      <c r="J75" s="8" t="s">
        <v>476</v>
      </c>
      <c r="K75" s="12" t="s">
        <v>681</v>
      </c>
    </row>
    <row r="76" spans="1:11">
      <c r="A76" s="1" t="s">
        <v>682</v>
      </c>
      <c r="B76" s="2" t="s">
        <v>356</v>
      </c>
      <c r="C76" s="2" t="s">
        <v>683</v>
      </c>
      <c r="D76" s="2"/>
      <c r="E76" s="2" t="s">
        <v>199</v>
      </c>
      <c r="F76" s="27"/>
      <c r="G76" s="28"/>
      <c r="H76" s="2"/>
      <c r="I76" s="2"/>
      <c r="J76" s="2"/>
      <c r="K76" s="6"/>
    </row>
    <row r="77" spans="1:11">
      <c r="A77" s="7" t="s">
        <v>684</v>
      </c>
      <c r="B77" s="8" t="s">
        <v>356</v>
      </c>
      <c r="C77" s="8" t="s">
        <v>685</v>
      </c>
      <c r="D77" s="8"/>
      <c r="E77" s="8" t="s">
        <v>199</v>
      </c>
      <c r="F77" s="31"/>
      <c r="G77" s="32"/>
      <c r="H77" s="8"/>
      <c r="I77" s="8"/>
      <c r="J77" s="8"/>
      <c r="K77" s="12"/>
    </row>
    <row r="78" spans="1:11">
      <c r="A78" s="1" t="s">
        <v>104</v>
      </c>
      <c r="B78" s="2" t="s">
        <v>19</v>
      </c>
      <c r="C78" s="2" t="s">
        <v>686</v>
      </c>
      <c r="D78" s="2" t="s">
        <v>105</v>
      </c>
      <c r="E78" s="2" t="s">
        <v>107</v>
      </c>
      <c r="F78" s="30" t="s">
        <v>12</v>
      </c>
      <c r="G78" s="30" t="s">
        <v>24</v>
      </c>
      <c r="H78" s="2"/>
      <c r="I78" s="2" t="s">
        <v>27</v>
      </c>
      <c r="J78" s="2" t="s">
        <v>476</v>
      </c>
      <c r="K78" s="6" t="s">
        <v>687</v>
      </c>
    </row>
    <row r="79" spans="1:11">
      <c r="A79" s="7" t="s">
        <v>688</v>
      </c>
      <c r="B79" s="8" t="s">
        <v>356</v>
      </c>
      <c r="C79" s="8" t="s">
        <v>689</v>
      </c>
      <c r="D79" s="8"/>
      <c r="E79" s="8" t="s">
        <v>199</v>
      </c>
      <c r="F79" s="31"/>
      <c r="G79" s="32"/>
      <c r="H79" s="8"/>
      <c r="I79" s="8"/>
      <c r="J79" s="8"/>
      <c r="K79" s="12"/>
    </row>
    <row r="80" spans="1:11">
      <c r="A80" s="1" t="s">
        <v>690</v>
      </c>
      <c r="B80" s="2" t="s">
        <v>356</v>
      </c>
      <c r="C80" s="2" t="s">
        <v>691</v>
      </c>
      <c r="D80" s="2"/>
      <c r="E80" s="2" t="s">
        <v>199</v>
      </c>
      <c r="F80" s="27"/>
      <c r="G80" s="28"/>
      <c r="H80" s="2"/>
      <c r="I80" s="2"/>
      <c r="J80" s="2"/>
      <c r="K80" s="6"/>
    </row>
    <row r="81" spans="1:11">
      <c r="A81" s="7" t="s">
        <v>692</v>
      </c>
      <c r="B81" s="8" t="s">
        <v>356</v>
      </c>
      <c r="C81" s="8" t="s">
        <v>693</v>
      </c>
      <c r="D81" s="8"/>
      <c r="E81" s="8" t="s">
        <v>199</v>
      </c>
      <c r="F81" s="31"/>
      <c r="G81" s="32"/>
      <c r="H81" s="8"/>
      <c r="I81" s="8"/>
      <c r="J81" s="8"/>
      <c r="K81" s="12"/>
    </row>
    <row r="82" spans="1:11">
      <c r="A82" s="1" t="s">
        <v>694</v>
      </c>
      <c r="B82" s="2" t="s">
        <v>356</v>
      </c>
      <c r="C82" s="2" t="s">
        <v>695</v>
      </c>
      <c r="D82" s="2"/>
      <c r="E82" s="2" t="s">
        <v>199</v>
      </c>
      <c r="F82" s="27"/>
      <c r="G82" s="28"/>
      <c r="H82" s="2"/>
      <c r="I82" s="2"/>
      <c r="J82" s="2"/>
      <c r="K82" s="6"/>
    </row>
    <row r="83" spans="1:11">
      <c r="A83" s="7" t="s">
        <v>696</v>
      </c>
      <c r="B83" s="8" t="s">
        <v>356</v>
      </c>
      <c r="C83" s="8" t="s">
        <v>697</v>
      </c>
      <c r="D83" s="8"/>
      <c r="E83" s="8" t="s">
        <v>199</v>
      </c>
      <c r="F83" s="31"/>
      <c r="G83" s="32"/>
      <c r="H83" s="8"/>
      <c r="I83" s="8"/>
      <c r="J83" s="8"/>
      <c r="K83" s="12"/>
    </row>
    <row r="84" spans="1:11">
      <c r="A84" s="1" t="s">
        <v>698</v>
      </c>
      <c r="B84" s="2" t="s">
        <v>273</v>
      </c>
      <c r="C84" s="2" t="s">
        <v>699</v>
      </c>
      <c r="D84" s="2" t="s">
        <v>700</v>
      </c>
      <c r="E84" s="2" t="s">
        <v>25</v>
      </c>
      <c r="F84" s="27" t="s">
        <v>12</v>
      </c>
      <c r="G84" s="28" t="s">
        <v>24</v>
      </c>
      <c r="H84" s="2"/>
      <c r="I84" s="2" t="s">
        <v>27</v>
      </c>
      <c r="J84" s="2"/>
      <c r="K84" s="6" t="s">
        <v>701</v>
      </c>
    </row>
    <row r="85" spans="1:11">
      <c r="A85" s="7" t="s">
        <v>702</v>
      </c>
      <c r="B85" s="8" t="s">
        <v>273</v>
      </c>
      <c r="C85" s="8" t="s">
        <v>703</v>
      </c>
      <c r="D85" s="8" t="s">
        <v>704</v>
      </c>
      <c r="E85" s="8" t="s">
        <v>370</v>
      </c>
      <c r="F85" s="31" t="s">
        <v>12</v>
      </c>
      <c r="G85" s="32" t="s">
        <v>24</v>
      </c>
      <c r="H85" s="8"/>
      <c r="I85" s="8" t="s">
        <v>27</v>
      </c>
      <c r="J85" s="8"/>
      <c r="K85" s="12" t="s">
        <v>705</v>
      </c>
    </row>
    <row r="86" spans="1:11">
      <c r="A86" s="1" t="s">
        <v>706</v>
      </c>
      <c r="B86" s="2" t="s">
        <v>273</v>
      </c>
      <c r="C86" s="2" t="s">
        <v>707</v>
      </c>
      <c r="D86" s="2"/>
      <c r="E86" s="2" t="s">
        <v>708</v>
      </c>
      <c r="F86" s="27" t="s">
        <v>12</v>
      </c>
      <c r="G86" s="28" t="s">
        <v>24</v>
      </c>
      <c r="H86" s="2"/>
      <c r="I86" s="2"/>
      <c r="J86" s="2"/>
      <c r="K86" s="6" t="s">
        <v>709</v>
      </c>
    </row>
    <row r="87" spans="1:11">
      <c r="A87" s="7" t="s">
        <v>710</v>
      </c>
      <c r="B87" s="8" t="s">
        <v>356</v>
      </c>
      <c r="C87" s="8" t="s">
        <v>711</v>
      </c>
      <c r="D87" s="8"/>
      <c r="E87" s="8" t="s">
        <v>199</v>
      </c>
      <c r="F87" s="31"/>
      <c r="G87" s="32"/>
      <c r="H87" s="8"/>
      <c r="I87" s="8"/>
      <c r="J87" s="8"/>
      <c r="K87" s="12"/>
    </row>
    <row r="88" spans="1:11">
      <c r="A88" s="1" t="s">
        <v>712</v>
      </c>
      <c r="B88" s="2" t="s">
        <v>273</v>
      </c>
      <c r="C88" s="2" t="s">
        <v>713</v>
      </c>
      <c r="D88" s="2"/>
      <c r="E88" s="2" t="s">
        <v>714</v>
      </c>
      <c r="F88" s="27" t="s">
        <v>12</v>
      </c>
      <c r="G88" s="28" t="s">
        <v>24</v>
      </c>
      <c r="H88" s="2"/>
      <c r="I88" s="2"/>
      <c r="J88" s="2"/>
      <c r="K88" s="6" t="s">
        <v>715</v>
      </c>
    </row>
    <row r="89" spans="1:11">
      <c r="A89" s="7" t="s">
        <v>716</v>
      </c>
      <c r="B89" s="8" t="s">
        <v>273</v>
      </c>
      <c r="C89" s="8" t="s">
        <v>717</v>
      </c>
      <c r="D89" s="8" t="s">
        <v>718</v>
      </c>
      <c r="E89" s="8" t="s">
        <v>25</v>
      </c>
      <c r="F89" s="31" t="s">
        <v>12</v>
      </c>
      <c r="G89" s="32" t="s">
        <v>24</v>
      </c>
      <c r="H89" s="8"/>
      <c r="I89" s="8" t="s">
        <v>27</v>
      </c>
      <c r="J89" s="8"/>
      <c r="K89" s="12" t="s">
        <v>719</v>
      </c>
    </row>
    <row r="90" spans="1:11">
      <c r="A90" s="1" t="s">
        <v>720</v>
      </c>
      <c r="B90" s="2" t="s">
        <v>356</v>
      </c>
      <c r="C90" s="2" t="s">
        <v>721</v>
      </c>
      <c r="D90" s="2"/>
      <c r="E90" s="2" t="s">
        <v>199</v>
      </c>
      <c r="F90" s="27"/>
      <c r="G90" s="28"/>
      <c r="H90" s="2"/>
      <c r="I90" s="2"/>
      <c r="J90" s="2"/>
      <c r="K90" s="6"/>
    </row>
    <row r="91" spans="1:11">
      <c r="A91" s="7" t="s">
        <v>722</v>
      </c>
      <c r="B91" s="8" t="s">
        <v>356</v>
      </c>
      <c r="C91" s="8" t="s">
        <v>723</v>
      </c>
      <c r="D91" s="8"/>
      <c r="E91" s="8" t="s">
        <v>199</v>
      </c>
      <c r="F91" s="31"/>
      <c r="G91" s="32"/>
      <c r="H91" s="8"/>
      <c r="I91" s="8"/>
      <c r="J91" s="8"/>
      <c r="K91" s="12"/>
    </row>
    <row r="92" spans="1:11">
      <c r="A92" s="1" t="s">
        <v>724</v>
      </c>
      <c r="B92" s="2" t="s">
        <v>356</v>
      </c>
      <c r="C92" s="2" t="s">
        <v>725</v>
      </c>
      <c r="D92" s="2"/>
      <c r="E92" s="2" t="s">
        <v>199</v>
      </c>
      <c r="F92" s="27"/>
      <c r="G92" s="28"/>
      <c r="H92" s="2"/>
      <c r="I92" s="2"/>
      <c r="J92" s="2"/>
      <c r="K92" s="6"/>
    </row>
    <row r="93" spans="1:11">
      <c r="A93" s="7" t="s">
        <v>726</v>
      </c>
      <c r="B93" s="8" t="s">
        <v>273</v>
      </c>
      <c r="C93" s="8" t="s">
        <v>727</v>
      </c>
      <c r="D93" s="8" t="s">
        <v>728</v>
      </c>
      <c r="E93" s="8" t="s">
        <v>25</v>
      </c>
      <c r="F93" s="31" t="s">
        <v>12</v>
      </c>
      <c r="G93" s="32" t="s">
        <v>24</v>
      </c>
      <c r="H93" s="8"/>
      <c r="I93" s="8" t="s">
        <v>27</v>
      </c>
      <c r="J93" s="8"/>
      <c r="K93" s="12" t="s">
        <v>729</v>
      </c>
    </row>
    <row r="94" spans="1:11">
      <c r="A94" s="1" t="s">
        <v>730</v>
      </c>
      <c r="B94" s="2" t="s">
        <v>273</v>
      </c>
      <c r="C94" s="2" t="s">
        <v>731</v>
      </c>
      <c r="D94" s="2"/>
      <c r="E94" s="2" t="s">
        <v>199</v>
      </c>
      <c r="F94" s="27"/>
      <c r="G94" s="28"/>
      <c r="H94" s="2"/>
      <c r="I94" s="2"/>
      <c r="J94" s="2"/>
      <c r="K94" s="6"/>
    </row>
    <row r="95" spans="1:11">
      <c r="A95" s="7" t="s">
        <v>732</v>
      </c>
      <c r="B95" s="8" t="s">
        <v>273</v>
      </c>
      <c r="C95" s="8" t="s">
        <v>733</v>
      </c>
      <c r="D95" s="8"/>
      <c r="E95" s="8" t="s">
        <v>199</v>
      </c>
      <c r="F95" s="31"/>
      <c r="G95" s="32"/>
      <c r="H95" s="8"/>
      <c r="I95" s="8"/>
      <c r="J95" s="8"/>
      <c r="K95" s="12"/>
    </row>
    <row r="96" spans="1:11">
      <c r="A96" s="1" t="s">
        <v>734</v>
      </c>
      <c r="B96" s="2" t="s">
        <v>273</v>
      </c>
      <c r="C96" s="2" t="s">
        <v>735</v>
      </c>
      <c r="D96" s="2"/>
      <c r="E96" s="2" t="s">
        <v>199</v>
      </c>
      <c r="F96" s="27"/>
      <c r="G96" s="28"/>
      <c r="H96" s="2"/>
      <c r="I96" s="2"/>
      <c r="J96" s="2"/>
      <c r="K96" s="6"/>
    </row>
    <row r="97" spans="1:11">
      <c r="A97" s="7" t="s">
        <v>109</v>
      </c>
      <c r="B97" s="8" t="s">
        <v>19</v>
      </c>
      <c r="C97" s="8" t="s">
        <v>736</v>
      </c>
      <c r="D97" s="8" t="s">
        <v>110</v>
      </c>
      <c r="E97" s="8" t="s">
        <v>107</v>
      </c>
      <c r="F97" s="29" t="s">
        <v>12</v>
      </c>
      <c r="G97" s="29" t="s">
        <v>24</v>
      </c>
      <c r="H97" s="8"/>
      <c r="I97" s="8" t="s">
        <v>27</v>
      </c>
      <c r="J97" s="8" t="s">
        <v>476</v>
      </c>
      <c r="K97" s="12" t="s">
        <v>737</v>
      </c>
    </row>
    <row r="98" spans="1:11">
      <c r="A98" s="1" t="s">
        <v>738</v>
      </c>
      <c r="B98" s="2" t="s">
        <v>273</v>
      </c>
      <c r="C98" s="2" t="s">
        <v>739</v>
      </c>
      <c r="D98" s="2"/>
      <c r="E98" s="2" t="s">
        <v>199</v>
      </c>
      <c r="F98" s="27"/>
      <c r="G98" s="28"/>
      <c r="H98" s="2"/>
      <c r="I98" s="2"/>
      <c r="J98" s="2"/>
      <c r="K98" s="6"/>
    </row>
    <row r="99" spans="1:11">
      <c r="A99" s="7" t="s">
        <v>740</v>
      </c>
      <c r="B99" s="8" t="s">
        <v>356</v>
      </c>
      <c r="C99" s="8" t="s">
        <v>741</v>
      </c>
      <c r="D99" s="8"/>
      <c r="E99" s="8" t="s">
        <v>199</v>
      </c>
      <c r="F99" s="31"/>
      <c r="G99" s="32"/>
      <c r="H99" s="8"/>
      <c r="I99" s="8"/>
      <c r="J99" s="8"/>
      <c r="K99" s="12"/>
    </row>
    <row r="100" spans="1:11">
      <c r="A100" s="13" t="s">
        <v>742</v>
      </c>
      <c r="B100" s="2" t="s">
        <v>273</v>
      </c>
      <c r="C100" s="2" t="s">
        <v>743</v>
      </c>
      <c r="D100" s="2"/>
      <c r="E100" s="2" t="s">
        <v>199</v>
      </c>
      <c r="F100" s="27"/>
      <c r="G100" s="28"/>
      <c r="H100" s="2"/>
      <c r="I100" s="2"/>
      <c r="J100" s="2"/>
      <c r="K100" s="6"/>
    </row>
    <row r="101" spans="1:11">
      <c r="A101" s="7" t="s">
        <v>744</v>
      </c>
      <c r="B101" s="8" t="s">
        <v>273</v>
      </c>
      <c r="C101" s="8" t="s">
        <v>745</v>
      </c>
      <c r="D101" s="8"/>
      <c r="E101" s="8" t="s">
        <v>199</v>
      </c>
      <c r="F101" s="31"/>
      <c r="G101" s="32"/>
      <c r="H101" s="8"/>
      <c r="I101" s="8"/>
      <c r="J101" s="8"/>
      <c r="K101" s="12"/>
    </row>
    <row r="102" spans="1:11">
      <c r="A102" s="1" t="s">
        <v>746</v>
      </c>
      <c r="B102" s="2" t="s">
        <v>273</v>
      </c>
      <c r="C102" s="2" t="s">
        <v>747</v>
      </c>
      <c r="D102" s="2"/>
      <c r="E102" s="2" t="s">
        <v>199</v>
      </c>
      <c r="F102" s="27"/>
      <c r="G102" s="28"/>
      <c r="H102" s="2"/>
      <c r="I102" s="2"/>
      <c r="J102" s="2"/>
      <c r="K102" s="6"/>
    </row>
    <row r="103" spans="1:11">
      <c r="A103" s="7" t="s">
        <v>748</v>
      </c>
      <c r="B103" s="8" t="s">
        <v>273</v>
      </c>
      <c r="C103" s="8" t="s">
        <v>749</v>
      </c>
      <c r="D103" s="8"/>
      <c r="E103" s="8" t="s">
        <v>199</v>
      </c>
      <c r="F103" s="31"/>
      <c r="G103" s="32"/>
      <c r="H103" s="8"/>
      <c r="I103" s="8"/>
      <c r="J103" s="8"/>
      <c r="K103" s="12"/>
    </row>
    <row r="104" spans="1:11">
      <c r="A104" s="1" t="s">
        <v>750</v>
      </c>
      <c r="B104" s="2" t="s">
        <v>273</v>
      </c>
      <c r="C104" s="2" t="s">
        <v>751</v>
      </c>
      <c r="D104" s="2"/>
      <c r="E104" s="2" t="s">
        <v>199</v>
      </c>
      <c r="F104" s="27"/>
      <c r="G104" s="28"/>
      <c r="H104" s="2"/>
      <c r="I104" s="2"/>
      <c r="J104" s="2"/>
      <c r="K104" s="6"/>
    </row>
    <row r="105" spans="1:11">
      <c r="A105" s="7" t="s">
        <v>752</v>
      </c>
      <c r="B105" s="8" t="s">
        <v>356</v>
      </c>
      <c r="C105" s="8" t="s">
        <v>753</v>
      </c>
      <c r="D105" s="8"/>
      <c r="E105" s="8" t="s">
        <v>199</v>
      </c>
      <c r="F105" s="31"/>
      <c r="G105" s="32"/>
      <c r="H105" s="8"/>
      <c r="I105" s="8"/>
      <c r="J105" s="8"/>
      <c r="K105" s="12"/>
    </row>
    <row r="106" spans="1:11">
      <c r="A106" s="1" t="s">
        <v>754</v>
      </c>
      <c r="B106" s="2" t="s">
        <v>273</v>
      </c>
      <c r="C106" s="2" t="s">
        <v>755</v>
      </c>
      <c r="D106" s="2"/>
      <c r="E106" s="2" t="s">
        <v>199</v>
      </c>
      <c r="F106" s="27"/>
      <c r="G106" s="28"/>
      <c r="H106" s="2"/>
      <c r="I106" s="2"/>
      <c r="J106" s="2"/>
      <c r="K106" s="6"/>
    </row>
    <row r="107" spans="1:11">
      <c r="A107" s="7" t="s">
        <v>756</v>
      </c>
      <c r="B107" s="8" t="s">
        <v>273</v>
      </c>
      <c r="C107" s="8" t="s">
        <v>757</v>
      </c>
      <c r="D107" s="8"/>
      <c r="E107" s="8" t="s">
        <v>199</v>
      </c>
      <c r="F107" s="31"/>
      <c r="G107" s="32"/>
      <c r="H107" s="8"/>
      <c r="I107" s="8"/>
      <c r="J107" s="8"/>
      <c r="K107" s="12"/>
    </row>
    <row r="108" spans="1:11">
      <c r="A108" s="1" t="s">
        <v>758</v>
      </c>
      <c r="B108" s="2" t="s">
        <v>273</v>
      </c>
      <c r="C108" s="2" t="s">
        <v>759</v>
      </c>
      <c r="D108" s="2"/>
      <c r="E108" s="2" t="s">
        <v>199</v>
      </c>
      <c r="F108" s="27"/>
      <c r="G108" s="28"/>
      <c r="H108" s="2"/>
      <c r="I108" s="2"/>
      <c r="J108" s="2"/>
      <c r="K108" s="6"/>
    </row>
    <row r="109" spans="1:11">
      <c r="A109" s="7" t="s">
        <v>760</v>
      </c>
      <c r="B109" s="8" t="s">
        <v>356</v>
      </c>
      <c r="C109" s="8" t="s">
        <v>761</v>
      </c>
      <c r="D109" s="8"/>
      <c r="E109" s="8" t="s">
        <v>199</v>
      </c>
      <c r="F109" s="31"/>
      <c r="G109" s="32"/>
      <c r="H109" s="8"/>
      <c r="I109" s="8"/>
      <c r="J109" s="8"/>
      <c r="K109" s="12"/>
    </row>
    <row r="110" spans="1:11">
      <c r="A110" s="1" t="s">
        <v>762</v>
      </c>
      <c r="B110" s="2" t="s">
        <v>356</v>
      </c>
      <c r="C110" s="2" t="s">
        <v>763</v>
      </c>
      <c r="D110" s="2"/>
      <c r="E110" s="2" t="s">
        <v>199</v>
      </c>
      <c r="F110" s="27"/>
      <c r="G110" s="28"/>
      <c r="H110" s="2"/>
      <c r="I110" s="2"/>
      <c r="J110" s="2"/>
      <c r="K110" s="6"/>
    </row>
    <row r="111" spans="1:11">
      <c r="A111" s="7" t="s">
        <v>764</v>
      </c>
      <c r="B111" s="8" t="s">
        <v>356</v>
      </c>
      <c r="C111" s="8" t="s">
        <v>765</v>
      </c>
      <c r="D111" s="8"/>
      <c r="E111" s="8" t="s">
        <v>199</v>
      </c>
      <c r="F111" s="31"/>
      <c r="G111" s="32"/>
      <c r="H111" s="8"/>
      <c r="I111" s="8"/>
      <c r="J111" s="8"/>
      <c r="K111" s="12"/>
    </row>
    <row r="112" spans="1:11">
      <c r="A112" s="1" t="s">
        <v>766</v>
      </c>
      <c r="B112" s="2" t="s">
        <v>356</v>
      </c>
      <c r="C112" s="2" t="s">
        <v>767</v>
      </c>
      <c r="D112" s="2"/>
      <c r="E112" s="2" t="s">
        <v>199</v>
      </c>
      <c r="F112" s="27"/>
      <c r="G112" s="28"/>
      <c r="H112" s="2"/>
      <c r="I112" s="2"/>
      <c r="J112" s="2"/>
      <c r="K112" s="6"/>
    </row>
    <row r="113" spans="1:11">
      <c r="A113" s="7" t="s">
        <v>768</v>
      </c>
      <c r="B113" s="8" t="s">
        <v>356</v>
      </c>
      <c r="C113" s="8" t="s">
        <v>769</v>
      </c>
      <c r="D113" s="8"/>
      <c r="E113" s="8" t="s">
        <v>199</v>
      </c>
      <c r="F113" s="31"/>
      <c r="G113" s="32"/>
      <c r="H113" s="8"/>
      <c r="I113" s="8"/>
      <c r="J113" s="8"/>
      <c r="K113" s="12"/>
    </row>
    <row r="114" spans="1:11">
      <c r="A114" s="1" t="s">
        <v>770</v>
      </c>
      <c r="B114" s="2" t="s">
        <v>35</v>
      </c>
      <c r="C114" s="2" t="s">
        <v>771</v>
      </c>
      <c r="D114" s="2"/>
      <c r="E114" s="2" t="s">
        <v>80</v>
      </c>
      <c r="F114" s="27" t="s">
        <v>12</v>
      </c>
      <c r="G114" s="28" t="s">
        <v>24</v>
      </c>
      <c r="H114" s="2"/>
      <c r="I114" s="2"/>
      <c r="J114" s="2"/>
      <c r="K114" s="6" t="s">
        <v>772</v>
      </c>
    </row>
    <row r="115" spans="1:11">
      <c r="A115" s="7" t="s">
        <v>113</v>
      </c>
      <c r="B115" s="8" t="s">
        <v>35</v>
      </c>
      <c r="C115" s="8" t="s">
        <v>773</v>
      </c>
      <c r="D115" s="8" t="s">
        <v>114</v>
      </c>
      <c r="E115" s="8" t="s">
        <v>80</v>
      </c>
      <c r="F115" s="31" t="s">
        <v>12</v>
      </c>
      <c r="G115" s="32" t="s">
        <v>24</v>
      </c>
      <c r="H115" s="8"/>
      <c r="I115" s="8" t="s">
        <v>27</v>
      </c>
      <c r="J115" s="8" t="s">
        <v>476</v>
      </c>
      <c r="K115" s="12" t="s">
        <v>774</v>
      </c>
    </row>
    <row r="116" spans="1:11">
      <c r="A116" s="1" t="s">
        <v>116</v>
      </c>
      <c r="B116" s="2" t="s">
        <v>35</v>
      </c>
      <c r="C116" s="2" t="s">
        <v>775</v>
      </c>
      <c r="D116" s="2" t="s">
        <v>117</v>
      </c>
      <c r="E116" s="2" t="s">
        <v>80</v>
      </c>
      <c r="F116" s="27" t="s">
        <v>12</v>
      </c>
      <c r="G116" s="28" t="s">
        <v>24</v>
      </c>
      <c r="H116" s="2"/>
      <c r="I116" s="2" t="s">
        <v>27</v>
      </c>
      <c r="J116" s="2" t="s">
        <v>476</v>
      </c>
      <c r="K116" s="6" t="s">
        <v>776</v>
      </c>
    </row>
    <row r="117" spans="1:11">
      <c r="A117" s="7" t="s">
        <v>118</v>
      </c>
      <c r="B117" s="8" t="s">
        <v>35</v>
      </c>
      <c r="C117" s="8" t="s">
        <v>777</v>
      </c>
      <c r="D117" s="8" t="s">
        <v>119</v>
      </c>
      <c r="E117" s="8" t="s">
        <v>30</v>
      </c>
      <c r="F117" s="31" t="s">
        <v>12</v>
      </c>
      <c r="G117" s="32" t="s">
        <v>24</v>
      </c>
      <c r="H117" s="8"/>
      <c r="I117" s="8" t="s">
        <v>27</v>
      </c>
      <c r="J117" s="8" t="s">
        <v>476</v>
      </c>
      <c r="K117" s="12" t="s">
        <v>778</v>
      </c>
    </row>
    <row r="118" spans="1:11">
      <c r="A118" s="1" t="s">
        <v>121</v>
      </c>
      <c r="B118" s="2" t="s">
        <v>35</v>
      </c>
      <c r="C118" s="2" t="s">
        <v>779</v>
      </c>
      <c r="D118" s="2" t="s">
        <v>117</v>
      </c>
      <c r="E118" s="2" t="s">
        <v>123</v>
      </c>
      <c r="F118" s="27" t="s">
        <v>12</v>
      </c>
      <c r="G118" s="28" t="s">
        <v>24</v>
      </c>
      <c r="H118" s="2"/>
      <c r="I118" s="2" t="s">
        <v>27</v>
      </c>
      <c r="J118" s="2" t="s">
        <v>476</v>
      </c>
      <c r="K118" s="6" t="s">
        <v>780</v>
      </c>
    </row>
    <row r="119" spans="1:11">
      <c r="A119" s="18" t="s">
        <v>124</v>
      </c>
      <c r="B119" s="8" t="s">
        <v>35</v>
      </c>
      <c r="C119" s="8" t="s">
        <v>781</v>
      </c>
      <c r="D119" s="8" t="s">
        <v>125</v>
      </c>
      <c r="E119" s="8" t="s">
        <v>80</v>
      </c>
      <c r="F119" s="31" t="s">
        <v>12</v>
      </c>
      <c r="G119" s="32" t="s">
        <v>24</v>
      </c>
      <c r="H119" s="8"/>
      <c r="I119" s="8" t="s">
        <v>27</v>
      </c>
      <c r="J119" s="8" t="s">
        <v>476</v>
      </c>
      <c r="K119" s="12" t="s">
        <v>782</v>
      </c>
    </row>
    <row r="120" spans="1:11">
      <c r="A120" s="1" t="s">
        <v>128</v>
      </c>
      <c r="B120" s="2" t="s">
        <v>35</v>
      </c>
      <c r="C120" s="2" t="s">
        <v>783</v>
      </c>
      <c r="D120" s="2" t="s">
        <v>129</v>
      </c>
      <c r="E120" s="2" t="s">
        <v>80</v>
      </c>
      <c r="F120" s="27" t="s">
        <v>12</v>
      </c>
      <c r="G120" s="28" t="s">
        <v>24</v>
      </c>
      <c r="H120" s="2"/>
      <c r="I120" s="2" t="s">
        <v>27</v>
      </c>
      <c r="J120" s="2" t="s">
        <v>476</v>
      </c>
      <c r="K120" s="6" t="s">
        <v>784</v>
      </c>
    </row>
    <row r="121" spans="1:11">
      <c r="A121" s="7" t="s">
        <v>785</v>
      </c>
      <c r="B121" s="8" t="s">
        <v>35</v>
      </c>
      <c r="C121" s="8" t="s">
        <v>786</v>
      </c>
      <c r="D121" s="8"/>
      <c r="E121" s="8" t="s">
        <v>80</v>
      </c>
      <c r="F121" s="31" t="s">
        <v>12</v>
      </c>
      <c r="G121" s="32" t="s">
        <v>24</v>
      </c>
      <c r="H121" s="8"/>
      <c r="I121" s="8"/>
      <c r="J121" s="8"/>
      <c r="K121" s="12" t="s">
        <v>787</v>
      </c>
    </row>
    <row r="122" spans="1:11">
      <c r="A122" s="1" t="s">
        <v>131</v>
      </c>
      <c r="B122" s="2" t="s">
        <v>35</v>
      </c>
      <c r="C122" s="2" t="s">
        <v>788</v>
      </c>
      <c r="D122" s="2" t="s">
        <v>132</v>
      </c>
      <c r="E122" s="2" t="s">
        <v>107</v>
      </c>
      <c r="F122" s="27" t="s">
        <v>12</v>
      </c>
      <c r="G122" s="28" t="s">
        <v>24</v>
      </c>
      <c r="H122" s="2"/>
      <c r="I122" s="2" t="s">
        <v>27</v>
      </c>
      <c r="J122" s="2" t="s">
        <v>476</v>
      </c>
      <c r="K122" s="6" t="s">
        <v>789</v>
      </c>
    </row>
    <row r="123" spans="1:11">
      <c r="A123" s="7" t="s">
        <v>133</v>
      </c>
      <c r="B123" s="8" t="s">
        <v>35</v>
      </c>
      <c r="C123" s="8" t="s">
        <v>790</v>
      </c>
      <c r="D123" s="8" t="s">
        <v>134</v>
      </c>
      <c r="E123" s="8" t="s">
        <v>80</v>
      </c>
      <c r="F123" s="31" t="s">
        <v>12</v>
      </c>
      <c r="G123" s="32" t="s">
        <v>24</v>
      </c>
      <c r="H123" s="8"/>
      <c r="I123" s="8" t="s">
        <v>27</v>
      </c>
      <c r="J123" s="8" t="s">
        <v>476</v>
      </c>
      <c r="K123" s="12" t="s">
        <v>791</v>
      </c>
    </row>
    <row r="124" spans="1:11">
      <c r="A124" s="1" t="s">
        <v>792</v>
      </c>
      <c r="B124" s="2" t="s">
        <v>35</v>
      </c>
      <c r="C124" s="2" t="s">
        <v>793</v>
      </c>
      <c r="D124" s="2"/>
      <c r="E124" s="2" t="s">
        <v>80</v>
      </c>
      <c r="F124" s="27" t="s">
        <v>12</v>
      </c>
      <c r="G124" s="28" t="s">
        <v>24</v>
      </c>
      <c r="H124" s="2"/>
      <c r="I124" s="2"/>
      <c r="J124" s="2"/>
      <c r="K124" s="6" t="s">
        <v>794</v>
      </c>
    </row>
    <row r="125" spans="1:11">
      <c r="A125" s="7" t="s">
        <v>136</v>
      </c>
      <c r="B125" s="8" t="s">
        <v>35</v>
      </c>
      <c r="C125" s="8" t="s">
        <v>795</v>
      </c>
      <c r="D125" s="8" t="s">
        <v>137</v>
      </c>
      <c r="E125" s="8" t="s">
        <v>80</v>
      </c>
      <c r="F125" s="31" t="s">
        <v>12</v>
      </c>
      <c r="G125" s="32" t="s">
        <v>24</v>
      </c>
      <c r="H125" s="8"/>
      <c r="I125" s="8" t="s">
        <v>27</v>
      </c>
      <c r="J125" s="8" t="s">
        <v>476</v>
      </c>
      <c r="K125" s="12" t="s">
        <v>796</v>
      </c>
    </row>
    <row r="126" spans="1:11">
      <c r="A126" s="1" t="s">
        <v>139</v>
      </c>
      <c r="B126" s="2" t="s">
        <v>19</v>
      </c>
      <c r="C126" s="2" t="s">
        <v>797</v>
      </c>
      <c r="D126" s="2" t="s">
        <v>140</v>
      </c>
      <c r="E126" s="2" t="s">
        <v>107</v>
      </c>
      <c r="F126" s="30" t="s">
        <v>12</v>
      </c>
      <c r="G126" s="30" t="s">
        <v>24</v>
      </c>
      <c r="H126" s="2"/>
      <c r="I126" s="2" t="s">
        <v>27</v>
      </c>
      <c r="J126" s="2" t="s">
        <v>476</v>
      </c>
      <c r="K126" s="6" t="s">
        <v>798</v>
      </c>
    </row>
    <row r="127" spans="1:11">
      <c r="A127" s="7" t="s">
        <v>799</v>
      </c>
      <c r="B127" s="8" t="s">
        <v>19</v>
      </c>
      <c r="C127" s="8" t="s">
        <v>800</v>
      </c>
      <c r="D127" s="8" t="s">
        <v>801</v>
      </c>
      <c r="E127" s="8" t="s">
        <v>199</v>
      </c>
      <c r="F127" s="29"/>
      <c r="G127" s="29"/>
      <c r="H127" s="8"/>
      <c r="I127" s="8" t="s">
        <v>78</v>
      </c>
      <c r="J127" s="8"/>
      <c r="K127" s="12"/>
    </row>
    <row r="128" spans="1:11">
      <c r="A128" s="1" t="s">
        <v>802</v>
      </c>
      <c r="B128" s="2" t="s">
        <v>19</v>
      </c>
      <c r="C128" s="2" t="s">
        <v>803</v>
      </c>
      <c r="D128" s="2" t="s">
        <v>804</v>
      </c>
      <c r="E128" s="2" t="s">
        <v>199</v>
      </c>
      <c r="F128" s="30"/>
      <c r="G128" s="30"/>
      <c r="H128" s="2"/>
      <c r="I128" s="2" t="s">
        <v>78</v>
      </c>
      <c r="J128" s="2"/>
      <c r="K128" s="6"/>
    </row>
    <row r="129" spans="1:11">
      <c r="A129" s="7" t="s">
        <v>805</v>
      </c>
      <c r="B129" s="8" t="s">
        <v>356</v>
      </c>
      <c r="C129" s="8" t="s">
        <v>806</v>
      </c>
      <c r="D129" s="8"/>
      <c r="E129" s="8" t="s">
        <v>199</v>
      </c>
      <c r="F129" s="31"/>
      <c r="G129" s="32"/>
      <c r="H129" s="8"/>
      <c r="I129" s="8"/>
      <c r="J129" s="8"/>
      <c r="K129" s="12"/>
    </row>
    <row r="130" spans="1:11">
      <c r="A130" s="1" t="s">
        <v>807</v>
      </c>
      <c r="B130" s="2" t="s">
        <v>19</v>
      </c>
      <c r="C130" s="2" t="s">
        <v>808</v>
      </c>
      <c r="D130" s="2" t="s">
        <v>809</v>
      </c>
      <c r="E130" s="2" t="s">
        <v>199</v>
      </c>
      <c r="F130" s="30"/>
      <c r="G130" s="30"/>
      <c r="H130" s="2"/>
      <c r="I130" s="2" t="s">
        <v>78</v>
      </c>
      <c r="J130" s="2"/>
      <c r="K130" s="6"/>
    </row>
    <row r="131" spans="1:11">
      <c r="A131" s="7" t="s">
        <v>810</v>
      </c>
      <c r="B131" s="8" t="s">
        <v>19</v>
      </c>
      <c r="C131" s="8" t="s">
        <v>811</v>
      </c>
      <c r="D131" s="8" t="s">
        <v>809</v>
      </c>
      <c r="E131" s="8" t="s">
        <v>199</v>
      </c>
      <c r="F131" s="29"/>
      <c r="G131" s="29"/>
      <c r="H131" s="8"/>
      <c r="I131" s="8" t="s">
        <v>78</v>
      </c>
      <c r="J131" s="8"/>
      <c r="K131" s="12"/>
    </row>
    <row r="132" spans="1:11">
      <c r="A132" s="1" t="s">
        <v>812</v>
      </c>
      <c r="B132" s="2" t="s">
        <v>19</v>
      </c>
      <c r="C132" s="2" t="s">
        <v>813</v>
      </c>
      <c r="D132" s="2"/>
      <c r="E132" s="2" t="s">
        <v>80</v>
      </c>
      <c r="F132" s="30" t="s">
        <v>12</v>
      </c>
      <c r="G132" s="30" t="s">
        <v>24</v>
      </c>
      <c r="H132" s="2"/>
      <c r="I132" s="2"/>
      <c r="J132" s="2"/>
      <c r="K132" s="6" t="s">
        <v>814</v>
      </c>
    </row>
    <row r="133" spans="1:11">
      <c r="A133" s="7" t="s">
        <v>141</v>
      </c>
      <c r="B133" s="8" t="s">
        <v>35</v>
      </c>
      <c r="C133" s="8" t="s">
        <v>815</v>
      </c>
      <c r="D133" s="8" t="s">
        <v>142</v>
      </c>
      <c r="E133" s="8" t="s">
        <v>107</v>
      </c>
      <c r="F133" s="31" t="s">
        <v>12</v>
      </c>
      <c r="G133" s="32" t="s">
        <v>24</v>
      </c>
      <c r="H133" s="8"/>
      <c r="I133" s="8" t="s">
        <v>27</v>
      </c>
      <c r="J133" s="8" t="s">
        <v>476</v>
      </c>
      <c r="K133" s="12" t="s">
        <v>816</v>
      </c>
    </row>
    <row r="134" spans="1:11">
      <c r="A134" s="1" t="s">
        <v>817</v>
      </c>
      <c r="B134" s="2" t="s">
        <v>19</v>
      </c>
      <c r="C134" s="2" t="s">
        <v>818</v>
      </c>
      <c r="D134" s="2" t="s">
        <v>819</v>
      </c>
      <c r="E134" s="2" t="s">
        <v>199</v>
      </c>
      <c r="F134" s="30"/>
      <c r="G134" s="30"/>
      <c r="H134" s="2"/>
      <c r="I134" s="2" t="s">
        <v>78</v>
      </c>
      <c r="J134" s="2"/>
      <c r="K134" s="6"/>
    </row>
    <row r="135" spans="1:11">
      <c r="A135" s="7" t="s">
        <v>820</v>
      </c>
      <c r="B135" s="8" t="s">
        <v>19</v>
      </c>
      <c r="C135" s="8" t="s">
        <v>821</v>
      </c>
      <c r="D135" s="8"/>
      <c r="E135" s="8" t="s">
        <v>199</v>
      </c>
      <c r="F135" s="29"/>
      <c r="G135" s="29"/>
      <c r="H135" s="8"/>
      <c r="I135" s="8"/>
      <c r="J135" s="8"/>
      <c r="K135" s="12"/>
    </row>
    <row r="136" spans="1:11">
      <c r="A136" s="1" t="s">
        <v>822</v>
      </c>
      <c r="B136" s="2" t="s">
        <v>19</v>
      </c>
      <c r="C136" s="2" t="s">
        <v>823</v>
      </c>
      <c r="D136" s="2"/>
      <c r="E136" s="2" t="s">
        <v>199</v>
      </c>
      <c r="F136" s="30"/>
      <c r="G136" s="30"/>
      <c r="H136" s="2"/>
      <c r="I136" s="2"/>
      <c r="J136" s="2"/>
      <c r="K136" s="6"/>
    </row>
    <row r="137" spans="1:11">
      <c r="A137" s="7" t="s">
        <v>143</v>
      </c>
      <c r="B137" s="8" t="s">
        <v>35</v>
      </c>
      <c r="C137" s="8" t="s">
        <v>824</v>
      </c>
      <c r="D137" s="8" t="s">
        <v>144</v>
      </c>
      <c r="E137" s="8" t="s">
        <v>107</v>
      </c>
      <c r="F137" s="31" t="s">
        <v>12</v>
      </c>
      <c r="G137" s="32" t="s">
        <v>24</v>
      </c>
      <c r="H137" s="8"/>
      <c r="I137" s="8" t="s">
        <v>27</v>
      </c>
      <c r="J137" s="8" t="s">
        <v>476</v>
      </c>
      <c r="K137" s="12" t="s">
        <v>825</v>
      </c>
    </row>
    <row r="138" spans="1:11">
      <c r="A138" s="13" t="s">
        <v>146</v>
      </c>
      <c r="B138" s="2" t="s">
        <v>35</v>
      </c>
      <c r="C138" s="2" t="s">
        <v>826</v>
      </c>
      <c r="D138" s="2" t="s">
        <v>147</v>
      </c>
      <c r="E138" s="2" t="s">
        <v>30</v>
      </c>
      <c r="F138" s="27" t="s">
        <v>12</v>
      </c>
      <c r="G138" s="28" t="s">
        <v>24</v>
      </c>
      <c r="H138" s="2"/>
      <c r="I138" s="2" t="s">
        <v>78</v>
      </c>
      <c r="J138" s="2" t="s">
        <v>476</v>
      </c>
      <c r="K138" s="6" t="s">
        <v>827</v>
      </c>
    </row>
    <row r="139" spans="1:11">
      <c r="A139" s="7" t="s">
        <v>149</v>
      </c>
      <c r="B139" s="8" t="s">
        <v>35</v>
      </c>
      <c r="C139" s="8" t="s">
        <v>828</v>
      </c>
      <c r="D139" s="8" t="s">
        <v>150</v>
      </c>
      <c r="E139" s="8" t="s">
        <v>30</v>
      </c>
      <c r="F139" s="31" t="s">
        <v>12</v>
      </c>
      <c r="G139" s="32" t="s">
        <v>24</v>
      </c>
      <c r="H139" s="8"/>
      <c r="I139" s="8" t="s">
        <v>27</v>
      </c>
      <c r="J139" s="8" t="s">
        <v>476</v>
      </c>
      <c r="K139" s="12" t="s">
        <v>829</v>
      </c>
    </row>
    <row r="140" spans="1:11">
      <c r="A140" s="1" t="s">
        <v>152</v>
      </c>
      <c r="B140" s="2" t="s">
        <v>35</v>
      </c>
      <c r="C140" s="2" t="s">
        <v>830</v>
      </c>
      <c r="D140" s="2" t="s">
        <v>153</v>
      </c>
      <c r="E140" s="2" t="s">
        <v>61</v>
      </c>
      <c r="F140" s="27" t="s">
        <v>12</v>
      </c>
      <c r="G140" s="28" t="s">
        <v>24</v>
      </c>
      <c r="H140" s="2"/>
      <c r="I140" s="2" t="s">
        <v>27</v>
      </c>
      <c r="J140" s="2" t="s">
        <v>476</v>
      </c>
      <c r="K140" s="6" t="s">
        <v>831</v>
      </c>
    </row>
    <row r="141" spans="1:11">
      <c r="A141" s="7" t="s">
        <v>156</v>
      </c>
      <c r="B141" s="8" t="s">
        <v>35</v>
      </c>
      <c r="C141" s="8" t="s">
        <v>832</v>
      </c>
      <c r="D141" s="8" t="s">
        <v>157</v>
      </c>
      <c r="E141" s="8" t="s">
        <v>30</v>
      </c>
      <c r="F141" s="31" t="s">
        <v>12</v>
      </c>
      <c r="G141" s="32" t="s">
        <v>24</v>
      </c>
      <c r="H141" s="8"/>
      <c r="I141" s="8" t="s">
        <v>78</v>
      </c>
      <c r="J141" s="8" t="s">
        <v>476</v>
      </c>
      <c r="K141" s="12" t="s">
        <v>833</v>
      </c>
    </row>
    <row r="142" spans="1:11">
      <c r="A142" s="1" t="s">
        <v>159</v>
      </c>
      <c r="B142" s="2" t="s">
        <v>19</v>
      </c>
      <c r="C142" s="2" t="s">
        <v>834</v>
      </c>
      <c r="D142" s="15" t="s">
        <v>160</v>
      </c>
      <c r="E142" s="2" t="s">
        <v>30</v>
      </c>
      <c r="F142" s="30" t="s">
        <v>12</v>
      </c>
      <c r="G142" s="30" t="s">
        <v>24</v>
      </c>
      <c r="H142" s="2"/>
      <c r="I142" s="2" t="s">
        <v>27</v>
      </c>
      <c r="J142" s="2" t="s">
        <v>476</v>
      </c>
      <c r="K142" s="6" t="s">
        <v>835</v>
      </c>
    </row>
    <row r="143" spans="1:11">
      <c r="A143" s="7" t="s">
        <v>162</v>
      </c>
      <c r="B143" s="8" t="s">
        <v>35</v>
      </c>
      <c r="C143" s="8" t="s">
        <v>836</v>
      </c>
      <c r="D143" s="8" t="s">
        <v>163</v>
      </c>
      <c r="E143" s="8" t="s">
        <v>39</v>
      </c>
      <c r="F143" s="31" t="s">
        <v>12</v>
      </c>
      <c r="G143" s="32" t="s">
        <v>24</v>
      </c>
      <c r="H143" s="8"/>
      <c r="I143" s="8" t="s">
        <v>27</v>
      </c>
      <c r="J143" s="8" t="s">
        <v>476</v>
      </c>
      <c r="K143" s="12" t="s">
        <v>837</v>
      </c>
    </row>
    <row r="144" spans="1:11">
      <c r="A144" s="1" t="s">
        <v>838</v>
      </c>
      <c r="B144" s="2" t="s">
        <v>273</v>
      </c>
      <c r="C144" s="2" t="s">
        <v>839</v>
      </c>
      <c r="D144" s="2"/>
      <c r="E144" s="2" t="s">
        <v>199</v>
      </c>
      <c r="F144" s="27"/>
      <c r="G144" s="28"/>
      <c r="H144" s="2"/>
      <c r="I144" s="2"/>
      <c r="J144" s="2"/>
      <c r="K144" s="6"/>
    </row>
    <row r="145" spans="1:11">
      <c r="A145" s="7" t="s">
        <v>165</v>
      </c>
      <c r="B145" s="8" t="s">
        <v>19</v>
      </c>
      <c r="C145" s="8" t="s">
        <v>840</v>
      </c>
      <c r="D145" s="8" t="s">
        <v>166</v>
      </c>
      <c r="E145" s="8" t="s">
        <v>167</v>
      </c>
      <c r="F145" s="29" t="s">
        <v>12</v>
      </c>
      <c r="G145" s="29" t="s">
        <v>24</v>
      </c>
      <c r="H145" s="8"/>
      <c r="I145" s="8" t="s">
        <v>27</v>
      </c>
      <c r="J145" s="8" t="s">
        <v>476</v>
      </c>
      <c r="K145" s="12" t="s">
        <v>841</v>
      </c>
    </row>
    <row r="146" spans="1:11">
      <c r="A146" s="1" t="s">
        <v>168</v>
      </c>
      <c r="B146" s="2" t="s">
        <v>19</v>
      </c>
      <c r="C146" s="2" t="s">
        <v>842</v>
      </c>
      <c r="D146" s="2" t="s">
        <v>169</v>
      </c>
      <c r="E146" s="2" t="s">
        <v>107</v>
      </c>
      <c r="F146" s="30" t="s">
        <v>12</v>
      </c>
      <c r="G146" s="30" t="s">
        <v>24</v>
      </c>
      <c r="H146" s="2"/>
      <c r="I146" s="2" t="s">
        <v>27</v>
      </c>
      <c r="J146" s="2" t="s">
        <v>476</v>
      </c>
      <c r="K146" s="6" t="s">
        <v>843</v>
      </c>
    </row>
    <row r="147" spans="1:11">
      <c r="A147" s="7" t="s">
        <v>170</v>
      </c>
      <c r="B147" s="8" t="s">
        <v>19</v>
      </c>
      <c r="C147" s="8" t="s">
        <v>844</v>
      </c>
      <c r="D147" s="8" t="s">
        <v>171</v>
      </c>
      <c r="E147" s="8" t="s">
        <v>91</v>
      </c>
      <c r="F147" s="29" t="s">
        <v>12</v>
      </c>
      <c r="G147" s="29" t="s">
        <v>24</v>
      </c>
      <c r="H147" s="8"/>
      <c r="I147" s="8" t="s">
        <v>27</v>
      </c>
      <c r="J147" s="8" t="s">
        <v>476</v>
      </c>
      <c r="K147" s="12" t="s">
        <v>845</v>
      </c>
    </row>
    <row r="148" spans="1:11">
      <c r="A148" s="1" t="s">
        <v>846</v>
      </c>
      <c r="B148" s="2" t="s">
        <v>273</v>
      </c>
      <c r="C148" s="2" t="s">
        <v>847</v>
      </c>
      <c r="D148" s="2"/>
      <c r="E148" s="2" t="s">
        <v>199</v>
      </c>
      <c r="F148" s="27"/>
      <c r="G148" s="28"/>
      <c r="H148" s="2"/>
      <c r="I148" s="2"/>
      <c r="J148" s="2"/>
      <c r="K148" s="6"/>
    </row>
    <row r="149" spans="1:11">
      <c r="A149" s="7" t="s">
        <v>848</v>
      </c>
      <c r="B149" s="8" t="s">
        <v>273</v>
      </c>
      <c r="C149" s="8" t="s">
        <v>849</v>
      </c>
      <c r="D149" s="8"/>
      <c r="E149" s="8" t="s">
        <v>199</v>
      </c>
      <c r="F149" s="31"/>
      <c r="G149" s="32"/>
      <c r="H149" s="8"/>
      <c r="I149" s="8"/>
      <c r="J149" s="8"/>
      <c r="K149" s="12"/>
    </row>
    <row r="150" spans="1:11">
      <c r="A150" s="13" t="s">
        <v>174</v>
      </c>
      <c r="B150" s="2" t="s">
        <v>35</v>
      </c>
      <c r="C150" s="2" t="s">
        <v>850</v>
      </c>
      <c r="D150" s="2" t="s">
        <v>175</v>
      </c>
      <c r="E150" s="2" t="s">
        <v>177</v>
      </c>
      <c r="F150" s="27" t="s">
        <v>12</v>
      </c>
      <c r="G150" s="28" t="s">
        <v>24</v>
      </c>
      <c r="H150" s="2"/>
      <c r="I150" s="2" t="s">
        <v>27</v>
      </c>
      <c r="J150" s="2" t="s">
        <v>476</v>
      </c>
      <c r="K150" s="6" t="s">
        <v>851</v>
      </c>
    </row>
    <row r="151" spans="1:11">
      <c r="A151" s="7" t="s">
        <v>179</v>
      </c>
      <c r="B151" s="8" t="s">
        <v>19</v>
      </c>
      <c r="C151" s="8" t="s">
        <v>852</v>
      </c>
      <c r="D151" s="8" t="s">
        <v>180</v>
      </c>
      <c r="E151" s="8" t="s">
        <v>39</v>
      </c>
      <c r="F151" s="29" t="s">
        <v>12</v>
      </c>
      <c r="G151" s="29" t="s">
        <v>24</v>
      </c>
      <c r="H151" s="8"/>
      <c r="I151" s="8" t="s">
        <v>27</v>
      </c>
      <c r="J151" s="8" t="s">
        <v>476</v>
      </c>
      <c r="K151" s="12" t="s">
        <v>853</v>
      </c>
    </row>
    <row r="152" spans="1:11">
      <c r="A152" s="1" t="s">
        <v>854</v>
      </c>
      <c r="B152" s="2" t="s">
        <v>273</v>
      </c>
      <c r="C152" s="2" t="s">
        <v>855</v>
      </c>
      <c r="D152" s="2"/>
      <c r="E152" s="2" t="s">
        <v>199</v>
      </c>
      <c r="F152" s="27"/>
      <c r="G152" s="28"/>
      <c r="H152" s="2"/>
      <c r="I152" s="2"/>
      <c r="J152" s="2"/>
      <c r="K152" s="6"/>
    </row>
    <row r="153" spans="1:11">
      <c r="A153" s="7" t="s">
        <v>856</v>
      </c>
      <c r="B153" s="8" t="s">
        <v>19</v>
      </c>
      <c r="C153" s="8" t="s">
        <v>857</v>
      </c>
      <c r="D153" s="8"/>
      <c r="E153" s="8" t="s">
        <v>39</v>
      </c>
      <c r="F153" s="29" t="s">
        <v>12</v>
      </c>
      <c r="G153" s="29" t="s">
        <v>24</v>
      </c>
      <c r="H153" s="8"/>
      <c r="I153" s="8"/>
      <c r="J153" s="8"/>
      <c r="K153" s="12" t="s">
        <v>858</v>
      </c>
    </row>
    <row r="154" spans="1:11">
      <c r="A154" s="1" t="s">
        <v>183</v>
      </c>
      <c r="B154" s="2" t="s">
        <v>19</v>
      </c>
      <c r="C154" s="2" t="s">
        <v>859</v>
      </c>
      <c r="D154" s="2" t="s">
        <v>184</v>
      </c>
      <c r="E154" s="2" t="s">
        <v>107</v>
      </c>
      <c r="F154" s="30" t="s">
        <v>12</v>
      </c>
      <c r="G154" s="30" t="s">
        <v>24</v>
      </c>
      <c r="H154" s="2"/>
      <c r="I154" s="2" t="s">
        <v>27</v>
      </c>
      <c r="J154" s="2" t="s">
        <v>476</v>
      </c>
      <c r="K154" s="6" t="s">
        <v>860</v>
      </c>
    </row>
    <row r="155" spans="1:11">
      <c r="A155" s="7" t="s">
        <v>186</v>
      </c>
      <c r="B155" s="8" t="s">
        <v>35</v>
      </c>
      <c r="C155" s="8" t="s">
        <v>861</v>
      </c>
      <c r="D155" s="8" t="s">
        <v>187</v>
      </c>
      <c r="E155" s="8" t="s">
        <v>80</v>
      </c>
      <c r="F155" s="31" t="s">
        <v>12</v>
      </c>
      <c r="G155" s="32" t="s">
        <v>24</v>
      </c>
      <c r="H155" s="8"/>
      <c r="I155" s="8" t="s">
        <v>27</v>
      </c>
      <c r="J155" s="8" t="s">
        <v>476</v>
      </c>
      <c r="K155" s="12" t="s">
        <v>862</v>
      </c>
    </row>
    <row r="156" spans="1:11">
      <c r="A156" s="1" t="s">
        <v>863</v>
      </c>
      <c r="B156" s="2" t="s">
        <v>19</v>
      </c>
      <c r="C156" s="2" t="s">
        <v>864</v>
      </c>
      <c r="D156" s="2"/>
      <c r="E156" s="2" t="s">
        <v>593</v>
      </c>
      <c r="F156" s="30" t="s">
        <v>12</v>
      </c>
      <c r="G156" s="30" t="s">
        <v>24</v>
      </c>
      <c r="H156" s="2"/>
      <c r="I156" s="2"/>
      <c r="J156" s="2"/>
      <c r="K156" s="6" t="s">
        <v>865</v>
      </c>
    </row>
    <row r="157" spans="1:11">
      <c r="A157" s="7" t="s">
        <v>866</v>
      </c>
      <c r="B157" s="8" t="s">
        <v>273</v>
      </c>
      <c r="C157" s="8" t="s">
        <v>867</v>
      </c>
      <c r="D157" s="8"/>
      <c r="E157" s="8" t="s">
        <v>199</v>
      </c>
      <c r="F157" s="31"/>
      <c r="G157" s="32"/>
      <c r="H157" s="8"/>
      <c r="I157" s="8"/>
      <c r="J157" s="8"/>
      <c r="K157" s="12"/>
    </row>
    <row r="158" spans="1:11">
      <c r="A158" s="1" t="s">
        <v>868</v>
      </c>
      <c r="B158" s="2" t="s">
        <v>273</v>
      </c>
      <c r="C158" s="2" t="s">
        <v>869</v>
      </c>
      <c r="D158" s="2"/>
      <c r="E158" s="2" t="s">
        <v>199</v>
      </c>
      <c r="F158" s="27"/>
      <c r="G158" s="28"/>
      <c r="H158" s="2"/>
      <c r="I158" s="2"/>
      <c r="J158" s="2"/>
      <c r="K158" s="6"/>
    </row>
    <row r="159" spans="1:11">
      <c r="A159" s="7" t="s">
        <v>189</v>
      </c>
      <c r="B159" s="8" t="s">
        <v>19</v>
      </c>
      <c r="C159" s="8" t="s">
        <v>870</v>
      </c>
      <c r="D159" s="8" t="s">
        <v>190</v>
      </c>
      <c r="E159" s="8" t="s">
        <v>192</v>
      </c>
      <c r="F159" s="29" t="s">
        <v>12</v>
      </c>
      <c r="G159" s="29" t="s">
        <v>24</v>
      </c>
      <c r="H159" s="8"/>
      <c r="I159" s="8" t="s">
        <v>27</v>
      </c>
      <c r="J159" s="8" t="s">
        <v>476</v>
      </c>
      <c r="K159" s="12" t="s">
        <v>871</v>
      </c>
    </row>
    <row r="160" spans="1:11">
      <c r="A160" s="1" t="s">
        <v>872</v>
      </c>
      <c r="B160" s="2" t="s">
        <v>273</v>
      </c>
      <c r="C160" s="2" t="s">
        <v>873</v>
      </c>
      <c r="D160" s="2"/>
      <c r="E160" s="2" t="s">
        <v>199</v>
      </c>
      <c r="F160" s="27"/>
      <c r="G160" s="28"/>
      <c r="H160" s="2"/>
      <c r="I160" s="2"/>
      <c r="J160" s="2"/>
      <c r="K160" s="6"/>
    </row>
    <row r="161" spans="1:11">
      <c r="A161" s="7" t="s">
        <v>874</v>
      </c>
      <c r="B161" s="8" t="s">
        <v>273</v>
      </c>
      <c r="C161" s="8" t="s">
        <v>875</v>
      </c>
      <c r="D161" s="8"/>
      <c r="E161" s="8" t="s">
        <v>199</v>
      </c>
      <c r="F161" s="31"/>
      <c r="G161" s="32"/>
      <c r="H161" s="8"/>
      <c r="I161" s="8"/>
      <c r="J161" s="8"/>
      <c r="K161" s="12"/>
    </row>
    <row r="162" spans="1:11">
      <c r="A162" s="1" t="s">
        <v>876</v>
      </c>
      <c r="B162" s="2" t="s">
        <v>273</v>
      </c>
      <c r="C162" s="2" t="s">
        <v>877</v>
      </c>
      <c r="D162" s="2"/>
      <c r="E162" s="2" t="s">
        <v>199</v>
      </c>
      <c r="F162" s="27"/>
      <c r="G162" s="28"/>
      <c r="H162" s="2"/>
      <c r="I162" s="2"/>
      <c r="J162" s="2"/>
      <c r="K162" s="6"/>
    </row>
    <row r="163" spans="1:11">
      <c r="A163" s="7" t="s">
        <v>878</v>
      </c>
      <c r="B163" s="8" t="s">
        <v>273</v>
      </c>
      <c r="C163" s="8" t="s">
        <v>879</v>
      </c>
      <c r="D163" s="8"/>
      <c r="E163" s="8" t="s">
        <v>199</v>
      </c>
      <c r="F163" s="31"/>
      <c r="G163" s="32"/>
      <c r="H163" s="8"/>
      <c r="I163" s="8"/>
      <c r="J163" s="8"/>
      <c r="K163" s="12"/>
    </row>
    <row r="164" spans="1:11">
      <c r="A164" s="1" t="s">
        <v>880</v>
      </c>
      <c r="B164" s="2" t="s">
        <v>273</v>
      </c>
      <c r="C164" s="2" t="s">
        <v>881</v>
      </c>
      <c r="D164" s="2"/>
      <c r="E164" s="2" t="s">
        <v>199</v>
      </c>
      <c r="F164" s="27"/>
      <c r="G164" s="28"/>
      <c r="H164" s="2"/>
      <c r="I164" s="2"/>
      <c r="J164" s="2"/>
      <c r="K164" s="6"/>
    </row>
    <row r="165" spans="1:11">
      <c r="A165" s="7" t="s">
        <v>882</v>
      </c>
      <c r="B165" s="8" t="s">
        <v>273</v>
      </c>
      <c r="C165" s="8" t="s">
        <v>883</v>
      </c>
      <c r="D165" s="8"/>
      <c r="E165" s="8" t="s">
        <v>199</v>
      </c>
      <c r="F165" s="31"/>
      <c r="G165" s="32"/>
      <c r="H165" s="8"/>
      <c r="I165" s="8"/>
      <c r="J165" s="8"/>
      <c r="K165" s="12"/>
    </row>
    <row r="166" spans="1:11">
      <c r="A166" s="1" t="s">
        <v>884</v>
      </c>
      <c r="B166" s="2" t="s">
        <v>19</v>
      </c>
      <c r="C166" s="2" t="s">
        <v>885</v>
      </c>
      <c r="D166" s="2"/>
      <c r="E166" s="2" t="s">
        <v>199</v>
      </c>
      <c r="F166" s="5" t="s">
        <v>12</v>
      </c>
      <c r="G166" s="5" t="s">
        <v>24</v>
      </c>
      <c r="H166" s="2"/>
      <c r="I166" s="2"/>
      <c r="J166" s="2"/>
      <c r="K166" s="6" t="s">
        <v>886</v>
      </c>
    </row>
    <row r="167" spans="1:11">
      <c r="A167" s="7" t="s">
        <v>194</v>
      </c>
      <c r="B167" s="8" t="s">
        <v>19</v>
      </c>
      <c r="C167" s="8" t="s">
        <v>887</v>
      </c>
      <c r="D167" s="8" t="s">
        <v>195</v>
      </c>
      <c r="E167" s="8" t="s">
        <v>61</v>
      </c>
      <c r="F167" s="29" t="s">
        <v>12</v>
      </c>
      <c r="G167" s="29" t="s">
        <v>24</v>
      </c>
      <c r="H167" s="8"/>
      <c r="I167" s="8" t="s">
        <v>27</v>
      </c>
      <c r="J167" s="8" t="s">
        <v>476</v>
      </c>
      <c r="K167" s="12" t="s">
        <v>888</v>
      </c>
    </row>
    <row r="168" spans="1:11">
      <c r="A168" s="1" t="s">
        <v>198</v>
      </c>
      <c r="B168" s="2" t="s">
        <v>19</v>
      </c>
      <c r="C168" s="2" t="s">
        <v>889</v>
      </c>
      <c r="D168" s="2" t="s">
        <v>195</v>
      </c>
      <c r="E168" s="2" t="s">
        <v>199</v>
      </c>
      <c r="F168" s="5" t="s">
        <v>12</v>
      </c>
      <c r="G168" s="5" t="s">
        <v>24</v>
      </c>
      <c r="H168" s="2"/>
      <c r="I168" s="2" t="s">
        <v>78</v>
      </c>
      <c r="J168" s="2" t="s">
        <v>476</v>
      </c>
      <c r="K168" s="6" t="s">
        <v>890</v>
      </c>
    </row>
    <row r="169" spans="1:11">
      <c r="A169" s="7" t="s">
        <v>891</v>
      </c>
      <c r="B169" s="8" t="s">
        <v>35</v>
      </c>
      <c r="C169" s="8" t="s">
        <v>892</v>
      </c>
      <c r="D169" s="8"/>
      <c r="E169" s="8" t="s">
        <v>123</v>
      </c>
      <c r="F169" s="31" t="s">
        <v>12</v>
      </c>
      <c r="G169" s="32" t="s">
        <v>24</v>
      </c>
      <c r="H169" s="8"/>
      <c r="I169" s="8"/>
      <c r="J169" s="8"/>
      <c r="K169" s="12" t="s">
        <v>893</v>
      </c>
    </row>
    <row r="170" spans="1:11">
      <c r="A170" s="1" t="s">
        <v>200</v>
      </c>
      <c r="B170" s="2" t="s">
        <v>35</v>
      </c>
      <c r="C170" s="2" t="s">
        <v>894</v>
      </c>
      <c r="D170" s="2" t="s">
        <v>201</v>
      </c>
      <c r="E170" s="2" t="s">
        <v>61</v>
      </c>
      <c r="F170" s="27" t="s">
        <v>12</v>
      </c>
      <c r="G170" s="28" t="s">
        <v>24</v>
      </c>
      <c r="H170" s="2"/>
      <c r="I170" s="2" t="s">
        <v>27</v>
      </c>
      <c r="J170" s="2" t="s">
        <v>476</v>
      </c>
      <c r="K170" s="6" t="s">
        <v>895</v>
      </c>
    </row>
    <row r="171" spans="1:11">
      <c r="A171" s="7" t="s">
        <v>203</v>
      </c>
      <c r="B171" s="8" t="s">
        <v>35</v>
      </c>
      <c r="C171" s="8" t="s">
        <v>896</v>
      </c>
      <c r="D171" s="8" t="s">
        <v>204</v>
      </c>
      <c r="E171" s="8" t="s">
        <v>123</v>
      </c>
      <c r="F171" s="31" t="s">
        <v>12</v>
      </c>
      <c r="G171" s="32" t="s">
        <v>24</v>
      </c>
      <c r="H171" s="8"/>
      <c r="I171" s="8" t="s">
        <v>27</v>
      </c>
      <c r="J171" s="8" t="s">
        <v>476</v>
      </c>
      <c r="K171" s="12" t="s">
        <v>897</v>
      </c>
    </row>
    <row r="172" spans="1:11">
      <c r="A172" s="1" t="s">
        <v>207</v>
      </c>
      <c r="B172" s="2" t="s">
        <v>19</v>
      </c>
      <c r="C172" s="2" t="s">
        <v>898</v>
      </c>
      <c r="D172" s="2" t="s">
        <v>208</v>
      </c>
      <c r="E172" s="2" t="s">
        <v>80</v>
      </c>
      <c r="F172" s="30" t="s">
        <v>12</v>
      </c>
      <c r="G172" s="30" t="s">
        <v>24</v>
      </c>
      <c r="H172" s="2"/>
      <c r="I172" s="2" t="s">
        <v>27</v>
      </c>
      <c r="J172" s="2" t="s">
        <v>476</v>
      </c>
      <c r="K172" s="6" t="s">
        <v>899</v>
      </c>
    </row>
    <row r="173" spans="1:11">
      <c r="A173" s="18" t="s">
        <v>900</v>
      </c>
      <c r="B173" s="8" t="s">
        <v>273</v>
      </c>
      <c r="C173" s="8" t="s">
        <v>901</v>
      </c>
      <c r="D173" s="8"/>
      <c r="E173" s="8" t="s">
        <v>199</v>
      </c>
      <c r="F173" s="31"/>
      <c r="G173" s="32"/>
      <c r="H173" s="8"/>
      <c r="I173" s="8"/>
      <c r="J173" s="8"/>
      <c r="K173" s="12"/>
    </row>
    <row r="174" spans="1:11">
      <c r="A174" s="1" t="s">
        <v>902</v>
      </c>
      <c r="B174" s="2" t="s">
        <v>35</v>
      </c>
      <c r="C174" s="2" t="s">
        <v>903</v>
      </c>
      <c r="D174" s="2"/>
      <c r="E174" s="2" t="s">
        <v>123</v>
      </c>
      <c r="F174" s="27" t="s">
        <v>12</v>
      </c>
      <c r="G174" s="28" t="s">
        <v>24</v>
      </c>
      <c r="H174" s="2"/>
      <c r="I174" s="2"/>
      <c r="J174" s="2"/>
      <c r="K174" s="6" t="s">
        <v>904</v>
      </c>
    </row>
    <row r="175" spans="1:11">
      <c r="A175" s="7" t="s">
        <v>905</v>
      </c>
      <c r="B175" s="8" t="s">
        <v>19</v>
      </c>
      <c r="C175" s="8" t="s">
        <v>906</v>
      </c>
      <c r="D175" s="8"/>
      <c r="E175" s="8" t="s">
        <v>80</v>
      </c>
      <c r="F175" s="29" t="s">
        <v>12</v>
      </c>
      <c r="G175" s="29" t="s">
        <v>24</v>
      </c>
      <c r="H175" s="8"/>
      <c r="I175" s="8"/>
      <c r="J175" s="8"/>
      <c r="K175" s="12" t="s">
        <v>907</v>
      </c>
    </row>
    <row r="176" spans="1:11">
      <c r="A176" s="1" t="s">
        <v>908</v>
      </c>
      <c r="B176" s="2" t="s">
        <v>356</v>
      </c>
      <c r="C176" s="2" t="s">
        <v>909</v>
      </c>
      <c r="D176" s="2" t="s">
        <v>910</v>
      </c>
      <c r="E176" s="2" t="s">
        <v>199</v>
      </c>
      <c r="F176" s="27"/>
      <c r="G176" s="28"/>
      <c r="H176" s="2"/>
      <c r="I176" s="2" t="s">
        <v>78</v>
      </c>
      <c r="J176" s="2"/>
      <c r="K176" s="6"/>
    </row>
    <row r="177" spans="1:11">
      <c r="A177" s="7" t="s">
        <v>911</v>
      </c>
      <c r="B177" s="8" t="s">
        <v>356</v>
      </c>
      <c r="C177" s="8" t="s">
        <v>912</v>
      </c>
      <c r="D177" s="8" t="s">
        <v>913</v>
      </c>
      <c r="E177" s="8" t="s">
        <v>199</v>
      </c>
      <c r="F177" s="31"/>
      <c r="G177" s="32"/>
      <c r="H177" s="8"/>
      <c r="I177" s="8" t="s">
        <v>78</v>
      </c>
      <c r="J177" s="8"/>
      <c r="K177" s="12"/>
    </row>
    <row r="178" spans="1:11">
      <c r="A178" s="1" t="s">
        <v>914</v>
      </c>
      <c r="B178" s="2" t="s">
        <v>356</v>
      </c>
      <c r="C178" s="2" t="s">
        <v>915</v>
      </c>
      <c r="D178" s="2"/>
      <c r="E178" s="2" t="s">
        <v>199</v>
      </c>
      <c r="F178" s="27"/>
      <c r="G178" s="28"/>
      <c r="H178" s="2"/>
      <c r="I178" s="2"/>
      <c r="J178" s="2"/>
      <c r="K178" s="6"/>
    </row>
    <row r="179" spans="1:11">
      <c r="A179" s="18" t="s">
        <v>916</v>
      </c>
      <c r="B179" s="8" t="s">
        <v>356</v>
      </c>
      <c r="C179" s="8" t="s">
        <v>917</v>
      </c>
      <c r="D179" s="8"/>
      <c r="E179" s="8" t="s">
        <v>199</v>
      </c>
      <c r="F179" s="31"/>
      <c r="G179" s="32"/>
      <c r="H179" s="8"/>
      <c r="I179" s="8"/>
      <c r="J179" s="8"/>
      <c r="K179" s="12"/>
    </row>
    <row r="180" spans="1:11">
      <c r="A180" s="1" t="s">
        <v>211</v>
      </c>
      <c r="B180" s="2" t="s">
        <v>19</v>
      </c>
      <c r="C180" s="2" t="s">
        <v>918</v>
      </c>
      <c r="D180" s="2" t="s">
        <v>212</v>
      </c>
      <c r="E180" s="2" t="s">
        <v>61</v>
      </c>
      <c r="F180" s="30" t="s">
        <v>12</v>
      </c>
      <c r="G180" s="30" t="s">
        <v>24</v>
      </c>
      <c r="H180" s="2"/>
      <c r="I180" s="2" t="s">
        <v>27</v>
      </c>
      <c r="J180" s="2" t="s">
        <v>476</v>
      </c>
      <c r="K180" s="6" t="s">
        <v>919</v>
      </c>
    </row>
    <row r="181" spans="1:11">
      <c r="A181" s="7" t="s">
        <v>214</v>
      </c>
      <c r="B181" s="8" t="s">
        <v>19</v>
      </c>
      <c r="C181" s="8" t="s">
        <v>920</v>
      </c>
      <c r="D181" s="8" t="s">
        <v>215</v>
      </c>
      <c r="E181" s="8" t="s">
        <v>61</v>
      </c>
      <c r="F181" s="29" t="s">
        <v>12</v>
      </c>
      <c r="G181" s="29" t="s">
        <v>24</v>
      </c>
      <c r="H181" s="8"/>
      <c r="I181" s="8" t="s">
        <v>27</v>
      </c>
      <c r="J181" s="8" t="s">
        <v>476</v>
      </c>
      <c r="K181" s="12" t="s">
        <v>921</v>
      </c>
    </row>
    <row r="182" spans="1:11">
      <c r="A182" s="1" t="s">
        <v>922</v>
      </c>
      <c r="B182" s="2" t="s">
        <v>35</v>
      </c>
      <c r="C182" s="2" t="s">
        <v>923</v>
      </c>
      <c r="D182" s="2"/>
      <c r="E182" s="2" t="s">
        <v>80</v>
      </c>
      <c r="F182" s="27" t="s">
        <v>12</v>
      </c>
      <c r="G182" s="28" t="s">
        <v>24</v>
      </c>
      <c r="H182" s="2"/>
      <c r="I182" s="2"/>
      <c r="J182" s="2"/>
      <c r="K182" s="6" t="s">
        <v>924</v>
      </c>
    </row>
    <row r="183" spans="1:11">
      <c r="A183" s="7" t="s">
        <v>217</v>
      </c>
      <c r="B183" s="8" t="s">
        <v>19</v>
      </c>
      <c r="C183" s="8" t="s">
        <v>925</v>
      </c>
      <c r="D183" s="8" t="s">
        <v>218</v>
      </c>
      <c r="E183" s="8" t="s">
        <v>61</v>
      </c>
      <c r="F183" s="29" t="s">
        <v>12</v>
      </c>
      <c r="G183" s="29" t="s">
        <v>24</v>
      </c>
      <c r="H183" s="8"/>
      <c r="I183" s="8" t="s">
        <v>27</v>
      </c>
      <c r="J183" s="8" t="s">
        <v>476</v>
      </c>
      <c r="K183" s="12" t="s">
        <v>926</v>
      </c>
    </row>
    <row r="184" spans="1:11">
      <c r="A184" s="1" t="s">
        <v>219</v>
      </c>
      <c r="B184" s="2" t="s">
        <v>19</v>
      </c>
      <c r="C184" s="2" t="s">
        <v>927</v>
      </c>
      <c r="D184" s="2" t="s">
        <v>220</v>
      </c>
      <c r="E184" s="2" t="s">
        <v>61</v>
      </c>
      <c r="F184" s="30" t="s">
        <v>12</v>
      </c>
      <c r="G184" s="30" t="s">
        <v>24</v>
      </c>
      <c r="H184" s="2"/>
      <c r="I184" s="2" t="s">
        <v>27</v>
      </c>
      <c r="J184" s="2" t="s">
        <v>476</v>
      </c>
      <c r="K184" s="6" t="s">
        <v>928</v>
      </c>
    </row>
    <row r="185" spans="1:11">
      <c r="A185" s="7" t="s">
        <v>221</v>
      </c>
      <c r="B185" s="8" t="s">
        <v>19</v>
      </c>
      <c r="C185" s="8" t="s">
        <v>929</v>
      </c>
      <c r="D185" s="16" t="s">
        <v>222</v>
      </c>
      <c r="E185" s="8" t="s">
        <v>61</v>
      </c>
      <c r="F185" s="29" t="s">
        <v>12</v>
      </c>
      <c r="G185" s="29" t="s">
        <v>24</v>
      </c>
      <c r="H185" s="8"/>
      <c r="I185" s="8" t="s">
        <v>27</v>
      </c>
      <c r="J185" s="8" t="s">
        <v>476</v>
      </c>
      <c r="K185" s="12" t="s">
        <v>930</v>
      </c>
    </row>
    <row r="186" spans="1:11">
      <c r="A186" s="1" t="s">
        <v>223</v>
      </c>
      <c r="B186" s="2" t="s">
        <v>35</v>
      </c>
      <c r="C186" s="2" t="s">
        <v>931</v>
      </c>
      <c r="D186" s="2" t="s">
        <v>224</v>
      </c>
      <c r="E186" s="2" t="s">
        <v>30</v>
      </c>
      <c r="F186" s="27" t="s">
        <v>12</v>
      </c>
      <c r="G186" s="28" t="s">
        <v>24</v>
      </c>
      <c r="H186" s="2"/>
      <c r="I186" s="2" t="s">
        <v>27</v>
      </c>
      <c r="J186" s="2" t="s">
        <v>476</v>
      </c>
      <c r="K186" s="6" t="s">
        <v>932</v>
      </c>
    </row>
    <row r="187" spans="1:11">
      <c r="A187" s="7" t="s">
        <v>225</v>
      </c>
      <c r="B187" s="8" t="s">
        <v>35</v>
      </c>
      <c r="C187" s="8" t="s">
        <v>933</v>
      </c>
      <c r="D187" s="8" t="s">
        <v>226</v>
      </c>
      <c r="E187" s="8" t="s">
        <v>30</v>
      </c>
      <c r="F187" s="31" t="s">
        <v>12</v>
      </c>
      <c r="G187" s="32" t="s">
        <v>24</v>
      </c>
      <c r="H187" s="8"/>
      <c r="I187" s="8" t="s">
        <v>27</v>
      </c>
      <c r="J187" s="8" t="s">
        <v>476</v>
      </c>
      <c r="K187" s="12" t="s">
        <v>934</v>
      </c>
    </row>
    <row r="188" spans="1:11">
      <c r="A188" s="1" t="s">
        <v>227</v>
      </c>
      <c r="B188" s="2" t="s">
        <v>35</v>
      </c>
      <c r="C188" s="2" t="s">
        <v>935</v>
      </c>
      <c r="D188" s="2" t="s">
        <v>229</v>
      </c>
      <c r="E188" s="2" t="s">
        <v>30</v>
      </c>
      <c r="F188" s="27" t="s">
        <v>12</v>
      </c>
      <c r="G188" s="28" t="s">
        <v>24</v>
      </c>
      <c r="H188" s="2"/>
      <c r="I188" s="2" t="s">
        <v>78</v>
      </c>
      <c r="J188" s="2" t="s">
        <v>476</v>
      </c>
      <c r="K188" s="6" t="s">
        <v>936</v>
      </c>
    </row>
    <row r="189" spans="1:11">
      <c r="A189" s="7" t="s">
        <v>230</v>
      </c>
      <c r="B189" s="8" t="s">
        <v>35</v>
      </c>
      <c r="C189" s="8" t="s">
        <v>937</v>
      </c>
      <c r="D189" s="8" t="s">
        <v>229</v>
      </c>
      <c r="E189" s="8" t="s">
        <v>30</v>
      </c>
      <c r="F189" s="31" t="s">
        <v>12</v>
      </c>
      <c r="G189" s="32" t="s">
        <v>24</v>
      </c>
      <c r="H189" s="8"/>
      <c r="I189" s="8" t="s">
        <v>27</v>
      </c>
      <c r="J189" s="8" t="s">
        <v>476</v>
      </c>
      <c r="K189" s="12" t="s">
        <v>938</v>
      </c>
    </row>
    <row r="190" spans="1:11">
      <c r="A190" s="1" t="s">
        <v>939</v>
      </c>
      <c r="B190" s="2" t="s">
        <v>35</v>
      </c>
      <c r="C190" s="2" t="s">
        <v>940</v>
      </c>
      <c r="D190" s="2" t="s">
        <v>941</v>
      </c>
      <c r="E190" s="2" t="s">
        <v>80</v>
      </c>
      <c r="F190" s="27" t="s">
        <v>12</v>
      </c>
      <c r="G190" s="28" t="s">
        <v>24</v>
      </c>
      <c r="H190" s="2"/>
      <c r="I190" s="2" t="s">
        <v>27</v>
      </c>
      <c r="J190" s="2"/>
      <c r="K190" s="6" t="s">
        <v>942</v>
      </c>
    </row>
    <row r="191" spans="1:11">
      <c r="A191" s="7" t="s">
        <v>232</v>
      </c>
      <c r="B191" s="8" t="s">
        <v>35</v>
      </c>
      <c r="C191" s="8" t="s">
        <v>943</v>
      </c>
      <c r="D191" s="8" t="s">
        <v>233</v>
      </c>
      <c r="E191" s="8" t="s">
        <v>30</v>
      </c>
      <c r="F191" s="31" t="s">
        <v>12</v>
      </c>
      <c r="G191" s="32" t="s">
        <v>24</v>
      </c>
      <c r="H191" s="8"/>
      <c r="I191" s="8" t="s">
        <v>27</v>
      </c>
      <c r="J191" s="8" t="s">
        <v>476</v>
      </c>
      <c r="K191" s="12" t="s">
        <v>944</v>
      </c>
    </row>
    <row r="192" spans="1:11">
      <c r="A192" s="1" t="s">
        <v>235</v>
      </c>
      <c r="B192" s="2" t="s">
        <v>35</v>
      </c>
      <c r="C192" s="2" t="s">
        <v>945</v>
      </c>
      <c r="D192" s="2" t="s">
        <v>236</v>
      </c>
      <c r="E192" s="2" t="s">
        <v>91</v>
      </c>
      <c r="F192" s="27" t="s">
        <v>12</v>
      </c>
      <c r="G192" s="28" t="s">
        <v>24</v>
      </c>
      <c r="H192" s="2"/>
      <c r="I192" s="2" t="s">
        <v>78</v>
      </c>
      <c r="J192" s="2" t="s">
        <v>476</v>
      </c>
      <c r="K192" s="6" t="s">
        <v>946</v>
      </c>
    </row>
    <row r="193" spans="1:11">
      <c r="A193" s="7" t="s">
        <v>237</v>
      </c>
      <c r="B193" s="8" t="s">
        <v>35</v>
      </c>
      <c r="C193" s="8" t="s">
        <v>947</v>
      </c>
      <c r="D193" s="8" t="s">
        <v>236</v>
      </c>
      <c r="E193" s="8" t="s">
        <v>30</v>
      </c>
      <c r="F193" s="31" t="s">
        <v>12</v>
      </c>
      <c r="G193" s="32" t="s">
        <v>24</v>
      </c>
      <c r="H193" s="8"/>
      <c r="I193" s="8" t="s">
        <v>27</v>
      </c>
      <c r="J193" s="8" t="s">
        <v>476</v>
      </c>
      <c r="K193" s="12" t="s">
        <v>948</v>
      </c>
    </row>
    <row r="194" spans="1:11">
      <c r="A194" s="1" t="s">
        <v>239</v>
      </c>
      <c r="B194" s="2" t="s">
        <v>35</v>
      </c>
      <c r="C194" s="2" t="s">
        <v>949</v>
      </c>
      <c r="D194" s="2" t="s">
        <v>236</v>
      </c>
      <c r="E194" s="2" t="s">
        <v>107</v>
      </c>
      <c r="F194" s="27" t="s">
        <v>12</v>
      </c>
      <c r="G194" s="28" t="s">
        <v>24</v>
      </c>
      <c r="H194" s="2"/>
      <c r="I194" s="2" t="s">
        <v>27</v>
      </c>
      <c r="J194" s="2" t="s">
        <v>476</v>
      </c>
      <c r="K194" s="6" t="s">
        <v>950</v>
      </c>
    </row>
    <row r="195" spans="1:11">
      <c r="A195" s="7" t="s">
        <v>951</v>
      </c>
      <c r="B195" s="8" t="s">
        <v>19</v>
      </c>
      <c r="C195" s="8" t="s">
        <v>952</v>
      </c>
      <c r="D195" s="8"/>
      <c r="E195" s="8" t="s">
        <v>80</v>
      </c>
      <c r="F195" s="29" t="s">
        <v>12</v>
      </c>
      <c r="G195" s="29" t="s">
        <v>24</v>
      </c>
      <c r="H195" s="8"/>
      <c r="I195" s="8"/>
      <c r="J195" s="8"/>
      <c r="K195" s="12" t="s">
        <v>953</v>
      </c>
    </row>
    <row r="196" spans="1:11">
      <c r="A196" s="1" t="s">
        <v>954</v>
      </c>
      <c r="B196" s="2" t="s">
        <v>19</v>
      </c>
      <c r="C196" s="2" t="s">
        <v>955</v>
      </c>
      <c r="D196" s="2"/>
      <c r="E196" s="2" t="s">
        <v>123</v>
      </c>
      <c r="F196" s="30" t="s">
        <v>12</v>
      </c>
      <c r="G196" s="30" t="s">
        <v>24</v>
      </c>
      <c r="H196" s="2"/>
      <c r="I196" s="2"/>
      <c r="J196" s="2"/>
      <c r="K196" s="6" t="s">
        <v>956</v>
      </c>
    </row>
    <row r="197" spans="1:11">
      <c r="A197" s="7" t="s">
        <v>957</v>
      </c>
      <c r="B197" s="8" t="s">
        <v>273</v>
      </c>
      <c r="C197" s="8" t="s">
        <v>958</v>
      </c>
      <c r="D197" s="8"/>
      <c r="E197" s="8" t="s">
        <v>199</v>
      </c>
      <c r="F197" s="31"/>
      <c r="G197" s="32"/>
      <c r="H197" s="8"/>
      <c r="I197" s="8"/>
      <c r="J197" s="8"/>
      <c r="K197" s="12"/>
    </row>
    <row r="198" spans="1:11">
      <c r="A198" s="1" t="s">
        <v>959</v>
      </c>
      <c r="B198" s="2" t="s">
        <v>356</v>
      </c>
      <c r="C198" s="2" t="s">
        <v>960</v>
      </c>
      <c r="D198" s="2"/>
      <c r="E198" s="2" t="s">
        <v>199</v>
      </c>
      <c r="F198" s="27"/>
      <c r="G198" s="28"/>
      <c r="H198" s="2"/>
      <c r="I198" s="2"/>
      <c r="J198" s="2"/>
      <c r="K198" s="6"/>
    </row>
    <row r="199" spans="1:11">
      <c r="A199" s="7" t="s">
        <v>961</v>
      </c>
      <c r="B199" s="8" t="s">
        <v>273</v>
      </c>
      <c r="C199" s="8" t="s">
        <v>962</v>
      </c>
      <c r="D199" s="8"/>
      <c r="E199" s="8" t="s">
        <v>199</v>
      </c>
      <c r="F199" s="31"/>
      <c r="G199" s="32"/>
      <c r="H199" s="8"/>
      <c r="I199" s="8"/>
      <c r="J199" s="8"/>
      <c r="K199" s="12"/>
    </row>
    <row r="200" spans="1:11">
      <c r="A200" s="1" t="s">
        <v>963</v>
      </c>
      <c r="B200" s="2" t="s">
        <v>273</v>
      </c>
      <c r="C200" s="2" t="s">
        <v>964</v>
      </c>
      <c r="D200" s="2" t="s">
        <v>965</v>
      </c>
      <c r="E200" s="2" t="s">
        <v>199</v>
      </c>
      <c r="F200" s="27"/>
      <c r="G200" s="28"/>
      <c r="H200" s="2"/>
      <c r="I200" s="2" t="s">
        <v>78</v>
      </c>
      <c r="J200" s="2"/>
      <c r="K200" s="6"/>
    </row>
    <row r="201" spans="1:11">
      <c r="A201" s="7" t="s">
        <v>966</v>
      </c>
      <c r="B201" s="8" t="s">
        <v>356</v>
      </c>
      <c r="C201" s="8" t="s">
        <v>967</v>
      </c>
      <c r="D201" s="8" t="s">
        <v>968</v>
      </c>
      <c r="E201" s="8" t="s">
        <v>199</v>
      </c>
      <c r="F201" s="31"/>
      <c r="G201" s="32"/>
      <c r="H201" s="8"/>
      <c r="I201" s="8" t="s">
        <v>78</v>
      </c>
      <c r="J201" s="8"/>
      <c r="K201" s="12"/>
    </row>
    <row r="202" spans="1:11">
      <c r="A202" s="1" t="s">
        <v>969</v>
      </c>
      <c r="B202" s="2" t="s">
        <v>356</v>
      </c>
      <c r="C202" s="2" t="s">
        <v>970</v>
      </c>
      <c r="D202" s="2" t="s">
        <v>971</v>
      </c>
      <c r="E202" s="2" t="s">
        <v>199</v>
      </c>
      <c r="F202" s="27"/>
      <c r="G202" s="28"/>
      <c r="H202" s="2"/>
      <c r="I202" s="2" t="s">
        <v>78</v>
      </c>
      <c r="J202" s="2"/>
      <c r="K202" s="6"/>
    </row>
    <row r="203" spans="1:11">
      <c r="A203" s="7" t="s">
        <v>972</v>
      </c>
      <c r="B203" s="8" t="s">
        <v>356</v>
      </c>
      <c r="C203" s="8" t="s">
        <v>973</v>
      </c>
      <c r="D203" s="8"/>
      <c r="E203" s="8" t="s">
        <v>199</v>
      </c>
      <c r="F203" s="31"/>
      <c r="G203" s="32"/>
      <c r="H203" s="8"/>
      <c r="I203" s="8"/>
      <c r="J203" s="8"/>
      <c r="K203" s="12"/>
    </row>
    <row r="204" spans="1:11">
      <c r="A204" s="1" t="s">
        <v>974</v>
      </c>
      <c r="B204" s="2" t="s">
        <v>273</v>
      </c>
      <c r="C204" s="2" t="s">
        <v>975</v>
      </c>
      <c r="D204" s="2" t="s">
        <v>976</v>
      </c>
      <c r="E204" s="2" t="s">
        <v>199</v>
      </c>
      <c r="F204" s="27"/>
      <c r="G204" s="28"/>
      <c r="H204" s="2"/>
      <c r="I204" s="2" t="s">
        <v>78</v>
      </c>
      <c r="J204" s="2"/>
      <c r="K204" s="6"/>
    </row>
    <row r="205" spans="1:11">
      <c r="A205" s="7" t="s">
        <v>977</v>
      </c>
      <c r="B205" s="8" t="s">
        <v>356</v>
      </c>
      <c r="C205" s="8" t="s">
        <v>978</v>
      </c>
      <c r="D205" s="8" t="s">
        <v>979</v>
      </c>
      <c r="E205" s="8" t="s">
        <v>199</v>
      </c>
      <c r="F205" s="31"/>
      <c r="G205" s="32"/>
      <c r="H205" s="8"/>
      <c r="I205" s="8" t="s">
        <v>78</v>
      </c>
      <c r="J205" s="8"/>
      <c r="K205" s="12"/>
    </row>
    <row r="206" spans="1:11">
      <c r="A206" s="1" t="s">
        <v>980</v>
      </c>
      <c r="B206" s="2" t="s">
        <v>356</v>
      </c>
      <c r="C206" s="2" t="s">
        <v>981</v>
      </c>
      <c r="D206" s="2" t="s">
        <v>982</v>
      </c>
      <c r="E206" s="2" t="s">
        <v>199</v>
      </c>
      <c r="F206" s="27"/>
      <c r="G206" s="28"/>
      <c r="H206" s="2"/>
      <c r="I206" s="2" t="s">
        <v>78</v>
      </c>
      <c r="J206" s="2"/>
      <c r="K206" s="6"/>
    </row>
    <row r="207" spans="1:11">
      <c r="A207" s="7" t="s">
        <v>983</v>
      </c>
      <c r="B207" s="8" t="s">
        <v>273</v>
      </c>
      <c r="C207" s="8" t="s">
        <v>984</v>
      </c>
      <c r="D207" s="8" t="s">
        <v>985</v>
      </c>
      <c r="E207" s="8" t="s">
        <v>199</v>
      </c>
      <c r="F207" s="31"/>
      <c r="G207" s="32"/>
      <c r="H207" s="8"/>
      <c r="I207" s="8" t="s">
        <v>78</v>
      </c>
      <c r="J207" s="8"/>
      <c r="K207" s="12"/>
    </row>
    <row r="208" spans="1:11">
      <c r="A208" s="1" t="s">
        <v>986</v>
      </c>
      <c r="B208" s="2" t="s">
        <v>273</v>
      </c>
      <c r="C208" s="2" t="s">
        <v>987</v>
      </c>
      <c r="D208" s="2" t="s">
        <v>985</v>
      </c>
      <c r="E208" s="2" t="s">
        <v>199</v>
      </c>
      <c r="F208" s="27"/>
      <c r="G208" s="28"/>
      <c r="H208" s="2"/>
      <c r="I208" s="2" t="s">
        <v>78</v>
      </c>
      <c r="J208" s="2"/>
      <c r="K208" s="6"/>
    </row>
    <row r="209" spans="1:11">
      <c r="A209" s="7" t="s">
        <v>988</v>
      </c>
      <c r="B209" s="8" t="s">
        <v>273</v>
      </c>
      <c r="C209" s="8" t="s">
        <v>989</v>
      </c>
      <c r="D209" s="8" t="s">
        <v>990</v>
      </c>
      <c r="E209" s="8" t="s">
        <v>199</v>
      </c>
      <c r="F209" s="31"/>
      <c r="G209" s="32"/>
      <c r="H209" s="8"/>
      <c r="I209" s="8" t="s">
        <v>78</v>
      </c>
      <c r="J209" s="8"/>
      <c r="K209" s="12"/>
    </row>
    <row r="210" spans="1:11">
      <c r="A210" s="1" t="s">
        <v>991</v>
      </c>
      <c r="B210" s="2" t="s">
        <v>356</v>
      </c>
      <c r="C210" s="2" t="s">
        <v>992</v>
      </c>
      <c r="D210" s="2" t="s">
        <v>993</v>
      </c>
      <c r="E210" s="2" t="s">
        <v>199</v>
      </c>
      <c r="F210" s="27"/>
      <c r="G210" s="28"/>
      <c r="H210" s="2"/>
      <c r="I210" s="2" t="s">
        <v>78</v>
      </c>
      <c r="J210" s="2"/>
      <c r="K210" s="6"/>
    </row>
    <row r="211" spans="1:11">
      <c r="A211" s="7" t="s">
        <v>994</v>
      </c>
      <c r="B211" s="8" t="s">
        <v>273</v>
      </c>
      <c r="C211" s="8" t="s">
        <v>995</v>
      </c>
      <c r="D211" s="8" t="s">
        <v>996</v>
      </c>
      <c r="E211" s="8" t="s">
        <v>199</v>
      </c>
      <c r="F211" s="31"/>
      <c r="G211" s="32"/>
      <c r="H211" s="8"/>
      <c r="I211" s="8" t="s">
        <v>78</v>
      </c>
      <c r="J211" s="8"/>
      <c r="K211" s="12"/>
    </row>
    <row r="212" spans="1:11">
      <c r="A212" s="1" t="s">
        <v>997</v>
      </c>
      <c r="B212" s="2" t="s">
        <v>356</v>
      </c>
      <c r="C212" s="2" t="s">
        <v>998</v>
      </c>
      <c r="D212" s="2" t="s">
        <v>999</v>
      </c>
      <c r="E212" s="2" t="s">
        <v>199</v>
      </c>
      <c r="F212" s="27"/>
      <c r="G212" s="28"/>
      <c r="H212" s="2"/>
      <c r="I212" s="2" t="s">
        <v>78</v>
      </c>
      <c r="J212" s="2"/>
      <c r="K212" s="6"/>
    </row>
    <row r="213" spans="1:11">
      <c r="A213" s="7" t="s">
        <v>1000</v>
      </c>
      <c r="B213" s="8" t="s">
        <v>356</v>
      </c>
      <c r="C213" s="8" t="s">
        <v>1001</v>
      </c>
      <c r="D213" s="8" t="s">
        <v>1002</v>
      </c>
      <c r="E213" s="8" t="s">
        <v>199</v>
      </c>
      <c r="F213" s="31"/>
      <c r="G213" s="32"/>
      <c r="H213" s="8"/>
      <c r="I213" s="8" t="s">
        <v>78</v>
      </c>
      <c r="J213" s="8"/>
      <c r="K213" s="12"/>
    </row>
    <row r="214" spans="1:11">
      <c r="A214" s="1" t="s">
        <v>1003</v>
      </c>
      <c r="B214" s="2" t="s">
        <v>356</v>
      </c>
      <c r="C214" s="2" t="s">
        <v>1004</v>
      </c>
      <c r="D214" s="2" t="s">
        <v>1002</v>
      </c>
      <c r="E214" s="2" t="s">
        <v>199</v>
      </c>
      <c r="F214" s="27"/>
      <c r="G214" s="28"/>
      <c r="H214" s="2"/>
      <c r="I214" s="2" t="s">
        <v>78</v>
      </c>
      <c r="J214" s="2"/>
      <c r="K214" s="6"/>
    </row>
    <row r="215" spans="1:11">
      <c r="A215" s="7" t="s">
        <v>1005</v>
      </c>
      <c r="B215" s="8" t="s">
        <v>356</v>
      </c>
      <c r="C215" s="8" t="s">
        <v>1006</v>
      </c>
      <c r="D215" s="8"/>
      <c r="E215" s="8" t="s">
        <v>199</v>
      </c>
      <c r="F215" s="31"/>
      <c r="G215" s="32"/>
      <c r="H215" s="8"/>
      <c r="I215" s="8"/>
      <c r="J215" s="8"/>
      <c r="K215" s="12"/>
    </row>
    <row r="216" spans="1:11">
      <c r="A216" s="1" t="s">
        <v>1007</v>
      </c>
      <c r="B216" s="2" t="s">
        <v>273</v>
      </c>
      <c r="C216" s="2" t="s">
        <v>1008</v>
      </c>
      <c r="D216" s="2"/>
      <c r="E216" s="2" t="s">
        <v>199</v>
      </c>
      <c r="F216" s="27"/>
      <c r="G216" s="28"/>
      <c r="H216" s="2"/>
      <c r="I216" s="2"/>
      <c r="J216" s="2"/>
      <c r="K216" s="6"/>
    </row>
    <row r="217" spans="1:11">
      <c r="A217" s="7" t="s">
        <v>1009</v>
      </c>
      <c r="B217" s="8" t="s">
        <v>356</v>
      </c>
      <c r="C217" s="8" t="s">
        <v>1010</v>
      </c>
      <c r="D217" s="8"/>
      <c r="E217" s="8" t="s">
        <v>199</v>
      </c>
      <c r="F217" s="31"/>
      <c r="G217" s="32"/>
      <c r="H217" s="8"/>
      <c r="I217" s="8"/>
      <c r="J217" s="8"/>
      <c r="K217" s="12"/>
    </row>
    <row r="218" spans="1:11">
      <c r="A218" s="1" t="s">
        <v>242</v>
      </c>
      <c r="B218" s="2" t="s">
        <v>19</v>
      </c>
      <c r="C218" s="2" t="s">
        <v>1011</v>
      </c>
      <c r="D218" s="2" t="s">
        <v>243</v>
      </c>
      <c r="E218" s="2" t="s">
        <v>91</v>
      </c>
      <c r="F218" s="30" t="s">
        <v>12</v>
      </c>
      <c r="G218" s="30" t="s">
        <v>24</v>
      </c>
      <c r="H218" s="2"/>
      <c r="I218" s="2" t="s">
        <v>78</v>
      </c>
      <c r="J218" s="2" t="s">
        <v>476</v>
      </c>
      <c r="K218" s="6" t="s">
        <v>1012</v>
      </c>
    </row>
    <row r="219" spans="1:11">
      <c r="A219" s="7" t="s">
        <v>244</v>
      </c>
      <c r="B219" s="8" t="s">
        <v>19</v>
      </c>
      <c r="C219" s="8" t="s">
        <v>1013</v>
      </c>
      <c r="D219" s="8" t="s">
        <v>243</v>
      </c>
      <c r="E219" s="8" t="s">
        <v>30</v>
      </c>
      <c r="F219" s="29" t="s">
        <v>12</v>
      </c>
      <c r="G219" s="29" t="s">
        <v>24</v>
      </c>
      <c r="H219" s="8"/>
      <c r="I219" s="8" t="s">
        <v>27</v>
      </c>
      <c r="J219" s="8" t="s">
        <v>476</v>
      </c>
      <c r="K219" s="12" t="s">
        <v>1014</v>
      </c>
    </row>
    <row r="220" spans="1:11">
      <c r="A220" s="1" t="s">
        <v>246</v>
      </c>
      <c r="B220" s="2" t="s">
        <v>35</v>
      </c>
      <c r="C220" s="2" t="s">
        <v>1015</v>
      </c>
      <c r="D220" s="2" t="s">
        <v>247</v>
      </c>
      <c r="E220" s="2" t="s">
        <v>123</v>
      </c>
      <c r="F220" s="27" t="s">
        <v>12</v>
      </c>
      <c r="G220" s="28" t="s">
        <v>24</v>
      </c>
      <c r="H220" s="2"/>
      <c r="I220" s="2" t="s">
        <v>27</v>
      </c>
      <c r="J220" s="2" t="s">
        <v>476</v>
      </c>
      <c r="K220" s="6" t="s">
        <v>1016</v>
      </c>
    </row>
    <row r="221" spans="1:11">
      <c r="A221" s="7" t="s">
        <v>249</v>
      </c>
      <c r="B221" s="8" t="s">
        <v>35</v>
      </c>
      <c r="C221" s="8" t="s">
        <v>1017</v>
      </c>
      <c r="D221" s="8" t="s">
        <v>250</v>
      </c>
      <c r="E221" s="8" t="s">
        <v>192</v>
      </c>
      <c r="F221" s="31" t="s">
        <v>12</v>
      </c>
      <c r="G221" s="32" t="s">
        <v>24</v>
      </c>
      <c r="H221" s="8"/>
      <c r="I221" s="8" t="s">
        <v>27</v>
      </c>
      <c r="J221" s="8" t="s">
        <v>476</v>
      </c>
      <c r="K221" s="12" t="s">
        <v>1018</v>
      </c>
    </row>
    <row r="222" spans="1:11">
      <c r="A222" s="1" t="s">
        <v>253</v>
      </c>
      <c r="B222" s="2" t="s">
        <v>35</v>
      </c>
      <c r="C222" s="2" t="s">
        <v>1019</v>
      </c>
      <c r="D222" s="2" t="s">
        <v>254</v>
      </c>
      <c r="E222" s="2" t="s">
        <v>192</v>
      </c>
      <c r="F222" s="27" t="s">
        <v>12</v>
      </c>
      <c r="G222" s="28" t="s">
        <v>24</v>
      </c>
      <c r="H222" s="2"/>
      <c r="I222" s="2" t="s">
        <v>27</v>
      </c>
      <c r="J222" s="2" t="s">
        <v>476</v>
      </c>
      <c r="K222" s="6" t="s">
        <v>1020</v>
      </c>
    </row>
    <row r="223" spans="1:11">
      <c r="A223" s="7" t="s">
        <v>255</v>
      </c>
      <c r="B223" s="8" t="s">
        <v>35</v>
      </c>
      <c r="C223" s="8" t="s">
        <v>1021</v>
      </c>
      <c r="D223" s="8" t="s">
        <v>256</v>
      </c>
      <c r="E223" s="8" t="s">
        <v>192</v>
      </c>
      <c r="F223" s="31" t="s">
        <v>12</v>
      </c>
      <c r="G223" s="32" t="s">
        <v>24</v>
      </c>
      <c r="H223" s="8"/>
      <c r="I223" s="8" t="s">
        <v>27</v>
      </c>
      <c r="J223" s="8" t="s">
        <v>476</v>
      </c>
      <c r="K223" s="12" t="s">
        <v>1022</v>
      </c>
    </row>
    <row r="224" spans="1:11">
      <c r="A224" s="1" t="s">
        <v>1023</v>
      </c>
      <c r="B224" s="2" t="s">
        <v>356</v>
      </c>
      <c r="C224" s="2" t="s">
        <v>1024</v>
      </c>
      <c r="D224" s="2"/>
      <c r="E224" s="2" t="s">
        <v>199</v>
      </c>
      <c r="F224" s="27"/>
      <c r="G224" s="28"/>
      <c r="H224" s="2"/>
      <c r="I224" s="2"/>
      <c r="J224" s="2"/>
      <c r="K224" s="6"/>
    </row>
    <row r="225" spans="1:11">
      <c r="A225" s="7" t="s">
        <v>1025</v>
      </c>
      <c r="B225" s="8" t="s">
        <v>356</v>
      </c>
      <c r="C225" s="8" t="s">
        <v>1026</v>
      </c>
      <c r="D225" s="8"/>
      <c r="E225" s="8" t="s">
        <v>199</v>
      </c>
      <c r="F225" s="31"/>
      <c r="G225" s="32"/>
      <c r="H225" s="8"/>
      <c r="I225" s="8"/>
      <c r="J225" s="8"/>
      <c r="K225" s="12"/>
    </row>
    <row r="226" spans="1:11">
      <c r="A226" s="1" t="s">
        <v>1027</v>
      </c>
      <c r="B226" s="2" t="s">
        <v>356</v>
      </c>
      <c r="C226" s="2" t="s">
        <v>1028</v>
      </c>
      <c r="D226" s="2"/>
      <c r="E226" s="2" t="s">
        <v>199</v>
      </c>
      <c r="F226" s="27"/>
      <c r="G226" s="28"/>
      <c r="H226" s="2"/>
      <c r="I226" s="2"/>
      <c r="J226" s="2"/>
      <c r="K226" s="6"/>
    </row>
    <row r="227" spans="1:11">
      <c r="A227" s="7" t="s">
        <v>1029</v>
      </c>
      <c r="B227" s="8" t="s">
        <v>356</v>
      </c>
      <c r="C227" s="8" t="s">
        <v>1030</v>
      </c>
      <c r="D227" s="8"/>
      <c r="E227" s="8" t="s">
        <v>199</v>
      </c>
      <c r="F227" s="31"/>
      <c r="G227" s="32"/>
      <c r="H227" s="8"/>
      <c r="I227" s="8"/>
      <c r="J227" s="8"/>
      <c r="K227" s="12"/>
    </row>
    <row r="228" spans="1:11">
      <c r="A228" s="1" t="s">
        <v>1031</v>
      </c>
      <c r="B228" s="2" t="s">
        <v>356</v>
      </c>
      <c r="C228" s="2" t="s">
        <v>1032</v>
      </c>
      <c r="D228" s="2"/>
      <c r="E228" s="2" t="s">
        <v>199</v>
      </c>
      <c r="F228" s="27"/>
      <c r="G228" s="28"/>
      <c r="H228" s="2"/>
      <c r="I228" s="2"/>
      <c r="J228" s="2"/>
      <c r="K228" s="6"/>
    </row>
    <row r="229" spans="1:11">
      <c r="A229" s="7" t="s">
        <v>257</v>
      </c>
      <c r="B229" s="8" t="s">
        <v>19</v>
      </c>
      <c r="C229" s="8" t="s">
        <v>1033</v>
      </c>
      <c r="D229" s="8" t="s">
        <v>258</v>
      </c>
      <c r="E229" s="8" t="s">
        <v>61</v>
      </c>
      <c r="F229" s="29" t="s">
        <v>12</v>
      </c>
      <c r="G229" s="29" t="s">
        <v>24</v>
      </c>
      <c r="H229" s="8"/>
      <c r="I229" s="8" t="s">
        <v>27</v>
      </c>
      <c r="J229" s="8" t="s">
        <v>476</v>
      </c>
      <c r="K229" s="12" t="s">
        <v>1034</v>
      </c>
    </row>
    <row r="230" spans="1:11">
      <c r="A230" s="1" t="s">
        <v>1035</v>
      </c>
      <c r="B230" s="2" t="s">
        <v>273</v>
      </c>
      <c r="C230" s="2" t="s">
        <v>1036</v>
      </c>
      <c r="D230" s="2" t="s">
        <v>1037</v>
      </c>
      <c r="E230" s="2" t="s">
        <v>199</v>
      </c>
      <c r="F230" s="27"/>
      <c r="G230" s="28"/>
      <c r="H230" s="2"/>
      <c r="I230" s="2" t="s">
        <v>78</v>
      </c>
      <c r="J230" s="2"/>
      <c r="K230" s="6"/>
    </row>
    <row r="231" spans="1:11">
      <c r="A231" s="7" t="s">
        <v>1038</v>
      </c>
      <c r="B231" s="8" t="s">
        <v>273</v>
      </c>
      <c r="C231" s="8" t="s">
        <v>1039</v>
      </c>
      <c r="D231" s="8" t="s">
        <v>1040</v>
      </c>
      <c r="E231" s="8" t="s">
        <v>199</v>
      </c>
      <c r="F231" s="31"/>
      <c r="G231" s="32"/>
      <c r="H231" s="8"/>
      <c r="I231" s="8" t="s">
        <v>78</v>
      </c>
      <c r="J231" s="8"/>
      <c r="K231" s="12"/>
    </row>
    <row r="232" spans="1:11">
      <c r="A232" s="1" t="s">
        <v>1041</v>
      </c>
      <c r="B232" s="2" t="s">
        <v>273</v>
      </c>
      <c r="C232" s="2" t="s">
        <v>1042</v>
      </c>
      <c r="D232" s="2"/>
      <c r="E232" s="2" t="s">
        <v>199</v>
      </c>
      <c r="F232" s="27"/>
      <c r="G232" s="28"/>
      <c r="H232" s="2"/>
      <c r="I232" s="2"/>
      <c r="J232" s="2"/>
      <c r="K232" s="6"/>
    </row>
    <row r="233" spans="1:11">
      <c r="A233" s="7" t="s">
        <v>1043</v>
      </c>
      <c r="B233" s="8" t="s">
        <v>356</v>
      </c>
      <c r="C233" s="8" t="s">
        <v>1044</v>
      </c>
      <c r="D233" s="8" t="s">
        <v>1045</v>
      </c>
      <c r="E233" s="8" t="s">
        <v>199</v>
      </c>
      <c r="F233" s="31"/>
      <c r="G233" s="32"/>
      <c r="H233" s="8"/>
      <c r="I233" s="8" t="s">
        <v>78</v>
      </c>
      <c r="J233" s="8"/>
      <c r="K233" s="12"/>
    </row>
    <row r="234" spans="1:11">
      <c r="A234" s="1" t="s">
        <v>1046</v>
      </c>
      <c r="B234" s="2" t="s">
        <v>356</v>
      </c>
      <c r="C234" s="2" t="s">
        <v>1047</v>
      </c>
      <c r="D234" s="2" t="s">
        <v>1048</v>
      </c>
      <c r="E234" s="2" t="s">
        <v>199</v>
      </c>
      <c r="F234" s="27"/>
      <c r="G234" s="28"/>
      <c r="H234" s="2"/>
      <c r="I234" s="2" t="s">
        <v>78</v>
      </c>
      <c r="J234" s="2"/>
      <c r="K234" s="6"/>
    </row>
    <row r="235" spans="1:11">
      <c r="A235" s="7" t="s">
        <v>1049</v>
      </c>
      <c r="B235" s="8" t="s">
        <v>356</v>
      </c>
      <c r="C235" s="8" t="s">
        <v>1050</v>
      </c>
      <c r="D235" s="8" t="s">
        <v>1048</v>
      </c>
      <c r="E235" s="8" t="s">
        <v>199</v>
      </c>
      <c r="F235" s="31"/>
      <c r="G235" s="32"/>
      <c r="H235" s="8"/>
      <c r="I235" s="8" t="s">
        <v>78</v>
      </c>
      <c r="J235" s="8"/>
      <c r="K235" s="12"/>
    </row>
    <row r="236" spans="1:11">
      <c r="A236" s="1" t="s">
        <v>261</v>
      </c>
      <c r="B236" s="2" t="s">
        <v>19</v>
      </c>
      <c r="C236" s="2" t="s">
        <v>1051</v>
      </c>
      <c r="D236" s="2" t="s">
        <v>262</v>
      </c>
      <c r="E236" s="2" t="s">
        <v>80</v>
      </c>
      <c r="F236" s="30" t="s">
        <v>12</v>
      </c>
      <c r="G236" s="30" t="s">
        <v>24</v>
      </c>
      <c r="H236" s="2"/>
      <c r="I236" s="2" t="s">
        <v>27</v>
      </c>
      <c r="J236" s="2" t="s">
        <v>476</v>
      </c>
      <c r="K236" s="6" t="s">
        <v>1052</v>
      </c>
    </row>
    <row r="237" spans="1:11">
      <c r="A237" s="7" t="s">
        <v>265</v>
      </c>
      <c r="B237" s="8" t="s">
        <v>19</v>
      </c>
      <c r="C237" s="8" t="s">
        <v>1053</v>
      </c>
      <c r="D237" s="8" t="s">
        <v>266</v>
      </c>
      <c r="E237" s="8" t="s">
        <v>91</v>
      </c>
      <c r="F237" s="29" t="s">
        <v>12</v>
      </c>
      <c r="G237" s="29" t="s">
        <v>24</v>
      </c>
      <c r="H237" s="8"/>
      <c r="I237" s="8" t="s">
        <v>78</v>
      </c>
      <c r="J237" s="8" t="s">
        <v>476</v>
      </c>
      <c r="K237" s="12" t="s">
        <v>1054</v>
      </c>
    </row>
    <row r="238" spans="1:11">
      <c r="A238" s="1" t="s">
        <v>267</v>
      </c>
      <c r="B238" s="2" t="s">
        <v>19</v>
      </c>
      <c r="C238" s="2" t="s">
        <v>1055</v>
      </c>
      <c r="D238" s="2" t="s">
        <v>266</v>
      </c>
      <c r="E238" s="2" t="s">
        <v>30</v>
      </c>
      <c r="F238" s="30" t="s">
        <v>12</v>
      </c>
      <c r="G238" s="30" t="s">
        <v>24</v>
      </c>
      <c r="H238" s="2"/>
      <c r="I238" s="2" t="s">
        <v>27</v>
      </c>
      <c r="J238" s="2" t="s">
        <v>476</v>
      </c>
      <c r="K238" s="6" t="s">
        <v>1056</v>
      </c>
    </row>
    <row r="239" spans="1:11">
      <c r="A239" s="7" t="s">
        <v>1057</v>
      </c>
      <c r="B239" s="8" t="s">
        <v>356</v>
      </c>
      <c r="C239" s="8" t="s">
        <v>1058</v>
      </c>
      <c r="D239" s="8" t="s">
        <v>1059</v>
      </c>
      <c r="E239" s="8" t="s">
        <v>199</v>
      </c>
      <c r="F239" s="31"/>
      <c r="G239" s="32"/>
      <c r="H239" s="8"/>
      <c r="I239" s="8" t="s">
        <v>78</v>
      </c>
      <c r="J239" s="8"/>
      <c r="K239" s="12"/>
    </row>
    <row r="240" spans="1:11">
      <c r="A240" s="1" t="s">
        <v>268</v>
      </c>
      <c r="B240" s="2" t="s">
        <v>35</v>
      </c>
      <c r="C240" s="2" t="s">
        <v>1060</v>
      </c>
      <c r="D240" s="2" t="s">
        <v>269</v>
      </c>
      <c r="E240" s="2" t="s">
        <v>91</v>
      </c>
      <c r="F240" s="27" t="s">
        <v>12</v>
      </c>
      <c r="G240" s="28" t="s">
        <v>24</v>
      </c>
      <c r="H240" s="2"/>
      <c r="I240" s="2" t="s">
        <v>27</v>
      </c>
      <c r="J240" s="2" t="s">
        <v>476</v>
      </c>
      <c r="K240" s="6" t="s">
        <v>1061</v>
      </c>
    </row>
    <row r="241" spans="1:11">
      <c r="A241" s="7" t="s">
        <v>1062</v>
      </c>
      <c r="B241" s="8" t="s">
        <v>356</v>
      </c>
      <c r="C241" s="8" t="s">
        <v>1063</v>
      </c>
      <c r="D241" s="8"/>
      <c r="E241" s="8" t="s">
        <v>199</v>
      </c>
      <c r="F241" s="31"/>
      <c r="G241" s="32"/>
      <c r="H241" s="8"/>
      <c r="I241" s="8"/>
      <c r="J241" s="8"/>
      <c r="K241" s="12"/>
    </row>
    <row r="242" spans="1:11">
      <c r="A242" s="1" t="s">
        <v>1064</v>
      </c>
      <c r="B242" s="2" t="s">
        <v>356</v>
      </c>
      <c r="C242" s="2" t="s">
        <v>1065</v>
      </c>
      <c r="D242" s="2" t="s">
        <v>1066</v>
      </c>
      <c r="E242" s="2" t="s">
        <v>199</v>
      </c>
      <c r="F242" s="27"/>
      <c r="G242" s="28"/>
      <c r="H242" s="2"/>
      <c r="I242" s="2" t="s">
        <v>78</v>
      </c>
      <c r="J242" s="2"/>
      <c r="K242" s="6"/>
    </row>
    <row r="243" spans="1:11">
      <c r="A243" s="7" t="s">
        <v>1067</v>
      </c>
      <c r="B243" s="8" t="s">
        <v>273</v>
      </c>
      <c r="C243" s="8" t="s">
        <v>1068</v>
      </c>
      <c r="D243" s="8" t="s">
        <v>1069</v>
      </c>
      <c r="E243" s="8" t="s">
        <v>199</v>
      </c>
      <c r="F243" s="31"/>
      <c r="G243" s="32"/>
      <c r="H243" s="8"/>
      <c r="I243" s="8" t="s">
        <v>78</v>
      </c>
      <c r="J243" s="8"/>
      <c r="K243" s="12"/>
    </row>
    <row r="244" spans="1:11">
      <c r="A244" s="1" t="s">
        <v>1070</v>
      </c>
      <c r="B244" s="2" t="s">
        <v>356</v>
      </c>
      <c r="C244" s="2" t="s">
        <v>1071</v>
      </c>
      <c r="D244" s="2" t="s">
        <v>1066</v>
      </c>
      <c r="E244" s="2" t="s">
        <v>199</v>
      </c>
      <c r="F244" s="27"/>
      <c r="G244" s="28"/>
      <c r="H244" s="2"/>
      <c r="I244" s="2" t="s">
        <v>78</v>
      </c>
      <c r="J244" s="2"/>
      <c r="K244" s="6"/>
    </row>
    <row r="245" spans="1:11">
      <c r="A245" s="7" t="s">
        <v>1072</v>
      </c>
      <c r="B245" s="8" t="s">
        <v>273</v>
      </c>
      <c r="C245" s="8" t="s">
        <v>1073</v>
      </c>
      <c r="D245" s="8" t="s">
        <v>1074</v>
      </c>
      <c r="E245" s="8" t="s">
        <v>199</v>
      </c>
      <c r="F245" s="31"/>
      <c r="G245" s="32"/>
      <c r="H245" s="8"/>
      <c r="I245" s="8" t="s">
        <v>78</v>
      </c>
      <c r="J245" s="8"/>
      <c r="K245" s="12"/>
    </row>
    <row r="246" spans="1:11">
      <c r="A246" s="1" t="s">
        <v>1075</v>
      </c>
      <c r="B246" s="2" t="s">
        <v>356</v>
      </c>
      <c r="C246" s="2" t="s">
        <v>1076</v>
      </c>
      <c r="D246" s="2"/>
      <c r="E246" s="2" t="s">
        <v>199</v>
      </c>
      <c r="F246" s="27"/>
      <c r="G246" s="28"/>
      <c r="H246" s="2"/>
      <c r="I246" s="2"/>
      <c r="J246" s="2"/>
      <c r="K246" s="6"/>
    </row>
    <row r="247" spans="1:11">
      <c r="A247" s="7" t="s">
        <v>1077</v>
      </c>
      <c r="B247" s="8" t="s">
        <v>356</v>
      </c>
      <c r="C247" s="8" t="s">
        <v>1078</v>
      </c>
      <c r="D247" s="8" t="s">
        <v>1079</v>
      </c>
      <c r="E247" s="8" t="s">
        <v>199</v>
      </c>
      <c r="F247" s="31"/>
      <c r="G247" s="32"/>
      <c r="H247" s="8"/>
      <c r="I247" s="8" t="s">
        <v>78</v>
      </c>
      <c r="J247" s="8"/>
      <c r="K247" s="12"/>
    </row>
    <row r="248" spans="1:11">
      <c r="A248" s="1" t="s">
        <v>1080</v>
      </c>
      <c r="B248" s="2" t="s">
        <v>273</v>
      </c>
      <c r="C248" s="2" t="s">
        <v>1081</v>
      </c>
      <c r="D248" s="2" t="s">
        <v>274</v>
      </c>
      <c r="E248" s="2" t="s">
        <v>199</v>
      </c>
      <c r="F248" s="27"/>
      <c r="G248" s="28"/>
      <c r="H248" s="2"/>
      <c r="I248" s="2" t="s">
        <v>78</v>
      </c>
      <c r="J248" s="2"/>
      <c r="K248" s="6"/>
    </row>
    <row r="249" spans="1:11">
      <c r="A249" s="7" t="s">
        <v>1082</v>
      </c>
      <c r="B249" s="8" t="s">
        <v>356</v>
      </c>
      <c r="C249" s="8" t="s">
        <v>1083</v>
      </c>
      <c r="D249" s="8"/>
      <c r="E249" s="8" t="s">
        <v>199</v>
      </c>
      <c r="F249" s="31"/>
      <c r="G249" s="32"/>
      <c r="H249" s="8"/>
      <c r="I249" s="8"/>
      <c r="J249" s="8"/>
      <c r="K249" s="12"/>
    </row>
    <row r="250" spans="1:11">
      <c r="A250" s="1" t="s">
        <v>1084</v>
      </c>
      <c r="B250" s="2" t="s">
        <v>356</v>
      </c>
      <c r="C250" s="2" t="s">
        <v>1085</v>
      </c>
      <c r="D250" s="2" t="s">
        <v>1086</v>
      </c>
      <c r="E250" s="2" t="s">
        <v>199</v>
      </c>
      <c r="F250" s="27"/>
      <c r="G250" s="28"/>
      <c r="H250" s="2"/>
      <c r="I250" s="2" t="s">
        <v>78</v>
      </c>
      <c r="J250" s="2"/>
      <c r="K250" s="6"/>
    </row>
    <row r="251" spans="1:11">
      <c r="A251" s="7" t="s">
        <v>272</v>
      </c>
      <c r="B251" s="8" t="s">
        <v>273</v>
      </c>
      <c r="C251" s="8" t="s">
        <v>1087</v>
      </c>
      <c r="D251" s="8" t="s">
        <v>274</v>
      </c>
      <c r="E251" s="8" t="s">
        <v>91</v>
      </c>
      <c r="F251" s="31" t="s">
        <v>12</v>
      </c>
      <c r="G251" s="32" t="s">
        <v>24</v>
      </c>
      <c r="H251" s="8"/>
      <c r="I251" s="8" t="s">
        <v>27</v>
      </c>
      <c r="J251" s="8" t="s">
        <v>476</v>
      </c>
      <c r="K251" s="12" t="s">
        <v>1088</v>
      </c>
    </row>
    <row r="252" spans="1:11">
      <c r="A252" s="1" t="s">
        <v>1089</v>
      </c>
      <c r="B252" s="2" t="s">
        <v>356</v>
      </c>
      <c r="C252" s="2" t="s">
        <v>1090</v>
      </c>
      <c r="D252" s="2" t="s">
        <v>1091</v>
      </c>
      <c r="E252" s="2" t="s">
        <v>199</v>
      </c>
      <c r="F252" s="27"/>
      <c r="G252" s="28"/>
      <c r="H252" s="2"/>
      <c r="I252" s="2" t="s">
        <v>78</v>
      </c>
      <c r="J252" s="2"/>
      <c r="K252" s="6"/>
    </row>
    <row r="253" spans="1:11">
      <c r="A253" s="7" t="s">
        <v>1092</v>
      </c>
      <c r="B253" s="8" t="s">
        <v>356</v>
      </c>
      <c r="C253" s="8" t="s">
        <v>1093</v>
      </c>
      <c r="D253" s="8" t="s">
        <v>1091</v>
      </c>
      <c r="E253" s="8" t="s">
        <v>199</v>
      </c>
      <c r="F253" s="31"/>
      <c r="G253" s="32"/>
      <c r="H253" s="8"/>
      <c r="I253" s="8" t="s">
        <v>78</v>
      </c>
      <c r="J253" s="8"/>
      <c r="K253" s="12"/>
    </row>
    <row r="254" spans="1:11">
      <c r="A254" s="1" t="s">
        <v>276</v>
      </c>
      <c r="B254" s="2" t="s">
        <v>273</v>
      </c>
      <c r="C254" s="2" t="s">
        <v>1094</v>
      </c>
      <c r="D254" s="2" t="s">
        <v>277</v>
      </c>
      <c r="E254" s="2" t="s">
        <v>91</v>
      </c>
      <c r="F254" s="27" t="s">
        <v>12</v>
      </c>
      <c r="G254" s="28" t="s">
        <v>24</v>
      </c>
      <c r="H254" s="2"/>
      <c r="I254" s="2" t="s">
        <v>27</v>
      </c>
      <c r="J254" s="2" t="s">
        <v>476</v>
      </c>
      <c r="K254" s="6" t="s">
        <v>1095</v>
      </c>
    </row>
    <row r="255" spans="1:11">
      <c r="A255" s="7" t="s">
        <v>1096</v>
      </c>
      <c r="B255" s="8" t="s">
        <v>356</v>
      </c>
      <c r="C255" s="8" t="s">
        <v>1097</v>
      </c>
      <c r="D255" s="8" t="s">
        <v>1098</v>
      </c>
      <c r="E255" s="8" t="s">
        <v>199</v>
      </c>
      <c r="F255" s="31"/>
      <c r="G255" s="32"/>
      <c r="H255" s="8"/>
      <c r="I255" s="8" t="s">
        <v>78</v>
      </c>
      <c r="J255" s="8"/>
      <c r="K255" s="12"/>
    </row>
    <row r="256" spans="1:11">
      <c r="A256" s="1" t="s">
        <v>1099</v>
      </c>
      <c r="B256" s="2" t="s">
        <v>356</v>
      </c>
      <c r="C256" s="2" t="s">
        <v>1100</v>
      </c>
      <c r="D256" s="2" t="s">
        <v>1101</v>
      </c>
      <c r="E256" s="2" t="s">
        <v>199</v>
      </c>
      <c r="F256" s="27"/>
      <c r="G256" s="28"/>
      <c r="H256" s="2"/>
      <c r="I256" s="2" t="s">
        <v>78</v>
      </c>
      <c r="J256" s="2"/>
      <c r="K256" s="6"/>
    </row>
    <row r="257" spans="1:11">
      <c r="A257" s="7" t="s">
        <v>1102</v>
      </c>
      <c r="B257" s="8" t="s">
        <v>356</v>
      </c>
      <c r="C257" s="8" t="s">
        <v>1103</v>
      </c>
      <c r="D257" s="8" t="s">
        <v>1101</v>
      </c>
      <c r="E257" s="8" t="s">
        <v>199</v>
      </c>
      <c r="F257" s="31"/>
      <c r="G257" s="32"/>
      <c r="H257" s="8"/>
      <c r="I257" s="8" t="s">
        <v>78</v>
      </c>
      <c r="J257" s="8"/>
      <c r="K257" s="12"/>
    </row>
    <row r="258" spans="1:11">
      <c r="A258" s="1" t="s">
        <v>279</v>
      </c>
      <c r="B258" s="2" t="s">
        <v>273</v>
      </c>
      <c r="C258" s="2" t="s">
        <v>1104</v>
      </c>
      <c r="D258" s="2" t="s">
        <v>280</v>
      </c>
      <c r="E258" s="2" t="s">
        <v>91</v>
      </c>
      <c r="F258" s="27" t="s">
        <v>12</v>
      </c>
      <c r="G258" s="28" t="s">
        <v>24</v>
      </c>
      <c r="H258" s="2"/>
      <c r="I258" s="2" t="s">
        <v>27</v>
      </c>
      <c r="J258" s="2" t="s">
        <v>476</v>
      </c>
      <c r="K258" s="6" t="s">
        <v>1105</v>
      </c>
    </row>
    <row r="259" spans="1:11">
      <c r="A259" s="7" t="s">
        <v>1106</v>
      </c>
      <c r="B259" s="8" t="s">
        <v>356</v>
      </c>
      <c r="C259" s="8" t="s">
        <v>1107</v>
      </c>
      <c r="D259" s="8" t="s">
        <v>1108</v>
      </c>
      <c r="E259" s="8" t="s">
        <v>199</v>
      </c>
      <c r="F259" s="31"/>
      <c r="G259" s="32"/>
      <c r="H259" s="8"/>
      <c r="I259" s="8" t="s">
        <v>78</v>
      </c>
      <c r="J259" s="8"/>
      <c r="K259" s="12"/>
    </row>
    <row r="260" spans="1:11">
      <c r="A260" s="1" t="s">
        <v>281</v>
      </c>
      <c r="B260" s="2" t="s">
        <v>273</v>
      </c>
      <c r="C260" s="2" t="s">
        <v>1109</v>
      </c>
      <c r="D260" s="2" t="s">
        <v>280</v>
      </c>
      <c r="E260" s="2" t="s">
        <v>80</v>
      </c>
      <c r="F260" s="27" t="s">
        <v>12</v>
      </c>
      <c r="G260" s="28" t="s">
        <v>24</v>
      </c>
      <c r="H260" s="2"/>
      <c r="I260" s="2" t="s">
        <v>27</v>
      </c>
      <c r="J260" s="2" t="s">
        <v>476</v>
      </c>
      <c r="K260" s="6" t="s">
        <v>1110</v>
      </c>
    </row>
    <row r="261" spans="1:11">
      <c r="A261" s="7" t="s">
        <v>1111</v>
      </c>
      <c r="B261" s="8" t="s">
        <v>356</v>
      </c>
      <c r="C261" s="8" t="s">
        <v>1112</v>
      </c>
      <c r="D261" s="8" t="s">
        <v>1113</v>
      </c>
      <c r="E261" s="8" t="s">
        <v>199</v>
      </c>
      <c r="F261" s="31"/>
      <c r="G261" s="32"/>
      <c r="H261" s="8"/>
      <c r="I261" s="8" t="s">
        <v>78</v>
      </c>
      <c r="J261" s="8"/>
      <c r="K261" s="12"/>
    </row>
    <row r="262" spans="1:11">
      <c r="A262" s="1" t="s">
        <v>284</v>
      </c>
      <c r="B262" s="2" t="s">
        <v>273</v>
      </c>
      <c r="C262" s="2" t="s">
        <v>1114</v>
      </c>
      <c r="D262" s="2" t="s">
        <v>285</v>
      </c>
      <c r="E262" s="2" t="s">
        <v>80</v>
      </c>
      <c r="F262" s="27" t="s">
        <v>12</v>
      </c>
      <c r="G262" s="28" t="s">
        <v>24</v>
      </c>
      <c r="H262" s="2"/>
      <c r="I262" s="2" t="s">
        <v>27</v>
      </c>
      <c r="J262" s="2" t="s">
        <v>476</v>
      </c>
      <c r="K262" s="6" t="s">
        <v>1115</v>
      </c>
    </row>
    <row r="263" spans="1:11">
      <c r="A263" s="7" t="s">
        <v>1116</v>
      </c>
      <c r="B263" s="8" t="s">
        <v>356</v>
      </c>
      <c r="C263" s="8" t="s">
        <v>1117</v>
      </c>
      <c r="D263" s="8" t="s">
        <v>1118</v>
      </c>
      <c r="E263" s="8" t="s">
        <v>199</v>
      </c>
      <c r="F263" s="31"/>
      <c r="G263" s="32"/>
      <c r="H263" s="8"/>
      <c r="I263" s="8" t="s">
        <v>78</v>
      </c>
      <c r="J263" s="8"/>
      <c r="K263" s="12"/>
    </row>
    <row r="264" spans="1:11">
      <c r="A264" s="1" t="s">
        <v>1119</v>
      </c>
      <c r="B264" s="2" t="s">
        <v>356</v>
      </c>
      <c r="C264" s="2" t="s">
        <v>1120</v>
      </c>
      <c r="D264" s="2" t="s">
        <v>1121</v>
      </c>
      <c r="E264" s="2" t="s">
        <v>199</v>
      </c>
      <c r="F264" s="27"/>
      <c r="G264" s="28"/>
      <c r="H264" s="2"/>
      <c r="I264" s="2" t="s">
        <v>78</v>
      </c>
      <c r="J264" s="2"/>
      <c r="K264" s="6"/>
    </row>
    <row r="265" spans="1:11">
      <c r="A265" s="7" t="s">
        <v>1122</v>
      </c>
      <c r="B265" s="8" t="s">
        <v>356</v>
      </c>
      <c r="C265" s="8" t="s">
        <v>1123</v>
      </c>
      <c r="D265" s="8" t="s">
        <v>1124</v>
      </c>
      <c r="E265" s="8" t="s">
        <v>199</v>
      </c>
      <c r="F265" s="31"/>
      <c r="G265" s="32"/>
      <c r="H265" s="8"/>
      <c r="I265" s="8" t="s">
        <v>78</v>
      </c>
      <c r="J265" s="8"/>
      <c r="K265" s="12"/>
    </row>
    <row r="266" spans="1:11">
      <c r="A266" s="1" t="s">
        <v>287</v>
      </c>
      <c r="B266" s="2" t="s">
        <v>273</v>
      </c>
      <c r="C266" s="2" t="s">
        <v>1125</v>
      </c>
      <c r="D266" s="2" t="s">
        <v>288</v>
      </c>
      <c r="E266" s="2" t="s">
        <v>80</v>
      </c>
      <c r="F266" s="27" t="s">
        <v>12</v>
      </c>
      <c r="G266" s="28" t="s">
        <v>24</v>
      </c>
      <c r="H266" s="2"/>
      <c r="I266" s="2" t="s">
        <v>27</v>
      </c>
      <c r="J266" s="2" t="s">
        <v>476</v>
      </c>
      <c r="K266" s="6" t="s">
        <v>1126</v>
      </c>
    </row>
    <row r="267" spans="1:11">
      <c r="A267" s="7" t="s">
        <v>1127</v>
      </c>
      <c r="B267" s="8" t="s">
        <v>273</v>
      </c>
      <c r="C267" s="8" t="s">
        <v>1128</v>
      </c>
      <c r="D267" s="8"/>
      <c r="E267" s="8" t="s">
        <v>199</v>
      </c>
      <c r="F267" s="31"/>
      <c r="G267" s="32"/>
      <c r="H267" s="8"/>
      <c r="I267" s="8"/>
      <c r="J267" s="8"/>
      <c r="K267" s="12"/>
    </row>
    <row r="268" spans="1:11">
      <c r="A268" s="1" t="s">
        <v>1129</v>
      </c>
      <c r="B268" s="2" t="s">
        <v>273</v>
      </c>
      <c r="C268" s="2" t="s">
        <v>1130</v>
      </c>
      <c r="D268" s="2"/>
      <c r="E268" s="2" t="s">
        <v>199</v>
      </c>
      <c r="F268" s="27"/>
      <c r="G268" s="28"/>
      <c r="H268" s="2"/>
      <c r="I268" s="2"/>
      <c r="J268" s="2"/>
      <c r="K268" s="6"/>
    </row>
    <row r="269" spans="1:11">
      <c r="A269" s="7" t="s">
        <v>1131</v>
      </c>
      <c r="B269" s="8" t="s">
        <v>273</v>
      </c>
      <c r="C269" s="8" t="s">
        <v>1132</v>
      </c>
      <c r="D269" s="8"/>
      <c r="E269" s="8" t="s">
        <v>199</v>
      </c>
      <c r="F269" s="31"/>
      <c r="G269" s="32"/>
      <c r="H269" s="8"/>
      <c r="I269" s="8"/>
      <c r="J269" s="8"/>
      <c r="K269" s="12"/>
    </row>
    <row r="270" spans="1:11">
      <c r="A270" s="1" t="s">
        <v>1133</v>
      </c>
      <c r="B270" s="2" t="s">
        <v>273</v>
      </c>
      <c r="C270" s="2" t="s">
        <v>1134</v>
      </c>
      <c r="D270" s="2"/>
      <c r="E270" s="2" t="s">
        <v>199</v>
      </c>
      <c r="F270" s="27"/>
      <c r="G270" s="28"/>
      <c r="H270" s="2"/>
      <c r="I270" s="2"/>
      <c r="J270" s="2"/>
      <c r="K270" s="6"/>
    </row>
    <row r="271" spans="1:11">
      <c r="A271" s="7" t="s">
        <v>1135</v>
      </c>
      <c r="B271" s="8" t="s">
        <v>273</v>
      </c>
      <c r="C271" s="8" t="s">
        <v>1136</v>
      </c>
      <c r="D271" s="8"/>
      <c r="E271" s="8" t="s">
        <v>199</v>
      </c>
      <c r="F271" s="31"/>
      <c r="G271" s="32"/>
      <c r="H271" s="8"/>
      <c r="I271" s="8"/>
      <c r="J271" s="8"/>
      <c r="K271" s="12"/>
    </row>
    <row r="272" spans="1:11">
      <c r="A272" s="1" t="s">
        <v>1137</v>
      </c>
      <c r="B272" s="2" t="s">
        <v>273</v>
      </c>
      <c r="C272" s="2" t="s">
        <v>1138</v>
      </c>
      <c r="D272" s="2"/>
      <c r="E272" s="2" t="s">
        <v>199</v>
      </c>
      <c r="F272" s="27"/>
      <c r="G272" s="28"/>
      <c r="H272" s="2"/>
      <c r="I272" s="2"/>
      <c r="J272" s="2"/>
      <c r="K272" s="6"/>
    </row>
    <row r="273" spans="1:11">
      <c r="A273" s="7" t="s">
        <v>1139</v>
      </c>
      <c r="B273" s="8" t="s">
        <v>273</v>
      </c>
      <c r="C273" s="8" t="s">
        <v>1140</v>
      </c>
      <c r="D273" s="8"/>
      <c r="E273" s="8" t="s">
        <v>199</v>
      </c>
      <c r="F273" s="31"/>
      <c r="G273" s="32"/>
      <c r="H273" s="8"/>
      <c r="I273" s="8"/>
      <c r="J273" s="8"/>
      <c r="K273" s="12"/>
    </row>
    <row r="274" spans="1:11">
      <c r="A274" s="1" t="s">
        <v>1141</v>
      </c>
      <c r="B274" s="2" t="s">
        <v>273</v>
      </c>
      <c r="C274" s="2" t="s">
        <v>1142</v>
      </c>
      <c r="D274" s="2" t="s">
        <v>1143</v>
      </c>
      <c r="E274" s="2" t="s">
        <v>199</v>
      </c>
      <c r="F274" s="27"/>
      <c r="G274" s="28"/>
      <c r="H274" s="2"/>
      <c r="I274" s="2" t="s">
        <v>78</v>
      </c>
      <c r="J274" s="2"/>
      <c r="K274" s="6"/>
    </row>
    <row r="275" spans="1:11">
      <c r="A275" s="7" t="s">
        <v>1144</v>
      </c>
      <c r="B275" s="8" t="s">
        <v>273</v>
      </c>
      <c r="C275" s="8" t="s">
        <v>1145</v>
      </c>
      <c r="D275" s="8" t="s">
        <v>1143</v>
      </c>
      <c r="E275" s="8" t="s">
        <v>199</v>
      </c>
      <c r="F275" s="31"/>
      <c r="G275" s="32"/>
      <c r="H275" s="8"/>
      <c r="I275" s="8" t="s">
        <v>78</v>
      </c>
      <c r="J275" s="8"/>
      <c r="K275" s="12"/>
    </row>
    <row r="276" spans="1:11">
      <c r="A276" s="1" t="s">
        <v>1146</v>
      </c>
      <c r="B276" s="2" t="s">
        <v>273</v>
      </c>
      <c r="C276" s="2" t="s">
        <v>1147</v>
      </c>
      <c r="D276" s="2"/>
      <c r="E276" s="2" t="s">
        <v>199</v>
      </c>
      <c r="F276" s="27"/>
      <c r="G276" s="28"/>
      <c r="H276" s="2"/>
      <c r="I276" s="2"/>
      <c r="J276" s="2"/>
      <c r="K276" s="6"/>
    </row>
    <row r="277" spans="1:11">
      <c r="A277" s="7" t="s">
        <v>1148</v>
      </c>
      <c r="B277" s="8" t="s">
        <v>273</v>
      </c>
      <c r="C277" s="8" t="s">
        <v>1149</v>
      </c>
      <c r="D277" s="8"/>
      <c r="E277" s="8" t="s">
        <v>199</v>
      </c>
      <c r="F277" s="31"/>
      <c r="G277" s="32"/>
      <c r="H277" s="8"/>
      <c r="I277" s="8"/>
      <c r="J277" s="8"/>
      <c r="K277" s="12"/>
    </row>
    <row r="278" spans="1:11">
      <c r="A278" s="1" t="s">
        <v>1150</v>
      </c>
      <c r="B278" s="2" t="s">
        <v>273</v>
      </c>
      <c r="C278" s="2" t="s">
        <v>1151</v>
      </c>
      <c r="D278" s="2"/>
      <c r="E278" s="2" t="s">
        <v>199</v>
      </c>
      <c r="F278" s="27"/>
      <c r="G278" s="28"/>
      <c r="H278" s="2"/>
      <c r="I278" s="2"/>
      <c r="J278" s="2"/>
      <c r="K278" s="6"/>
    </row>
    <row r="279" spans="1:11">
      <c r="A279" s="7" t="s">
        <v>1152</v>
      </c>
      <c r="B279" s="8" t="s">
        <v>273</v>
      </c>
      <c r="C279" s="8" t="s">
        <v>1153</v>
      </c>
      <c r="D279" s="8" t="s">
        <v>1154</v>
      </c>
      <c r="E279" s="8" t="s">
        <v>199</v>
      </c>
      <c r="F279" s="31"/>
      <c r="G279" s="32"/>
      <c r="H279" s="8"/>
      <c r="I279" s="8" t="s">
        <v>78</v>
      </c>
      <c r="J279" s="8"/>
      <c r="K279" s="12"/>
    </row>
    <row r="280" spans="1:11">
      <c r="A280" s="1" t="s">
        <v>1155</v>
      </c>
      <c r="B280" s="2" t="s">
        <v>273</v>
      </c>
      <c r="C280" s="2" t="s">
        <v>1156</v>
      </c>
      <c r="D280" s="2" t="s">
        <v>1154</v>
      </c>
      <c r="E280" s="2" t="s">
        <v>199</v>
      </c>
      <c r="F280" s="27"/>
      <c r="G280" s="28"/>
      <c r="H280" s="2"/>
      <c r="I280" s="2" t="s">
        <v>78</v>
      </c>
      <c r="J280" s="2"/>
      <c r="K280" s="6"/>
    </row>
    <row r="281" spans="1:11">
      <c r="A281" s="7" t="s">
        <v>1157</v>
      </c>
      <c r="B281" s="8" t="s">
        <v>273</v>
      </c>
      <c r="C281" s="8" t="s">
        <v>1158</v>
      </c>
      <c r="D281" s="8"/>
      <c r="E281" s="8" t="s">
        <v>199</v>
      </c>
      <c r="F281" s="31"/>
      <c r="G281" s="32"/>
      <c r="H281" s="8"/>
      <c r="I281" s="8"/>
      <c r="J281" s="8"/>
      <c r="K281" s="12"/>
    </row>
    <row r="282" spans="1:11">
      <c r="A282" s="1" t="s">
        <v>1159</v>
      </c>
      <c r="B282" s="2" t="s">
        <v>273</v>
      </c>
      <c r="C282" s="2" t="s">
        <v>1160</v>
      </c>
      <c r="D282" s="2"/>
      <c r="E282" s="2" t="s">
        <v>199</v>
      </c>
      <c r="F282" s="27"/>
      <c r="G282" s="28"/>
      <c r="H282" s="2"/>
      <c r="I282" s="2"/>
      <c r="J282" s="2"/>
      <c r="K282" s="6"/>
    </row>
    <row r="283" spans="1:11">
      <c r="A283" s="7" t="s">
        <v>291</v>
      </c>
      <c r="B283" s="8" t="s">
        <v>35</v>
      </c>
      <c r="C283" s="8" t="s">
        <v>1161</v>
      </c>
      <c r="D283" s="8" t="s">
        <v>292</v>
      </c>
      <c r="E283" s="8" t="s">
        <v>192</v>
      </c>
      <c r="F283" s="31" t="s">
        <v>12</v>
      </c>
      <c r="G283" s="32" t="s">
        <v>24</v>
      </c>
      <c r="H283" s="8"/>
      <c r="I283" s="8" t="s">
        <v>27</v>
      </c>
      <c r="J283" s="8" t="s">
        <v>476</v>
      </c>
      <c r="K283" s="12" t="s">
        <v>1162</v>
      </c>
    </row>
    <row r="284" spans="1:11">
      <c r="A284" s="1" t="s">
        <v>294</v>
      </c>
      <c r="B284" s="2" t="s">
        <v>19</v>
      </c>
      <c r="C284" s="2" t="s">
        <v>1163</v>
      </c>
      <c r="D284" s="2" t="s">
        <v>296</v>
      </c>
      <c r="E284" s="2" t="s">
        <v>30</v>
      </c>
      <c r="F284" s="30" t="s">
        <v>12</v>
      </c>
      <c r="G284" s="30" t="s">
        <v>24</v>
      </c>
      <c r="H284" s="2"/>
      <c r="I284" s="2" t="s">
        <v>78</v>
      </c>
      <c r="J284" s="2" t="s">
        <v>476</v>
      </c>
      <c r="K284" s="6" t="s">
        <v>1164</v>
      </c>
    </row>
    <row r="285" spans="1:11">
      <c r="A285" s="7" t="s">
        <v>298</v>
      </c>
      <c r="B285" s="8" t="s">
        <v>19</v>
      </c>
      <c r="C285" s="8" t="s">
        <v>1165</v>
      </c>
      <c r="D285" s="8" t="s">
        <v>296</v>
      </c>
      <c r="E285" s="8" t="s">
        <v>91</v>
      </c>
      <c r="F285" s="29" t="s">
        <v>12</v>
      </c>
      <c r="G285" s="29" t="s">
        <v>24</v>
      </c>
      <c r="H285" s="8"/>
      <c r="I285" s="8" t="s">
        <v>27</v>
      </c>
      <c r="J285" s="8" t="s">
        <v>476</v>
      </c>
      <c r="K285" s="12" t="s">
        <v>1166</v>
      </c>
    </row>
    <row r="286" spans="1:11">
      <c r="A286" s="1" t="s">
        <v>300</v>
      </c>
      <c r="B286" s="2" t="s">
        <v>19</v>
      </c>
      <c r="C286" s="2" t="s">
        <v>1167</v>
      </c>
      <c r="D286" s="2" t="s">
        <v>301</v>
      </c>
      <c r="E286" s="2" t="s">
        <v>107</v>
      </c>
      <c r="F286" s="30" t="s">
        <v>12</v>
      </c>
      <c r="G286" s="30" t="s">
        <v>24</v>
      </c>
      <c r="H286" s="2"/>
      <c r="I286" s="2" t="s">
        <v>27</v>
      </c>
      <c r="J286" s="2" t="s">
        <v>476</v>
      </c>
      <c r="K286" s="6" t="s">
        <v>1168</v>
      </c>
    </row>
    <row r="287" spans="1:11">
      <c r="A287" s="7" t="s">
        <v>303</v>
      </c>
      <c r="B287" s="8" t="s">
        <v>35</v>
      </c>
      <c r="C287" s="8" t="s">
        <v>1169</v>
      </c>
      <c r="D287" s="8" t="s">
        <v>304</v>
      </c>
      <c r="E287" s="8" t="s">
        <v>91</v>
      </c>
      <c r="F287" s="31" t="s">
        <v>12</v>
      </c>
      <c r="G287" s="32" t="s">
        <v>24</v>
      </c>
      <c r="H287" s="8"/>
      <c r="I287" s="8" t="s">
        <v>78</v>
      </c>
      <c r="J287" s="8" t="s">
        <v>476</v>
      </c>
      <c r="K287" s="12" t="s">
        <v>1170</v>
      </c>
    </row>
    <row r="288" spans="1:11">
      <c r="A288" s="1" t="s">
        <v>305</v>
      </c>
      <c r="B288" s="2" t="s">
        <v>35</v>
      </c>
      <c r="C288" s="2" t="s">
        <v>1171</v>
      </c>
      <c r="D288" s="2" t="s">
        <v>304</v>
      </c>
      <c r="E288" s="2" t="s">
        <v>30</v>
      </c>
      <c r="F288" s="27" t="s">
        <v>12</v>
      </c>
      <c r="G288" s="28" t="s">
        <v>24</v>
      </c>
      <c r="H288" s="2"/>
      <c r="I288" s="2" t="s">
        <v>27</v>
      </c>
      <c r="J288" s="2" t="s">
        <v>476</v>
      </c>
      <c r="K288" s="6" t="s">
        <v>1172</v>
      </c>
    </row>
    <row r="289" spans="1:11">
      <c r="A289" s="7" t="s">
        <v>307</v>
      </c>
      <c r="B289" s="8" t="s">
        <v>19</v>
      </c>
      <c r="C289" s="8" t="s">
        <v>1173</v>
      </c>
      <c r="D289" s="8" t="s">
        <v>308</v>
      </c>
      <c r="E289" s="8" t="s">
        <v>107</v>
      </c>
      <c r="F289" s="29" t="s">
        <v>12</v>
      </c>
      <c r="G289" s="29" t="s">
        <v>24</v>
      </c>
      <c r="H289" s="8"/>
      <c r="I289" s="8" t="s">
        <v>27</v>
      </c>
      <c r="J289" s="8" t="s">
        <v>476</v>
      </c>
      <c r="K289" s="12" t="s">
        <v>1174</v>
      </c>
    </row>
    <row r="290" spans="1:11">
      <c r="A290" s="1" t="s">
        <v>309</v>
      </c>
      <c r="B290" s="2" t="s">
        <v>19</v>
      </c>
      <c r="C290" s="2" t="s">
        <v>1175</v>
      </c>
      <c r="D290" s="2" t="s">
        <v>310</v>
      </c>
      <c r="E290" s="2" t="s">
        <v>25</v>
      </c>
      <c r="F290" s="30" t="s">
        <v>12</v>
      </c>
      <c r="G290" s="30" t="s">
        <v>24</v>
      </c>
      <c r="H290" s="2"/>
      <c r="I290" s="2" t="s">
        <v>27</v>
      </c>
      <c r="J290" s="2" t="s">
        <v>476</v>
      </c>
      <c r="K290" s="6" t="s">
        <v>1176</v>
      </c>
    </row>
    <row r="291" spans="1:11">
      <c r="A291" s="7" t="s">
        <v>312</v>
      </c>
      <c r="B291" s="8" t="s">
        <v>35</v>
      </c>
      <c r="C291" s="8" t="s">
        <v>1177</v>
      </c>
      <c r="D291" s="8" t="s">
        <v>313</v>
      </c>
      <c r="E291" s="8" t="s">
        <v>192</v>
      </c>
      <c r="F291" s="31" t="s">
        <v>12</v>
      </c>
      <c r="G291" s="32" t="s">
        <v>24</v>
      </c>
      <c r="H291" s="8"/>
      <c r="I291" s="8" t="s">
        <v>27</v>
      </c>
      <c r="J291" s="8" t="s">
        <v>476</v>
      </c>
      <c r="K291" s="12" t="s">
        <v>1178</v>
      </c>
    </row>
    <row r="292" spans="1:11">
      <c r="A292" s="1" t="s">
        <v>315</v>
      </c>
      <c r="B292" s="2" t="s">
        <v>35</v>
      </c>
      <c r="C292" s="2" t="s">
        <v>1179</v>
      </c>
      <c r="D292" s="2" t="s">
        <v>313</v>
      </c>
      <c r="E292" s="2" t="s">
        <v>192</v>
      </c>
      <c r="F292" s="27" t="s">
        <v>12</v>
      </c>
      <c r="G292" s="28" t="s">
        <v>24</v>
      </c>
      <c r="H292" s="2"/>
      <c r="I292" s="2" t="s">
        <v>27</v>
      </c>
      <c r="J292" s="2" t="s">
        <v>476</v>
      </c>
      <c r="K292" s="6" t="s">
        <v>1180</v>
      </c>
    </row>
    <row r="293" spans="1:11">
      <c r="A293" s="7" t="s">
        <v>317</v>
      </c>
      <c r="B293" s="8" t="s">
        <v>35</v>
      </c>
      <c r="C293" s="8" t="s">
        <v>1181</v>
      </c>
      <c r="D293" s="8" t="s">
        <v>318</v>
      </c>
      <c r="E293" s="8" t="s">
        <v>192</v>
      </c>
      <c r="F293" s="31" t="s">
        <v>12</v>
      </c>
      <c r="G293" s="32" t="s">
        <v>24</v>
      </c>
      <c r="H293" s="8"/>
      <c r="I293" s="8" t="s">
        <v>27</v>
      </c>
      <c r="J293" s="8" t="s">
        <v>476</v>
      </c>
      <c r="K293" s="12" t="s">
        <v>1182</v>
      </c>
    </row>
    <row r="294" spans="1:11">
      <c r="A294" s="1" t="s">
        <v>319</v>
      </c>
      <c r="B294" s="2" t="s">
        <v>35</v>
      </c>
      <c r="C294" s="2" t="s">
        <v>1183</v>
      </c>
      <c r="D294" s="2" t="s">
        <v>320</v>
      </c>
      <c r="E294" s="2" t="s">
        <v>192</v>
      </c>
      <c r="F294" s="27" t="s">
        <v>12</v>
      </c>
      <c r="G294" s="28" t="s">
        <v>24</v>
      </c>
      <c r="H294" s="2"/>
      <c r="I294" s="2" t="s">
        <v>27</v>
      </c>
      <c r="J294" s="2" t="s">
        <v>476</v>
      </c>
      <c r="K294" s="6" t="s">
        <v>1184</v>
      </c>
    </row>
    <row r="295" spans="1:11">
      <c r="A295" s="7" t="s">
        <v>321</v>
      </c>
      <c r="B295" s="8" t="s">
        <v>35</v>
      </c>
      <c r="C295" s="8" t="s">
        <v>1185</v>
      </c>
      <c r="D295" s="8" t="s">
        <v>320</v>
      </c>
      <c r="E295" s="8" t="s">
        <v>192</v>
      </c>
      <c r="F295" s="31" t="s">
        <v>12</v>
      </c>
      <c r="G295" s="32" t="s">
        <v>24</v>
      </c>
      <c r="H295" s="8"/>
      <c r="I295" s="8" t="s">
        <v>27</v>
      </c>
      <c r="J295" s="8" t="s">
        <v>476</v>
      </c>
      <c r="K295" s="12" t="s">
        <v>1186</v>
      </c>
    </row>
    <row r="296" spans="1:11">
      <c r="A296" s="1" t="s">
        <v>322</v>
      </c>
      <c r="B296" s="2" t="s">
        <v>35</v>
      </c>
      <c r="C296" s="2" t="s">
        <v>1187</v>
      </c>
      <c r="D296" s="2" t="s">
        <v>323</v>
      </c>
      <c r="E296" s="2" t="s">
        <v>192</v>
      </c>
      <c r="F296" s="27" t="s">
        <v>12</v>
      </c>
      <c r="G296" s="28" t="s">
        <v>24</v>
      </c>
      <c r="H296" s="2"/>
      <c r="I296" s="2" t="s">
        <v>27</v>
      </c>
      <c r="J296" s="2" t="s">
        <v>476</v>
      </c>
      <c r="K296" s="6" t="s">
        <v>1188</v>
      </c>
    </row>
    <row r="297" spans="1:11">
      <c r="A297" s="7" t="s">
        <v>324</v>
      </c>
      <c r="B297" s="8" t="s">
        <v>35</v>
      </c>
      <c r="C297" s="8" t="s">
        <v>1189</v>
      </c>
      <c r="D297" s="8" t="s">
        <v>323</v>
      </c>
      <c r="E297" s="8" t="s">
        <v>192</v>
      </c>
      <c r="F297" s="31" t="s">
        <v>12</v>
      </c>
      <c r="G297" s="32" t="s">
        <v>24</v>
      </c>
      <c r="H297" s="8"/>
      <c r="I297" s="8" t="s">
        <v>27</v>
      </c>
      <c r="J297" s="8" t="s">
        <v>476</v>
      </c>
      <c r="K297" s="12" t="s">
        <v>1190</v>
      </c>
    </row>
    <row r="298" spans="1:11">
      <c r="A298" s="1" t="s">
        <v>325</v>
      </c>
      <c r="B298" s="2" t="s">
        <v>35</v>
      </c>
      <c r="C298" s="2" t="s">
        <v>1191</v>
      </c>
      <c r="D298" s="2" t="s">
        <v>323</v>
      </c>
      <c r="E298" s="2" t="s">
        <v>192</v>
      </c>
      <c r="F298" s="27" t="s">
        <v>12</v>
      </c>
      <c r="G298" s="28" t="s">
        <v>24</v>
      </c>
      <c r="H298" s="2"/>
      <c r="I298" s="2" t="s">
        <v>27</v>
      </c>
      <c r="J298" s="2" t="s">
        <v>476</v>
      </c>
      <c r="K298" s="6" t="s">
        <v>1192</v>
      </c>
    </row>
    <row r="299" spans="1:11">
      <c r="A299" s="7" t="s">
        <v>326</v>
      </c>
      <c r="B299" s="8" t="s">
        <v>35</v>
      </c>
      <c r="C299" s="8" t="s">
        <v>1193</v>
      </c>
      <c r="D299" s="8" t="s">
        <v>327</v>
      </c>
      <c r="E299" s="8" t="s">
        <v>192</v>
      </c>
      <c r="F299" s="31" t="s">
        <v>12</v>
      </c>
      <c r="G299" s="32" t="s">
        <v>24</v>
      </c>
      <c r="H299" s="8"/>
      <c r="I299" s="8" t="s">
        <v>27</v>
      </c>
      <c r="J299" s="8" t="s">
        <v>476</v>
      </c>
      <c r="K299" s="12" t="s">
        <v>1194</v>
      </c>
    </row>
    <row r="300" spans="1:11">
      <c r="A300" s="1" t="s">
        <v>329</v>
      </c>
      <c r="B300" s="2" t="s">
        <v>273</v>
      </c>
      <c r="C300" s="2" t="s">
        <v>1195</v>
      </c>
      <c r="D300" s="2" t="s">
        <v>330</v>
      </c>
      <c r="E300" s="2" t="s">
        <v>30</v>
      </c>
      <c r="F300" s="27" t="s">
        <v>12</v>
      </c>
      <c r="G300" s="28" t="s">
        <v>24</v>
      </c>
      <c r="H300" s="2"/>
      <c r="I300" s="2" t="s">
        <v>27</v>
      </c>
      <c r="J300" s="2" t="s">
        <v>476</v>
      </c>
      <c r="K300" s="6" t="s">
        <v>1196</v>
      </c>
    </row>
    <row r="301" spans="1:11">
      <c r="A301" s="7" t="s">
        <v>333</v>
      </c>
      <c r="B301" s="8" t="s">
        <v>35</v>
      </c>
      <c r="C301" s="8" t="s">
        <v>1197</v>
      </c>
      <c r="D301" s="8" t="s">
        <v>334</v>
      </c>
      <c r="E301" s="8" t="s">
        <v>61</v>
      </c>
      <c r="F301" s="31" t="s">
        <v>12</v>
      </c>
      <c r="G301" s="32" t="s">
        <v>24</v>
      </c>
      <c r="H301" s="8"/>
      <c r="I301" s="8" t="s">
        <v>27</v>
      </c>
      <c r="J301" s="8" t="s">
        <v>476</v>
      </c>
      <c r="K301" s="12" t="s">
        <v>1198</v>
      </c>
    </row>
    <row r="302" spans="1:11">
      <c r="A302" s="1" t="s">
        <v>336</v>
      </c>
      <c r="B302" s="2" t="s">
        <v>35</v>
      </c>
      <c r="C302" s="2" t="s">
        <v>1199</v>
      </c>
      <c r="D302" s="2" t="s">
        <v>337</v>
      </c>
      <c r="E302" s="2" t="s">
        <v>192</v>
      </c>
      <c r="F302" s="27" t="s">
        <v>12</v>
      </c>
      <c r="G302" s="28" t="s">
        <v>24</v>
      </c>
      <c r="H302" s="2"/>
      <c r="I302" s="2" t="s">
        <v>27</v>
      </c>
      <c r="J302" s="2" t="s">
        <v>476</v>
      </c>
      <c r="K302" s="6" t="s">
        <v>1200</v>
      </c>
    </row>
    <row r="303" spans="1:11">
      <c r="A303" s="7" t="s">
        <v>338</v>
      </c>
      <c r="B303" s="8" t="s">
        <v>35</v>
      </c>
      <c r="C303" s="8" t="s">
        <v>1201</v>
      </c>
      <c r="D303" s="8" t="s">
        <v>337</v>
      </c>
      <c r="E303" s="8" t="s">
        <v>192</v>
      </c>
      <c r="F303" s="31" t="s">
        <v>12</v>
      </c>
      <c r="G303" s="32" t="s">
        <v>24</v>
      </c>
      <c r="H303" s="8"/>
      <c r="I303" s="8" t="s">
        <v>27</v>
      </c>
      <c r="J303" s="8" t="s">
        <v>476</v>
      </c>
      <c r="K303" s="12" t="s">
        <v>1202</v>
      </c>
    </row>
    <row r="304" spans="1:11">
      <c r="A304" s="1" t="s">
        <v>339</v>
      </c>
      <c r="B304" s="2" t="s">
        <v>35</v>
      </c>
      <c r="C304" s="2" t="s">
        <v>1203</v>
      </c>
      <c r="D304" s="2" t="s">
        <v>337</v>
      </c>
      <c r="E304" s="2" t="s">
        <v>192</v>
      </c>
      <c r="F304" s="27" t="s">
        <v>12</v>
      </c>
      <c r="G304" s="28" t="s">
        <v>24</v>
      </c>
      <c r="H304" s="2"/>
      <c r="I304" s="2" t="s">
        <v>27</v>
      </c>
      <c r="J304" s="2" t="s">
        <v>476</v>
      </c>
      <c r="K304" s="6" t="s">
        <v>1204</v>
      </c>
    </row>
    <row r="305" spans="1:11">
      <c r="A305" s="7" t="s">
        <v>1205</v>
      </c>
      <c r="B305" s="8" t="s">
        <v>35</v>
      </c>
      <c r="C305" s="8" t="s">
        <v>1206</v>
      </c>
      <c r="D305" s="8" t="s">
        <v>1207</v>
      </c>
      <c r="E305" s="8" t="s">
        <v>199</v>
      </c>
      <c r="F305" s="31"/>
      <c r="G305" s="32"/>
      <c r="H305" s="8"/>
      <c r="I305" s="8" t="s">
        <v>78</v>
      </c>
      <c r="J305" s="8"/>
      <c r="K305" s="12"/>
    </row>
    <row r="306" spans="1:11">
      <c r="A306" s="1" t="s">
        <v>341</v>
      </c>
      <c r="B306" s="2" t="s">
        <v>35</v>
      </c>
      <c r="C306" s="2" t="s">
        <v>1208</v>
      </c>
      <c r="D306" s="2" t="s">
        <v>342</v>
      </c>
      <c r="E306" s="2" t="s">
        <v>91</v>
      </c>
      <c r="F306" s="27" t="s">
        <v>12</v>
      </c>
      <c r="G306" s="28" t="s">
        <v>24</v>
      </c>
      <c r="H306" s="2"/>
      <c r="I306" s="2" t="s">
        <v>27</v>
      </c>
      <c r="J306" s="2" t="s">
        <v>476</v>
      </c>
      <c r="K306" s="6" t="s">
        <v>1209</v>
      </c>
    </row>
    <row r="307" spans="1:11">
      <c r="A307" s="7" t="s">
        <v>1210</v>
      </c>
      <c r="B307" s="8" t="s">
        <v>19</v>
      </c>
      <c r="C307" s="8" t="s">
        <v>1211</v>
      </c>
      <c r="D307" s="8"/>
      <c r="E307" s="8" t="s">
        <v>39</v>
      </c>
      <c r="F307" s="29" t="s">
        <v>12</v>
      </c>
      <c r="G307" s="29" t="s">
        <v>24</v>
      </c>
      <c r="H307" s="8"/>
      <c r="I307" s="8"/>
      <c r="J307" s="8"/>
      <c r="K307" s="12" t="s">
        <v>1212</v>
      </c>
    </row>
    <row r="308" spans="1:11">
      <c r="A308" s="1" t="s">
        <v>1213</v>
      </c>
      <c r="B308" s="2" t="s">
        <v>19</v>
      </c>
      <c r="C308" s="2" t="s">
        <v>1214</v>
      </c>
      <c r="D308" s="2"/>
      <c r="E308" s="2" t="s">
        <v>39</v>
      </c>
      <c r="F308" s="30" t="s">
        <v>12</v>
      </c>
      <c r="G308" s="30" t="s">
        <v>24</v>
      </c>
      <c r="H308" s="2"/>
      <c r="I308" s="2"/>
      <c r="J308" s="2"/>
      <c r="K308" s="6" t="s">
        <v>1215</v>
      </c>
    </row>
    <row r="309" spans="1:11">
      <c r="A309" s="7" t="s">
        <v>1216</v>
      </c>
      <c r="B309" s="8" t="s">
        <v>19</v>
      </c>
      <c r="C309" s="8" t="s">
        <v>1217</v>
      </c>
      <c r="D309" s="8"/>
      <c r="E309" s="8" t="s">
        <v>39</v>
      </c>
      <c r="F309" s="29" t="s">
        <v>12</v>
      </c>
      <c r="G309" s="29" t="s">
        <v>24</v>
      </c>
      <c r="H309" s="8"/>
      <c r="I309" s="8"/>
      <c r="J309" s="8"/>
      <c r="K309" s="12" t="s">
        <v>1218</v>
      </c>
    </row>
    <row r="310" spans="1:11">
      <c r="A310" s="1" t="s">
        <v>1219</v>
      </c>
      <c r="B310" s="2" t="s">
        <v>19</v>
      </c>
      <c r="C310" s="2" t="s">
        <v>1220</v>
      </c>
      <c r="D310" s="2"/>
      <c r="E310" s="2" t="s">
        <v>39</v>
      </c>
      <c r="F310" s="30" t="s">
        <v>12</v>
      </c>
      <c r="G310" s="30" t="s">
        <v>24</v>
      </c>
      <c r="H310" s="2"/>
      <c r="I310" s="2"/>
      <c r="J310" s="2"/>
      <c r="K310" s="6" t="s">
        <v>1221</v>
      </c>
    </row>
    <row r="311" spans="1:11">
      <c r="A311" s="7" t="s">
        <v>1222</v>
      </c>
      <c r="B311" s="8" t="s">
        <v>19</v>
      </c>
      <c r="C311" s="8" t="s">
        <v>1223</v>
      </c>
      <c r="D311" s="8"/>
      <c r="E311" s="8" t="s">
        <v>80</v>
      </c>
      <c r="F311" s="29" t="s">
        <v>12</v>
      </c>
      <c r="G311" s="29" t="s">
        <v>24</v>
      </c>
      <c r="H311" s="8"/>
      <c r="I311" s="8"/>
      <c r="J311" s="8"/>
      <c r="K311" s="12" t="s">
        <v>1224</v>
      </c>
    </row>
    <row r="312" spans="1:11">
      <c r="A312" s="1" t="s">
        <v>1225</v>
      </c>
      <c r="B312" s="2" t="s">
        <v>35</v>
      </c>
      <c r="C312" s="2" t="s">
        <v>1226</v>
      </c>
      <c r="D312" s="2"/>
      <c r="E312" s="2" t="s">
        <v>80</v>
      </c>
      <c r="F312" s="27" t="s">
        <v>12</v>
      </c>
      <c r="G312" s="28" t="s">
        <v>24</v>
      </c>
      <c r="H312" s="2"/>
      <c r="I312" s="2"/>
      <c r="J312" s="2"/>
      <c r="K312" s="6" t="s">
        <v>1227</v>
      </c>
    </row>
    <row r="313" spans="1:11">
      <c r="A313" s="7" t="s">
        <v>1228</v>
      </c>
      <c r="B313" s="8" t="s">
        <v>35</v>
      </c>
      <c r="C313" s="8" t="s">
        <v>1229</v>
      </c>
      <c r="D313" s="8"/>
      <c r="E313" s="8" t="s">
        <v>80</v>
      </c>
      <c r="F313" s="31" t="s">
        <v>12</v>
      </c>
      <c r="G313" s="32" t="s">
        <v>24</v>
      </c>
      <c r="H313" s="8"/>
      <c r="I313" s="8"/>
      <c r="J313" s="8"/>
      <c r="K313" s="12" t="s">
        <v>1230</v>
      </c>
    </row>
    <row r="314" spans="1:11">
      <c r="A314" s="1" t="s">
        <v>1231</v>
      </c>
      <c r="B314" s="2" t="s">
        <v>35</v>
      </c>
      <c r="C314" s="2" t="s">
        <v>1232</v>
      </c>
      <c r="D314" s="2"/>
      <c r="E314" s="2" t="s">
        <v>177</v>
      </c>
      <c r="F314" s="27" t="s">
        <v>12</v>
      </c>
      <c r="G314" s="28" t="s">
        <v>24</v>
      </c>
      <c r="H314" s="2"/>
      <c r="I314" s="2"/>
      <c r="J314" s="2"/>
      <c r="K314" s="6" t="s">
        <v>1233</v>
      </c>
    </row>
    <row r="315" spans="1:11">
      <c r="A315" s="7" t="s">
        <v>345</v>
      </c>
      <c r="B315" s="8" t="s">
        <v>19</v>
      </c>
      <c r="C315" s="8" t="s">
        <v>1234</v>
      </c>
      <c r="D315" s="8" t="s">
        <v>346</v>
      </c>
      <c r="E315" s="8" t="s">
        <v>123</v>
      </c>
      <c r="F315" s="29" t="s">
        <v>12</v>
      </c>
      <c r="G315" s="29" t="s">
        <v>24</v>
      </c>
      <c r="H315" s="8"/>
      <c r="I315" s="8" t="s">
        <v>27</v>
      </c>
      <c r="J315" s="8" t="s">
        <v>476</v>
      </c>
      <c r="K315" s="12" t="s">
        <v>1235</v>
      </c>
    </row>
    <row r="316" spans="1:11">
      <c r="A316" s="1" t="s">
        <v>1236</v>
      </c>
      <c r="B316" s="2" t="s">
        <v>19</v>
      </c>
      <c r="C316" s="2" t="s">
        <v>1237</v>
      </c>
      <c r="D316" s="2"/>
      <c r="E316" s="2" t="s">
        <v>80</v>
      </c>
      <c r="F316" s="30" t="s">
        <v>12</v>
      </c>
      <c r="G316" s="30" t="s">
        <v>24</v>
      </c>
      <c r="H316" s="2"/>
      <c r="I316" s="2"/>
      <c r="J316" s="2"/>
      <c r="K316" s="6" t="s">
        <v>1238</v>
      </c>
    </row>
    <row r="317" spans="1:11">
      <c r="A317" s="7" t="s">
        <v>1239</v>
      </c>
      <c r="B317" s="8" t="s">
        <v>35</v>
      </c>
      <c r="C317" s="8" t="s">
        <v>1240</v>
      </c>
      <c r="D317" s="8"/>
      <c r="E317" s="8" t="s">
        <v>80</v>
      </c>
      <c r="F317" s="31" t="s">
        <v>12</v>
      </c>
      <c r="G317" s="32" t="s">
        <v>24</v>
      </c>
      <c r="H317" s="8"/>
      <c r="I317" s="8"/>
      <c r="J317" s="8"/>
      <c r="K317" s="12" t="s">
        <v>1241</v>
      </c>
    </row>
    <row r="318" spans="1:11">
      <c r="A318" s="1" t="s">
        <v>1242</v>
      </c>
      <c r="B318" s="2" t="s">
        <v>35</v>
      </c>
      <c r="C318" s="2" t="s">
        <v>1243</v>
      </c>
      <c r="D318" s="2"/>
      <c r="E318" s="2" t="s">
        <v>439</v>
      </c>
      <c r="F318" s="27" t="s">
        <v>12</v>
      </c>
      <c r="G318" s="28" t="s">
        <v>24</v>
      </c>
      <c r="H318" s="2"/>
      <c r="I318" s="2"/>
      <c r="J318" s="2"/>
      <c r="K318" s="6" t="s">
        <v>1244</v>
      </c>
    </row>
    <row r="319" spans="1:11">
      <c r="A319" s="7" t="s">
        <v>1245</v>
      </c>
      <c r="B319" s="8" t="s">
        <v>35</v>
      </c>
      <c r="C319" s="8" t="s">
        <v>1246</v>
      </c>
      <c r="D319" s="8"/>
      <c r="E319" s="8" t="s">
        <v>123</v>
      </c>
      <c r="F319" s="31" t="s">
        <v>12</v>
      </c>
      <c r="G319" s="32" t="s">
        <v>24</v>
      </c>
      <c r="H319" s="8"/>
      <c r="I319" s="8"/>
      <c r="J319" s="8"/>
      <c r="K319" s="12" t="s">
        <v>1247</v>
      </c>
    </row>
    <row r="320" spans="1:11">
      <c r="A320" s="1" t="s">
        <v>348</v>
      </c>
      <c r="B320" s="2" t="s">
        <v>35</v>
      </c>
      <c r="C320" s="2" t="s">
        <v>1248</v>
      </c>
      <c r="D320" s="2" t="s">
        <v>349</v>
      </c>
      <c r="E320" s="2" t="s">
        <v>123</v>
      </c>
      <c r="F320" s="27" t="s">
        <v>12</v>
      </c>
      <c r="G320" s="28" t="s">
        <v>24</v>
      </c>
      <c r="H320" s="2"/>
      <c r="I320" s="2" t="s">
        <v>27</v>
      </c>
      <c r="J320" s="2" t="s">
        <v>476</v>
      </c>
      <c r="K320" s="6" t="s">
        <v>1249</v>
      </c>
    </row>
    <row r="321" spans="1:11">
      <c r="A321" s="7" t="s">
        <v>351</v>
      </c>
      <c r="B321" s="8" t="s">
        <v>35</v>
      </c>
      <c r="C321" s="8" t="s">
        <v>1250</v>
      </c>
      <c r="D321" s="8" t="s">
        <v>349</v>
      </c>
      <c r="E321" s="8" t="s">
        <v>80</v>
      </c>
      <c r="F321" s="31" t="s">
        <v>12</v>
      </c>
      <c r="G321" s="32" t="s">
        <v>24</v>
      </c>
      <c r="H321" s="8"/>
      <c r="I321" s="8" t="s">
        <v>27</v>
      </c>
      <c r="J321" s="8" t="s">
        <v>476</v>
      </c>
      <c r="K321" s="12" t="s">
        <v>1251</v>
      </c>
    </row>
    <row r="322" spans="1:11">
      <c r="A322" s="1" t="s">
        <v>352</v>
      </c>
      <c r="B322" s="2" t="s">
        <v>35</v>
      </c>
      <c r="C322" s="2" t="s">
        <v>1252</v>
      </c>
      <c r="D322" s="2" t="s">
        <v>349</v>
      </c>
      <c r="E322" s="2" t="s">
        <v>25</v>
      </c>
      <c r="F322" s="27" t="s">
        <v>12</v>
      </c>
      <c r="G322" s="28" t="s">
        <v>24</v>
      </c>
      <c r="H322" s="2"/>
      <c r="I322" s="2" t="s">
        <v>27</v>
      </c>
      <c r="J322" s="2" t="s">
        <v>476</v>
      </c>
      <c r="K322" s="6" t="s">
        <v>1253</v>
      </c>
    </row>
    <row r="323" spans="1:11">
      <c r="A323" s="7" t="s">
        <v>355</v>
      </c>
      <c r="B323" s="8" t="s">
        <v>356</v>
      </c>
      <c r="C323" s="8" t="s">
        <v>1254</v>
      </c>
      <c r="D323" s="8" t="s">
        <v>357</v>
      </c>
      <c r="E323" s="8" t="s">
        <v>80</v>
      </c>
      <c r="F323" s="31" t="s">
        <v>12</v>
      </c>
      <c r="G323" s="32" t="s">
        <v>24</v>
      </c>
      <c r="H323" s="8"/>
      <c r="I323" s="8" t="s">
        <v>27</v>
      </c>
      <c r="J323" s="8" t="s">
        <v>476</v>
      </c>
      <c r="K323" s="12" t="s">
        <v>1255</v>
      </c>
    </row>
    <row r="324" spans="1:11">
      <c r="A324" s="1" t="s">
        <v>360</v>
      </c>
      <c r="B324" s="2" t="s">
        <v>35</v>
      </c>
      <c r="C324" s="2" t="s">
        <v>1256</v>
      </c>
      <c r="D324" s="2" t="s">
        <v>361</v>
      </c>
      <c r="E324" s="2" t="s">
        <v>30</v>
      </c>
      <c r="F324" s="27" t="s">
        <v>12</v>
      </c>
      <c r="G324" s="28" t="s">
        <v>24</v>
      </c>
      <c r="H324" s="2"/>
      <c r="I324" s="2" t="s">
        <v>27</v>
      </c>
      <c r="J324" s="2" t="s">
        <v>476</v>
      </c>
      <c r="K324" s="6" t="s">
        <v>1257</v>
      </c>
    </row>
    <row r="325" spans="1:11">
      <c r="A325" s="7" t="s">
        <v>362</v>
      </c>
      <c r="B325" s="8" t="s">
        <v>35</v>
      </c>
      <c r="C325" s="8" t="s">
        <v>1258</v>
      </c>
      <c r="D325" s="8" t="s">
        <v>363</v>
      </c>
      <c r="E325" s="8" t="s">
        <v>25</v>
      </c>
      <c r="F325" s="31" t="s">
        <v>12</v>
      </c>
      <c r="G325" s="32" t="s">
        <v>24</v>
      </c>
      <c r="H325" s="8"/>
      <c r="I325" s="8" t="s">
        <v>27</v>
      </c>
      <c r="J325" s="8" t="s">
        <v>476</v>
      </c>
      <c r="K325" s="12" t="s">
        <v>1259</v>
      </c>
    </row>
    <row r="326" spans="1:11">
      <c r="A326" s="1" t="s">
        <v>364</v>
      </c>
      <c r="B326" s="2" t="s">
        <v>35</v>
      </c>
      <c r="C326" s="2" t="s">
        <v>1260</v>
      </c>
      <c r="D326" s="2" t="s">
        <v>363</v>
      </c>
      <c r="E326" s="2" t="s">
        <v>25</v>
      </c>
      <c r="F326" s="27" t="s">
        <v>12</v>
      </c>
      <c r="G326" s="28" t="s">
        <v>24</v>
      </c>
      <c r="H326" s="2"/>
      <c r="I326" s="2" t="s">
        <v>27</v>
      </c>
      <c r="J326" s="2" t="s">
        <v>476</v>
      </c>
      <c r="K326" s="6" t="s">
        <v>1261</v>
      </c>
    </row>
    <row r="327" spans="1:11">
      <c r="A327" s="7" t="s">
        <v>1262</v>
      </c>
      <c r="B327" s="8" t="s">
        <v>356</v>
      </c>
      <c r="C327" s="8" t="s">
        <v>1263</v>
      </c>
      <c r="D327" s="8"/>
      <c r="E327" s="8" t="s">
        <v>439</v>
      </c>
      <c r="F327" s="31" t="s">
        <v>12</v>
      </c>
      <c r="G327" s="32" t="s">
        <v>24</v>
      </c>
      <c r="H327" s="8"/>
      <c r="I327" s="8"/>
      <c r="J327" s="8"/>
      <c r="K327" s="12" t="s">
        <v>1264</v>
      </c>
    </row>
    <row r="328" spans="1:11">
      <c r="A328" s="1" t="s">
        <v>1265</v>
      </c>
      <c r="B328" s="2" t="s">
        <v>356</v>
      </c>
      <c r="C328" s="2" t="s">
        <v>1266</v>
      </c>
      <c r="D328" s="2"/>
      <c r="E328" s="2" t="s">
        <v>123</v>
      </c>
      <c r="F328" s="27" t="s">
        <v>12</v>
      </c>
      <c r="G328" s="28" t="s">
        <v>24</v>
      </c>
      <c r="H328" s="2"/>
      <c r="I328" s="2"/>
      <c r="J328" s="2"/>
      <c r="K328" s="6" t="s">
        <v>1267</v>
      </c>
    </row>
    <row r="329" spans="1:11">
      <c r="A329" s="7" t="s">
        <v>366</v>
      </c>
      <c r="B329" s="8" t="s">
        <v>35</v>
      </c>
      <c r="C329" s="8" t="s">
        <v>1268</v>
      </c>
      <c r="D329" s="8" t="s">
        <v>367</v>
      </c>
      <c r="E329" s="8" t="s">
        <v>80</v>
      </c>
      <c r="F329" s="31" t="s">
        <v>12</v>
      </c>
      <c r="G329" s="32" t="s">
        <v>24</v>
      </c>
      <c r="H329" s="8"/>
      <c r="I329" s="8" t="s">
        <v>27</v>
      </c>
      <c r="J329" s="8" t="s">
        <v>476</v>
      </c>
      <c r="K329" s="12" t="s">
        <v>1269</v>
      </c>
    </row>
    <row r="330" spans="1:11">
      <c r="A330" s="1" t="s">
        <v>368</v>
      </c>
      <c r="B330" s="2" t="s">
        <v>35</v>
      </c>
      <c r="C330" s="2" t="s">
        <v>1270</v>
      </c>
      <c r="D330" s="2" t="s">
        <v>369</v>
      </c>
      <c r="E330" s="2" t="s">
        <v>370</v>
      </c>
      <c r="F330" s="27" t="s">
        <v>12</v>
      </c>
      <c r="G330" s="28" t="s">
        <v>24</v>
      </c>
      <c r="H330" s="2"/>
      <c r="I330" s="2" t="s">
        <v>27</v>
      </c>
      <c r="J330" s="2" t="s">
        <v>476</v>
      </c>
      <c r="K330" s="6" t="s">
        <v>1271</v>
      </c>
    </row>
    <row r="331" spans="1:11">
      <c r="A331" s="7" t="s">
        <v>371</v>
      </c>
      <c r="B331" s="8" t="s">
        <v>19</v>
      </c>
      <c r="C331" s="8" t="s">
        <v>1272</v>
      </c>
      <c r="D331" s="8" t="s">
        <v>372</v>
      </c>
      <c r="E331" s="8" t="s">
        <v>374</v>
      </c>
      <c r="F331" s="29" t="s">
        <v>12</v>
      </c>
      <c r="G331" s="29" t="s">
        <v>24</v>
      </c>
      <c r="H331" s="8"/>
      <c r="I331" s="8" t="s">
        <v>27</v>
      </c>
      <c r="J331" s="8" t="s">
        <v>476</v>
      </c>
      <c r="K331" s="12" t="s">
        <v>1273</v>
      </c>
    </row>
    <row r="332" spans="1:11">
      <c r="A332" s="1" t="s">
        <v>376</v>
      </c>
      <c r="B332" s="2" t="s">
        <v>35</v>
      </c>
      <c r="C332" s="2" t="s">
        <v>1274</v>
      </c>
      <c r="D332" s="2" t="s">
        <v>377</v>
      </c>
      <c r="E332" s="2" t="s">
        <v>91</v>
      </c>
      <c r="F332" s="27" t="s">
        <v>12</v>
      </c>
      <c r="G332" s="28" t="s">
        <v>24</v>
      </c>
      <c r="H332" s="2"/>
      <c r="I332" s="2" t="s">
        <v>78</v>
      </c>
      <c r="J332" s="2" t="s">
        <v>476</v>
      </c>
      <c r="K332" s="6" t="s">
        <v>1275</v>
      </c>
    </row>
    <row r="333" spans="1:11">
      <c r="A333" s="7" t="s">
        <v>378</v>
      </c>
      <c r="B333" s="8" t="s">
        <v>35</v>
      </c>
      <c r="C333" s="8" t="s">
        <v>1276</v>
      </c>
      <c r="D333" s="8" t="s">
        <v>377</v>
      </c>
      <c r="E333" s="8" t="s">
        <v>30</v>
      </c>
      <c r="F333" s="31" t="s">
        <v>12</v>
      </c>
      <c r="G333" s="32" t="s">
        <v>24</v>
      </c>
      <c r="H333" s="8"/>
      <c r="I333" s="8" t="s">
        <v>27</v>
      </c>
      <c r="J333" s="8" t="s">
        <v>476</v>
      </c>
      <c r="K333" s="12" t="s">
        <v>1277</v>
      </c>
    </row>
    <row r="334" spans="1:11">
      <c r="A334" s="1" t="s">
        <v>1278</v>
      </c>
      <c r="B334" s="2" t="s">
        <v>35</v>
      </c>
      <c r="C334" s="2" t="s">
        <v>1279</v>
      </c>
      <c r="D334" s="2"/>
      <c r="E334" s="2" t="s">
        <v>80</v>
      </c>
      <c r="F334" s="27" t="s">
        <v>12</v>
      </c>
      <c r="G334" s="28" t="s">
        <v>24</v>
      </c>
      <c r="H334" s="2"/>
      <c r="I334" s="2"/>
      <c r="J334" s="2"/>
      <c r="K334" s="6" t="s">
        <v>1280</v>
      </c>
    </row>
    <row r="335" spans="1:11">
      <c r="A335" s="7" t="s">
        <v>379</v>
      </c>
      <c r="B335" s="8" t="s">
        <v>35</v>
      </c>
      <c r="C335" s="8" t="s">
        <v>1281</v>
      </c>
      <c r="D335" s="8" t="s">
        <v>380</v>
      </c>
      <c r="E335" s="8" t="s">
        <v>192</v>
      </c>
      <c r="F335" s="31" t="s">
        <v>12</v>
      </c>
      <c r="G335" s="32" t="s">
        <v>24</v>
      </c>
      <c r="H335" s="8"/>
      <c r="I335" s="8" t="s">
        <v>27</v>
      </c>
      <c r="J335" s="8" t="s">
        <v>476</v>
      </c>
      <c r="K335" s="12" t="s">
        <v>1282</v>
      </c>
    </row>
    <row r="336" spans="1:11">
      <c r="A336" s="1" t="s">
        <v>381</v>
      </c>
      <c r="B336" s="2" t="s">
        <v>35</v>
      </c>
      <c r="C336" s="2" t="s">
        <v>1283</v>
      </c>
      <c r="D336" s="2" t="s">
        <v>380</v>
      </c>
      <c r="E336" s="2" t="s">
        <v>192</v>
      </c>
      <c r="F336" s="27" t="s">
        <v>12</v>
      </c>
      <c r="G336" s="28" t="s">
        <v>24</v>
      </c>
      <c r="H336" s="2"/>
      <c r="I336" s="2" t="s">
        <v>27</v>
      </c>
      <c r="J336" s="2" t="s">
        <v>476</v>
      </c>
      <c r="K336" s="6" t="s">
        <v>1284</v>
      </c>
    </row>
    <row r="337" spans="1:11">
      <c r="A337" s="7" t="s">
        <v>383</v>
      </c>
      <c r="B337" s="8" t="s">
        <v>35</v>
      </c>
      <c r="C337" s="8" t="s">
        <v>1285</v>
      </c>
      <c r="D337" s="8" t="s">
        <v>384</v>
      </c>
      <c r="E337" s="8" t="s">
        <v>91</v>
      </c>
      <c r="F337" s="31" t="s">
        <v>12</v>
      </c>
      <c r="G337" s="32" t="s">
        <v>24</v>
      </c>
      <c r="H337" s="8"/>
      <c r="I337" s="8" t="s">
        <v>27</v>
      </c>
      <c r="J337" s="8" t="s">
        <v>476</v>
      </c>
      <c r="K337" s="12" t="s">
        <v>1286</v>
      </c>
    </row>
    <row r="338" spans="1:11">
      <c r="A338" s="1" t="s">
        <v>386</v>
      </c>
      <c r="B338" s="2" t="s">
        <v>35</v>
      </c>
      <c r="C338" s="2" t="s">
        <v>1287</v>
      </c>
      <c r="D338" s="2" t="s">
        <v>387</v>
      </c>
      <c r="E338" s="2" t="s">
        <v>91</v>
      </c>
      <c r="F338" s="27" t="s">
        <v>12</v>
      </c>
      <c r="G338" s="28" t="s">
        <v>24</v>
      </c>
      <c r="H338" s="2"/>
      <c r="I338" s="2" t="s">
        <v>27</v>
      </c>
      <c r="J338" s="2" t="s">
        <v>476</v>
      </c>
      <c r="K338" s="6" t="s">
        <v>1288</v>
      </c>
    </row>
    <row r="339" spans="1:11">
      <c r="A339" s="7" t="s">
        <v>389</v>
      </c>
      <c r="B339" s="8" t="s">
        <v>19</v>
      </c>
      <c r="C339" s="8" t="s">
        <v>1289</v>
      </c>
      <c r="D339" s="8" t="s">
        <v>390</v>
      </c>
      <c r="E339" s="8" t="s">
        <v>25</v>
      </c>
      <c r="F339" s="29" t="s">
        <v>12</v>
      </c>
      <c r="G339" s="29" t="s">
        <v>24</v>
      </c>
      <c r="H339" s="8"/>
      <c r="I339" s="8" t="s">
        <v>27</v>
      </c>
      <c r="J339" s="8" t="s">
        <v>476</v>
      </c>
      <c r="K339" s="12" t="s">
        <v>1290</v>
      </c>
    </row>
    <row r="340" spans="1:11">
      <c r="A340" s="1" t="s">
        <v>391</v>
      </c>
      <c r="B340" s="2" t="s">
        <v>19</v>
      </c>
      <c r="C340" s="2" t="s">
        <v>1291</v>
      </c>
      <c r="D340" s="2" t="s">
        <v>392</v>
      </c>
      <c r="E340" s="2" t="s">
        <v>61</v>
      </c>
      <c r="F340" s="30" t="s">
        <v>12</v>
      </c>
      <c r="G340" s="30" t="s">
        <v>24</v>
      </c>
      <c r="H340" s="2"/>
      <c r="I340" s="2" t="s">
        <v>27</v>
      </c>
      <c r="J340" s="2" t="s">
        <v>476</v>
      </c>
      <c r="K340" s="6" t="s">
        <v>1292</v>
      </c>
    </row>
    <row r="341" spans="1:11">
      <c r="A341" s="18" t="s">
        <v>1293</v>
      </c>
      <c r="B341" s="8" t="s">
        <v>19</v>
      </c>
      <c r="C341" s="8" t="s">
        <v>1294</v>
      </c>
      <c r="D341" s="8"/>
      <c r="E341" s="8" t="s">
        <v>39</v>
      </c>
      <c r="F341" s="11" t="s">
        <v>12</v>
      </c>
      <c r="G341" s="11" t="s">
        <v>24</v>
      </c>
      <c r="H341" s="8"/>
      <c r="I341" s="8"/>
      <c r="J341" s="8"/>
      <c r="K341" s="12"/>
    </row>
    <row r="342" spans="1:11">
      <c r="A342" s="1" t="s">
        <v>1295</v>
      </c>
      <c r="B342" s="2" t="s">
        <v>19</v>
      </c>
      <c r="C342" s="2" t="s">
        <v>1296</v>
      </c>
      <c r="D342" s="2"/>
      <c r="E342" s="2" t="s">
        <v>39</v>
      </c>
      <c r="F342" s="5" t="s">
        <v>12</v>
      </c>
      <c r="G342" s="5" t="s">
        <v>24</v>
      </c>
      <c r="H342" s="2"/>
      <c r="I342" s="2"/>
      <c r="J342" s="2"/>
      <c r="K342" s="6"/>
    </row>
    <row r="343" spans="1:11">
      <c r="A343" s="7" t="s">
        <v>1297</v>
      </c>
      <c r="B343" s="8" t="s">
        <v>19</v>
      </c>
      <c r="C343" s="8" t="s">
        <v>1298</v>
      </c>
      <c r="D343" s="8"/>
      <c r="E343" s="8" t="s">
        <v>39</v>
      </c>
      <c r="F343" s="11" t="s">
        <v>12</v>
      </c>
      <c r="G343" s="11" t="s">
        <v>24</v>
      </c>
      <c r="H343" s="8"/>
      <c r="I343" s="8"/>
      <c r="J343" s="8"/>
      <c r="K343" s="12"/>
    </row>
    <row r="344" spans="1:11">
      <c r="A344" s="1" t="s">
        <v>394</v>
      </c>
      <c r="B344" s="2" t="s">
        <v>19</v>
      </c>
      <c r="C344" s="2" t="s">
        <v>1299</v>
      </c>
      <c r="D344" s="2" t="s">
        <v>395</v>
      </c>
      <c r="E344" s="2" t="s">
        <v>39</v>
      </c>
      <c r="F344" s="5" t="s">
        <v>12</v>
      </c>
      <c r="G344" s="5" t="s">
        <v>24</v>
      </c>
      <c r="H344" s="2"/>
      <c r="I344" s="2" t="s">
        <v>78</v>
      </c>
      <c r="J344" s="2" t="s">
        <v>476</v>
      </c>
      <c r="K344" s="6"/>
    </row>
    <row r="345" spans="1:11">
      <c r="A345" s="7" t="s">
        <v>396</v>
      </c>
      <c r="B345" s="8" t="s">
        <v>19</v>
      </c>
      <c r="C345" s="8" t="s">
        <v>1300</v>
      </c>
      <c r="D345" s="8" t="s">
        <v>395</v>
      </c>
      <c r="E345" s="8" t="s">
        <v>39</v>
      </c>
      <c r="F345" s="11" t="s">
        <v>12</v>
      </c>
      <c r="G345" s="11" t="s">
        <v>24</v>
      </c>
      <c r="H345" s="8"/>
      <c r="I345" s="8" t="s">
        <v>27</v>
      </c>
      <c r="J345" s="8" t="s">
        <v>476</v>
      </c>
      <c r="K345" s="12"/>
    </row>
    <row r="346" spans="1:11">
      <c r="A346" s="1" t="s">
        <v>397</v>
      </c>
      <c r="B346" s="2" t="s">
        <v>19</v>
      </c>
      <c r="C346" s="2" t="s">
        <v>1301</v>
      </c>
      <c r="D346" s="2" t="s">
        <v>395</v>
      </c>
      <c r="E346" s="2" t="s">
        <v>39</v>
      </c>
      <c r="F346" s="5" t="s">
        <v>12</v>
      </c>
      <c r="G346" s="5" t="s">
        <v>24</v>
      </c>
      <c r="H346" s="2"/>
      <c r="I346" s="2" t="s">
        <v>27</v>
      </c>
      <c r="J346" s="2" t="s">
        <v>476</v>
      </c>
      <c r="K346" s="6"/>
    </row>
    <row r="347" spans="1:11">
      <c r="A347" s="7" t="s">
        <v>1302</v>
      </c>
      <c r="B347" s="8" t="s">
        <v>19</v>
      </c>
      <c r="C347" s="8" t="s">
        <v>1303</v>
      </c>
      <c r="D347" s="8"/>
      <c r="E347" s="8" t="s">
        <v>39</v>
      </c>
      <c r="F347" s="11" t="s">
        <v>12</v>
      </c>
      <c r="G347" s="11" t="s">
        <v>24</v>
      </c>
      <c r="H347" s="8"/>
      <c r="I347" s="8"/>
      <c r="J347" s="8"/>
      <c r="K347" s="12"/>
    </row>
    <row r="348" spans="1:11">
      <c r="A348" s="1" t="s">
        <v>399</v>
      </c>
      <c r="B348" s="2" t="s">
        <v>19</v>
      </c>
      <c r="C348" s="2" t="s">
        <v>1304</v>
      </c>
      <c r="D348" s="2" t="s">
        <v>400</v>
      </c>
      <c r="E348" s="2" t="s">
        <v>39</v>
      </c>
      <c r="F348" s="5" t="s">
        <v>12</v>
      </c>
      <c r="G348" s="5" t="s">
        <v>24</v>
      </c>
      <c r="H348" s="2"/>
      <c r="I348" s="2" t="s">
        <v>27</v>
      </c>
      <c r="J348" s="2" t="s">
        <v>476</v>
      </c>
      <c r="K348" s="6"/>
    </row>
    <row r="349" spans="1:11">
      <c r="A349" s="7" t="s">
        <v>401</v>
      </c>
      <c r="B349" s="8" t="s">
        <v>19</v>
      </c>
      <c r="C349" s="8" t="s">
        <v>1305</v>
      </c>
      <c r="D349" s="8" t="s">
        <v>400</v>
      </c>
      <c r="E349" s="8" t="s">
        <v>39</v>
      </c>
      <c r="F349" s="11" t="s">
        <v>12</v>
      </c>
      <c r="G349" s="11" t="s">
        <v>24</v>
      </c>
      <c r="H349" s="8"/>
      <c r="I349" s="8" t="s">
        <v>27</v>
      </c>
      <c r="J349" s="8" t="s">
        <v>476</v>
      </c>
      <c r="K349" s="12"/>
    </row>
    <row r="350" spans="1:11">
      <c r="A350" s="1" t="s">
        <v>403</v>
      </c>
      <c r="B350" s="2" t="s">
        <v>19</v>
      </c>
      <c r="C350" s="2" t="s">
        <v>1306</v>
      </c>
      <c r="D350" s="2" t="s">
        <v>404</v>
      </c>
      <c r="E350" s="2" t="s">
        <v>39</v>
      </c>
      <c r="F350" s="5" t="s">
        <v>12</v>
      </c>
      <c r="G350" s="5" t="s">
        <v>24</v>
      </c>
      <c r="H350" s="2"/>
      <c r="I350" s="2" t="s">
        <v>78</v>
      </c>
      <c r="J350" s="2" t="s">
        <v>476</v>
      </c>
      <c r="K350" s="6"/>
    </row>
    <row r="351" spans="1:11">
      <c r="A351" s="7" t="s">
        <v>405</v>
      </c>
      <c r="B351" s="8" t="s">
        <v>19</v>
      </c>
      <c r="C351" s="8" t="s">
        <v>1307</v>
      </c>
      <c r="D351" s="8" t="s">
        <v>404</v>
      </c>
      <c r="E351" s="8" t="s">
        <v>39</v>
      </c>
      <c r="F351" s="11" t="s">
        <v>12</v>
      </c>
      <c r="G351" s="11" t="s">
        <v>24</v>
      </c>
      <c r="H351" s="8"/>
      <c r="I351" s="8" t="s">
        <v>27</v>
      </c>
      <c r="J351" s="8" t="s">
        <v>476</v>
      </c>
      <c r="K351" s="12"/>
    </row>
    <row r="352" spans="1:11">
      <c r="A352" s="1" t="s">
        <v>1308</v>
      </c>
      <c r="B352" s="2" t="s">
        <v>19</v>
      </c>
      <c r="C352" s="2" t="s">
        <v>1309</v>
      </c>
      <c r="D352" s="2"/>
      <c r="E352" s="2" t="s">
        <v>39</v>
      </c>
      <c r="F352" s="5" t="s">
        <v>12</v>
      </c>
      <c r="G352" s="5" t="s">
        <v>24</v>
      </c>
      <c r="H352" s="2"/>
      <c r="I352" s="2"/>
      <c r="J352" s="2"/>
      <c r="K352" s="6"/>
    </row>
    <row r="353" spans="1:11">
      <c r="A353" s="7" t="s">
        <v>406</v>
      </c>
      <c r="B353" s="8" t="s">
        <v>19</v>
      </c>
      <c r="C353" s="8" t="s">
        <v>1310</v>
      </c>
      <c r="D353" s="8" t="s">
        <v>407</v>
      </c>
      <c r="E353" s="8" t="s">
        <v>39</v>
      </c>
      <c r="F353" s="11" t="s">
        <v>12</v>
      </c>
      <c r="G353" s="11" t="s">
        <v>24</v>
      </c>
      <c r="H353" s="8"/>
      <c r="I353" s="8" t="s">
        <v>27</v>
      </c>
      <c r="J353" s="8" t="s">
        <v>476</v>
      </c>
      <c r="K353" s="12"/>
    </row>
    <row r="354" spans="1:11">
      <c r="A354" s="1" t="s">
        <v>408</v>
      </c>
      <c r="B354" s="2" t="s">
        <v>19</v>
      </c>
      <c r="C354" s="2" t="s">
        <v>1311</v>
      </c>
      <c r="D354" s="2" t="s">
        <v>407</v>
      </c>
      <c r="E354" s="2" t="s">
        <v>39</v>
      </c>
      <c r="F354" s="5" t="s">
        <v>12</v>
      </c>
      <c r="G354" s="5" t="s">
        <v>24</v>
      </c>
      <c r="H354" s="2"/>
      <c r="I354" s="2" t="s">
        <v>27</v>
      </c>
      <c r="J354" s="2" t="s">
        <v>476</v>
      </c>
      <c r="K354" s="6"/>
    </row>
    <row r="355" spans="1:11">
      <c r="A355" s="7" t="s">
        <v>1312</v>
      </c>
      <c r="B355" s="8" t="s">
        <v>19</v>
      </c>
      <c r="C355" s="8" t="s">
        <v>1313</v>
      </c>
      <c r="D355" s="8"/>
      <c r="E355" s="8" t="s">
        <v>39</v>
      </c>
      <c r="F355" s="11" t="s">
        <v>12</v>
      </c>
      <c r="G355" s="11" t="s">
        <v>24</v>
      </c>
      <c r="H355" s="8"/>
      <c r="I355" s="8"/>
      <c r="J355" s="8"/>
      <c r="K355" s="12"/>
    </row>
    <row r="356" spans="1:11">
      <c r="A356" s="1" t="s">
        <v>1314</v>
      </c>
      <c r="B356" s="2" t="s">
        <v>19</v>
      </c>
      <c r="C356" s="2" t="s">
        <v>1315</v>
      </c>
      <c r="D356" s="2"/>
      <c r="E356" s="2" t="s">
        <v>39</v>
      </c>
      <c r="F356" s="5" t="s">
        <v>12</v>
      </c>
      <c r="G356" s="5" t="s">
        <v>24</v>
      </c>
      <c r="H356" s="2"/>
      <c r="I356" s="2"/>
      <c r="J356" s="2"/>
      <c r="K356" s="6"/>
    </row>
    <row r="357" spans="1:11">
      <c r="A357" s="7" t="s">
        <v>1316</v>
      </c>
      <c r="B357" s="8" t="s">
        <v>19</v>
      </c>
      <c r="C357" s="8" t="s">
        <v>1317</v>
      </c>
      <c r="D357" s="8"/>
      <c r="E357" s="8" t="s">
        <v>39</v>
      </c>
      <c r="F357" s="11" t="s">
        <v>12</v>
      </c>
      <c r="G357" s="11" t="s">
        <v>24</v>
      </c>
      <c r="H357" s="8"/>
      <c r="I357" s="8"/>
      <c r="J357" s="8"/>
      <c r="K357" s="12"/>
    </row>
    <row r="358" spans="1:11">
      <c r="A358" s="1" t="s">
        <v>1318</v>
      </c>
      <c r="B358" s="2" t="s">
        <v>19</v>
      </c>
      <c r="C358" s="2" t="s">
        <v>1319</v>
      </c>
      <c r="D358" s="2"/>
      <c r="E358" s="2" t="s">
        <v>39</v>
      </c>
      <c r="F358" s="5" t="s">
        <v>12</v>
      </c>
      <c r="G358" s="5" t="s">
        <v>24</v>
      </c>
      <c r="H358" s="2"/>
      <c r="I358" s="2"/>
      <c r="J358" s="2"/>
      <c r="K358" s="6"/>
    </row>
    <row r="359" spans="1:11">
      <c r="A359" s="7" t="s">
        <v>409</v>
      </c>
      <c r="B359" s="8" t="s">
        <v>19</v>
      </c>
      <c r="C359" s="8" t="s">
        <v>1320</v>
      </c>
      <c r="D359" s="8" t="s">
        <v>410</v>
      </c>
      <c r="E359" s="8" t="s">
        <v>39</v>
      </c>
      <c r="F359" s="11" t="s">
        <v>12</v>
      </c>
      <c r="G359" s="11" t="s">
        <v>24</v>
      </c>
      <c r="H359" s="8"/>
      <c r="I359" s="8" t="s">
        <v>78</v>
      </c>
      <c r="J359" s="8" t="s">
        <v>476</v>
      </c>
      <c r="K359" s="12"/>
    </row>
    <row r="360" spans="1:11">
      <c r="A360" s="1" t="s">
        <v>411</v>
      </c>
      <c r="B360" s="2" t="s">
        <v>19</v>
      </c>
      <c r="C360" s="2" t="s">
        <v>1321</v>
      </c>
      <c r="D360" s="2" t="s">
        <v>410</v>
      </c>
      <c r="E360" s="2" t="s">
        <v>39</v>
      </c>
      <c r="F360" s="5" t="s">
        <v>12</v>
      </c>
      <c r="G360" s="5" t="s">
        <v>24</v>
      </c>
      <c r="H360" s="2"/>
      <c r="I360" s="2" t="s">
        <v>27</v>
      </c>
      <c r="J360" s="2" t="s">
        <v>476</v>
      </c>
      <c r="K360" s="6"/>
    </row>
    <row r="361" spans="1:11">
      <c r="A361" s="7" t="s">
        <v>412</v>
      </c>
      <c r="B361" s="8" t="s">
        <v>19</v>
      </c>
      <c r="C361" s="8" t="s">
        <v>1322</v>
      </c>
      <c r="D361" s="8" t="s">
        <v>410</v>
      </c>
      <c r="E361" s="8" t="s">
        <v>39</v>
      </c>
      <c r="F361" s="11" t="s">
        <v>12</v>
      </c>
      <c r="G361" s="11" t="s">
        <v>24</v>
      </c>
      <c r="H361" s="8"/>
      <c r="I361" s="8" t="s">
        <v>27</v>
      </c>
      <c r="J361" s="8" t="s">
        <v>476</v>
      </c>
      <c r="K361" s="12"/>
    </row>
    <row r="362" spans="1:11">
      <c r="A362" s="1" t="s">
        <v>413</v>
      </c>
      <c r="B362" s="2" t="s">
        <v>19</v>
      </c>
      <c r="C362" s="2" t="s">
        <v>1323</v>
      </c>
      <c r="D362" s="2" t="s">
        <v>410</v>
      </c>
      <c r="E362" s="2" t="s">
        <v>39</v>
      </c>
      <c r="F362" s="5" t="s">
        <v>12</v>
      </c>
      <c r="G362" s="5" t="s">
        <v>24</v>
      </c>
      <c r="H362" s="2"/>
      <c r="I362" s="2" t="s">
        <v>78</v>
      </c>
      <c r="J362" s="2" t="s">
        <v>476</v>
      </c>
      <c r="K362" s="6"/>
    </row>
    <row r="363" spans="1:11">
      <c r="A363" s="7" t="s">
        <v>414</v>
      </c>
      <c r="B363" s="8" t="s">
        <v>35</v>
      </c>
      <c r="C363" s="8" t="s">
        <v>1324</v>
      </c>
      <c r="D363" s="8" t="s">
        <v>415</v>
      </c>
      <c r="E363" s="8" t="s">
        <v>91</v>
      </c>
      <c r="F363" s="36" t="s">
        <v>12</v>
      </c>
      <c r="G363" s="11" t="s">
        <v>24</v>
      </c>
      <c r="H363" s="8"/>
      <c r="I363" s="8" t="s">
        <v>27</v>
      </c>
      <c r="J363" s="8" t="s">
        <v>476</v>
      </c>
      <c r="K363" s="12"/>
    </row>
    <row r="364" spans="1:11">
      <c r="A364" s="1" t="s">
        <v>417</v>
      </c>
      <c r="B364" s="2" t="s">
        <v>19</v>
      </c>
      <c r="C364" s="2" t="s">
        <v>1325</v>
      </c>
      <c r="D364" s="2" t="s">
        <v>418</v>
      </c>
      <c r="E364" s="2" t="s">
        <v>25</v>
      </c>
      <c r="F364" s="33" t="s">
        <v>12</v>
      </c>
      <c r="G364" s="5" t="s">
        <v>24</v>
      </c>
      <c r="H364" s="2"/>
      <c r="I364" s="2" t="s">
        <v>27</v>
      </c>
      <c r="J364" s="2" t="s">
        <v>476</v>
      </c>
      <c r="K364" s="6"/>
    </row>
    <row r="365" spans="1:11">
      <c r="A365" s="7" t="s">
        <v>420</v>
      </c>
      <c r="B365" s="8" t="s">
        <v>35</v>
      </c>
      <c r="C365" s="8" t="s">
        <v>1326</v>
      </c>
      <c r="D365" s="8" t="s">
        <v>421</v>
      </c>
      <c r="E365" s="8" t="s">
        <v>91</v>
      </c>
      <c r="F365" s="36" t="s">
        <v>12</v>
      </c>
      <c r="G365" s="11" t="s">
        <v>24</v>
      </c>
      <c r="H365" s="8"/>
      <c r="I365" s="8" t="s">
        <v>27</v>
      </c>
      <c r="J365" s="8" t="s">
        <v>476</v>
      </c>
      <c r="K365" s="12"/>
    </row>
    <row r="366" spans="1:11">
      <c r="A366" s="1" t="s">
        <v>422</v>
      </c>
      <c r="B366" s="2" t="s">
        <v>19</v>
      </c>
      <c r="C366" s="2" t="s">
        <v>1327</v>
      </c>
      <c r="D366" s="2" t="s">
        <v>418</v>
      </c>
      <c r="E366" s="2" t="s">
        <v>30</v>
      </c>
      <c r="F366" s="33" t="s">
        <v>12</v>
      </c>
      <c r="G366" s="5" t="s">
        <v>24</v>
      </c>
      <c r="H366" s="2"/>
      <c r="I366" s="2" t="s">
        <v>27</v>
      </c>
      <c r="J366" s="2" t="s">
        <v>476</v>
      </c>
      <c r="K366" s="6"/>
    </row>
    <row r="367" spans="1:11">
      <c r="A367" s="7" t="s">
        <v>423</v>
      </c>
      <c r="B367" s="8" t="s">
        <v>35</v>
      </c>
      <c r="C367" s="8" t="s">
        <v>1328</v>
      </c>
      <c r="D367" s="8" t="s">
        <v>421</v>
      </c>
      <c r="E367" s="8" t="s">
        <v>91</v>
      </c>
      <c r="F367" s="36" t="s">
        <v>12</v>
      </c>
      <c r="G367" s="11" t="s">
        <v>24</v>
      </c>
      <c r="H367" s="8"/>
      <c r="I367" s="8" t="s">
        <v>27</v>
      </c>
      <c r="J367" s="8" t="s">
        <v>476</v>
      </c>
      <c r="K367" s="12"/>
    </row>
    <row r="368" spans="1:11">
      <c r="A368" s="1" t="s">
        <v>1329</v>
      </c>
      <c r="B368" s="2" t="s">
        <v>19</v>
      </c>
      <c r="C368" s="2" t="s">
        <v>1330</v>
      </c>
      <c r="D368" s="2"/>
      <c r="E368" s="2" t="s">
        <v>80</v>
      </c>
      <c r="F368" s="33" t="s">
        <v>12</v>
      </c>
      <c r="G368" s="5" t="s">
        <v>24</v>
      </c>
      <c r="H368" s="2"/>
      <c r="I368" s="2"/>
      <c r="J368" s="2"/>
      <c r="K368" s="6" t="s">
        <v>1331</v>
      </c>
    </row>
    <row r="369" spans="1:11">
      <c r="A369" s="7" t="s">
        <v>424</v>
      </c>
      <c r="B369" s="8" t="s">
        <v>19</v>
      </c>
      <c r="C369" s="8" t="s">
        <v>1332</v>
      </c>
      <c r="D369" s="8" t="s">
        <v>425</v>
      </c>
      <c r="E369" s="8" t="s">
        <v>25</v>
      </c>
      <c r="F369" s="36" t="s">
        <v>12</v>
      </c>
      <c r="G369" s="11" t="s">
        <v>24</v>
      </c>
      <c r="H369" s="8"/>
      <c r="I369" s="8" t="s">
        <v>27</v>
      </c>
      <c r="J369" s="8" t="s">
        <v>476</v>
      </c>
      <c r="K369" s="12" t="s">
        <v>1333</v>
      </c>
    </row>
    <row r="370" spans="1:11">
      <c r="A370" s="1" t="s">
        <v>427</v>
      </c>
      <c r="B370" s="2" t="s">
        <v>35</v>
      </c>
      <c r="C370" s="2" t="s">
        <v>1334</v>
      </c>
      <c r="D370" s="2" t="s">
        <v>428</v>
      </c>
      <c r="E370" s="2" t="s">
        <v>91</v>
      </c>
      <c r="F370" s="33" t="s">
        <v>12</v>
      </c>
      <c r="G370" s="5" t="s">
        <v>24</v>
      </c>
      <c r="H370" s="2"/>
      <c r="I370" s="2" t="s">
        <v>27</v>
      </c>
      <c r="J370" s="2" t="s">
        <v>476</v>
      </c>
      <c r="K370" s="6"/>
    </row>
    <row r="371" spans="1:11">
      <c r="A371" s="7" t="s">
        <v>1335</v>
      </c>
      <c r="B371" s="8" t="s">
        <v>273</v>
      </c>
      <c r="C371" s="8" t="s">
        <v>1336</v>
      </c>
      <c r="D371" s="8" t="s">
        <v>1337</v>
      </c>
      <c r="E371" s="8"/>
      <c r="F371" s="31"/>
      <c r="G371" s="11"/>
      <c r="H371" s="8" t="s">
        <v>1338</v>
      </c>
      <c r="I371" s="8" t="s">
        <v>78</v>
      </c>
      <c r="J371" s="8"/>
      <c r="K371" s="12"/>
    </row>
    <row r="372" spans="1:11">
      <c r="A372" s="1" t="s">
        <v>1339</v>
      </c>
      <c r="B372" s="2" t="s">
        <v>19</v>
      </c>
      <c r="C372" s="2" t="s">
        <v>1340</v>
      </c>
      <c r="D372" s="2"/>
      <c r="E372" s="2" t="s">
        <v>80</v>
      </c>
      <c r="F372" s="33" t="s">
        <v>12</v>
      </c>
      <c r="G372" s="5" t="s">
        <v>24</v>
      </c>
      <c r="H372" s="2"/>
      <c r="I372" s="2"/>
      <c r="J372" s="2"/>
      <c r="K372" s="6"/>
    </row>
    <row r="373" spans="1:11">
      <c r="A373" s="7" t="s">
        <v>430</v>
      </c>
      <c r="B373" s="8" t="s">
        <v>35</v>
      </c>
      <c r="C373" s="8" t="s">
        <v>1341</v>
      </c>
      <c r="D373" s="8" t="s">
        <v>431</v>
      </c>
      <c r="E373" s="8" t="s">
        <v>91</v>
      </c>
      <c r="F373" s="36" t="s">
        <v>12</v>
      </c>
      <c r="G373" s="11" t="s">
        <v>24</v>
      </c>
      <c r="H373" s="8"/>
      <c r="I373" s="8" t="s">
        <v>27</v>
      </c>
      <c r="J373" s="8" t="s">
        <v>476</v>
      </c>
      <c r="K373" s="12"/>
    </row>
    <row r="374" spans="1:11">
      <c r="A374" s="1" t="s">
        <v>433</v>
      </c>
      <c r="B374" s="2" t="s">
        <v>19</v>
      </c>
      <c r="C374" s="2" t="s">
        <v>1342</v>
      </c>
      <c r="D374" s="2" t="s">
        <v>434</v>
      </c>
      <c r="E374" s="2" t="s">
        <v>39</v>
      </c>
      <c r="F374" s="33" t="s">
        <v>12</v>
      </c>
      <c r="G374" s="5" t="s">
        <v>24</v>
      </c>
      <c r="H374" s="2"/>
      <c r="I374" s="2" t="s">
        <v>27</v>
      </c>
      <c r="J374" s="2" t="s">
        <v>476</v>
      </c>
      <c r="K374" s="6"/>
    </row>
    <row r="375" spans="1:11">
      <c r="A375" s="7" t="s">
        <v>1343</v>
      </c>
      <c r="B375" s="8" t="s">
        <v>19</v>
      </c>
      <c r="C375" s="8" t="s">
        <v>1344</v>
      </c>
      <c r="D375" s="8"/>
      <c r="E375" s="8" t="s">
        <v>39</v>
      </c>
      <c r="F375" s="36" t="s">
        <v>12</v>
      </c>
      <c r="G375" s="11" t="s">
        <v>24</v>
      </c>
      <c r="H375" s="8"/>
      <c r="I375" s="8"/>
      <c r="J375" s="8"/>
      <c r="K375" s="12"/>
    </row>
    <row r="376" spans="1:11">
      <c r="A376" s="1" t="s">
        <v>1345</v>
      </c>
      <c r="B376" s="2" t="s">
        <v>35</v>
      </c>
      <c r="C376" s="2" t="s">
        <v>1346</v>
      </c>
      <c r="D376" s="2"/>
      <c r="E376" s="2" t="s">
        <v>80</v>
      </c>
      <c r="F376" s="33" t="s">
        <v>12</v>
      </c>
      <c r="G376" s="5" t="s">
        <v>24</v>
      </c>
      <c r="H376" s="2"/>
      <c r="I376" s="2"/>
      <c r="J376" s="2"/>
      <c r="K376" s="6"/>
    </row>
    <row r="377" spans="1:11">
      <c r="A377" s="7" t="s">
        <v>1347</v>
      </c>
      <c r="B377" s="8" t="s">
        <v>19</v>
      </c>
      <c r="C377" s="8" t="s">
        <v>1348</v>
      </c>
      <c r="D377" s="8"/>
      <c r="E377" s="8" t="s">
        <v>39</v>
      </c>
      <c r="F377" s="36" t="s">
        <v>12</v>
      </c>
      <c r="G377" s="11" t="s">
        <v>24</v>
      </c>
      <c r="H377" s="8"/>
      <c r="I377" s="8"/>
      <c r="J377" s="8"/>
      <c r="K377" s="12"/>
    </row>
    <row r="378" spans="1:11">
      <c r="A378" s="1" t="s">
        <v>1349</v>
      </c>
      <c r="B378" s="2" t="s">
        <v>19</v>
      </c>
      <c r="C378" s="2" t="s">
        <v>1350</v>
      </c>
      <c r="D378" s="2"/>
      <c r="E378" s="2" t="s">
        <v>39</v>
      </c>
      <c r="F378" s="33" t="s">
        <v>12</v>
      </c>
      <c r="G378" s="5" t="s">
        <v>24</v>
      </c>
      <c r="H378" s="2"/>
      <c r="I378" s="2"/>
      <c r="J378" s="2"/>
      <c r="K378" s="6"/>
    </row>
    <row r="379" spans="1:11">
      <c r="A379" s="7" t="s">
        <v>436</v>
      </c>
      <c r="B379" s="8" t="s">
        <v>356</v>
      </c>
      <c r="C379" s="8" t="s">
        <v>1351</v>
      </c>
      <c r="D379" s="8" t="s">
        <v>437</v>
      </c>
      <c r="E379" s="8" t="s">
        <v>439</v>
      </c>
      <c r="F379" s="36" t="s">
        <v>12</v>
      </c>
      <c r="G379" s="11" t="s">
        <v>24</v>
      </c>
      <c r="H379" s="8"/>
      <c r="I379" s="8" t="s">
        <v>27</v>
      </c>
      <c r="J379" s="8" t="s">
        <v>476</v>
      </c>
      <c r="K379" s="12"/>
    </row>
    <row r="380" spans="1:11">
      <c r="A380" s="1" t="s">
        <v>1352</v>
      </c>
      <c r="B380" s="2" t="s">
        <v>356</v>
      </c>
      <c r="C380" s="2" t="s">
        <v>1353</v>
      </c>
      <c r="D380" s="2" t="s">
        <v>1354</v>
      </c>
      <c r="E380" s="2"/>
      <c r="F380" s="27"/>
      <c r="G380" s="28"/>
      <c r="H380" s="2" t="s">
        <v>1355</v>
      </c>
      <c r="I380" s="2" t="s">
        <v>78</v>
      </c>
      <c r="J380" s="2"/>
      <c r="K380" s="6"/>
    </row>
    <row r="381" spans="1:11">
      <c r="A381" s="7" t="s">
        <v>1356</v>
      </c>
      <c r="B381" s="8" t="s">
        <v>356</v>
      </c>
      <c r="C381" s="8" t="s">
        <v>1357</v>
      </c>
      <c r="D381" s="8" t="s">
        <v>1354</v>
      </c>
      <c r="E381" s="8"/>
      <c r="F381" s="31"/>
      <c r="G381" s="32"/>
      <c r="H381" s="8" t="s">
        <v>1355</v>
      </c>
      <c r="I381" s="8" t="s">
        <v>78</v>
      </c>
      <c r="J381" s="8"/>
      <c r="K381" s="12"/>
    </row>
    <row r="382" spans="1:11">
      <c r="A382" s="1" t="s">
        <v>440</v>
      </c>
      <c r="B382" s="2" t="s">
        <v>356</v>
      </c>
      <c r="C382" s="2" t="s">
        <v>1358</v>
      </c>
      <c r="D382" s="2" t="s">
        <v>441</v>
      </c>
      <c r="E382" s="2" t="s">
        <v>80</v>
      </c>
      <c r="F382" s="33" t="s">
        <v>12</v>
      </c>
      <c r="G382" s="5" t="s">
        <v>24</v>
      </c>
      <c r="H382" s="2"/>
      <c r="I382" s="2" t="s">
        <v>27</v>
      </c>
      <c r="J382" s="2" t="s">
        <v>476</v>
      </c>
      <c r="K382" s="6"/>
    </row>
    <row r="383" spans="1:11">
      <c r="A383" s="7" t="s">
        <v>1359</v>
      </c>
      <c r="B383" s="8" t="s">
        <v>356</v>
      </c>
      <c r="C383" s="8" t="s">
        <v>1360</v>
      </c>
      <c r="D383" s="8"/>
      <c r="E383" s="8"/>
      <c r="F383" s="31"/>
      <c r="G383" s="32"/>
      <c r="H383" s="8" t="s">
        <v>1338</v>
      </c>
      <c r="I383" s="8"/>
      <c r="J383" s="8"/>
      <c r="K383" s="12"/>
    </row>
    <row r="384" spans="1:11">
      <c r="A384" s="1" t="s">
        <v>1361</v>
      </c>
      <c r="B384" s="2" t="s">
        <v>356</v>
      </c>
      <c r="C384" s="2" t="s">
        <v>1362</v>
      </c>
      <c r="D384" s="2"/>
      <c r="E384" s="2"/>
      <c r="F384" s="27"/>
      <c r="G384" s="28"/>
      <c r="H384" s="2" t="s">
        <v>1338</v>
      </c>
      <c r="I384" s="2"/>
      <c r="J384" s="2"/>
      <c r="K384" s="6"/>
    </row>
    <row r="385" spans="1:11">
      <c r="A385" s="7" t="s">
        <v>1363</v>
      </c>
      <c r="B385" s="8" t="s">
        <v>356</v>
      </c>
      <c r="C385" s="8" t="s">
        <v>1364</v>
      </c>
      <c r="D385" s="8"/>
      <c r="E385" s="8" t="s">
        <v>575</v>
      </c>
      <c r="F385" s="36" t="s">
        <v>12</v>
      </c>
      <c r="G385" s="11" t="s">
        <v>24</v>
      </c>
      <c r="H385" s="8"/>
      <c r="I385" s="8"/>
      <c r="J385" s="8"/>
      <c r="K385" s="12"/>
    </row>
    <row r="386" spans="1:11">
      <c r="A386" s="1" t="s">
        <v>1365</v>
      </c>
      <c r="B386" s="2" t="s">
        <v>356</v>
      </c>
      <c r="C386" s="2" t="s">
        <v>1366</v>
      </c>
      <c r="D386" s="2"/>
      <c r="E386" s="2" t="s">
        <v>575</v>
      </c>
      <c r="F386" s="33" t="s">
        <v>12</v>
      </c>
      <c r="G386" s="5" t="s">
        <v>24</v>
      </c>
      <c r="H386" s="2"/>
      <c r="I386" s="2"/>
      <c r="J386" s="2"/>
      <c r="K386" s="6"/>
    </row>
    <row r="387" spans="1:11">
      <c r="A387" s="7" t="s">
        <v>1367</v>
      </c>
      <c r="B387" s="8" t="s">
        <v>19</v>
      </c>
      <c r="C387" s="8" t="s">
        <v>1368</v>
      </c>
      <c r="D387" s="16" t="s">
        <v>1369</v>
      </c>
      <c r="E387" s="8" t="s">
        <v>123</v>
      </c>
      <c r="F387" s="36" t="s">
        <v>12</v>
      </c>
      <c r="G387" s="11" t="s">
        <v>24</v>
      </c>
      <c r="H387" s="8"/>
      <c r="I387" s="8" t="s">
        <v>27</v>
      </c>
      <c r="J387" s="8"/>
      <c r="K387" s="12"/>
    </row>
    <row r="388" spans="1:11">
      <c r="A388" s="1" t="s">
        <v>1370</v>
      </c>
      <c r="B388" s="2" t="s">
        <v>19</v>
      </c>
      <c r="C388" s="2" t="s">
        <v>1371</v>
      </c>
      <c r="D388" s="2"/>
      <c r="E388" s="2" t="s">
        <v>1372</v>
      </c>
      <c r="F388" s="33" t="s">
        <v>12</v>
      </c>
      <c r="G388" s="5" t="s">
        <v>24</v>
      </c>
      <c r="H388" s="2"/>
      <c r="I388" s="2"/>
      <c r="J388" s="2"/>
      <c r="K388" s="6"/>
    </row>
    <row r="389" spans="1:11">
      <c r="A389" s="7" t="s">
        <v>1373</v>
      </c>
      <c r="B389" s="8" t="s">
        <v>19</v>
      </c>
      <c r="C389" s="8" t="s">
        <v>1374</v>
      </c>
      <c r="D389" s="8"/>
      <c r="E389" s="8" t="s">
        <v>1372</v>
      </c>
      <c r="F389" s="36" t="s">
        <v>12</v>
      </c>
      <c r="G389" s="11" t="s">
        <v>24</v>
      </c>
      <c r="H389" s="8"/>
      <c r="I389" s="8"/>
      <c r="J389" s="8"/>
      <c r="K389" s="12"/>
    </row>
    <row r="390" spans="1:11">
      <c r="A390" s="1" t="s">
        <v>1375</v>
      </c>
      <c r="B390" s="2" t="s">
        <v>19</v>
      </c>
      <c r="C390" s="2" t="s">
        <v>1376</v>
      </c>
      <c r="D390" s="2"/>
      <c r="E390" s="2" t="s">
        <v>1372</v>
      </c>
      <c r="F390" s="33" t="s">
        <v>12</v>
      </c>
      <c r="G390" s="5" t="s">
        <v>24</v>
      </c>
      <c r="H390" s="2"/>
      <c r="I390" s="2"/>
      <c r="J390" s="2"/>
      <c r="K390" s="6"/>
    </row>
    <row r="391" spans="1:11">
      <c r="A391" s="7" t="s">
        <v>1377</v>
      </c>
      <c r="B391" s="8" t="s">
        <v>19</v>
      </c>
      <c r="C391" s="8" t="s">
        <v>1378</v>
      </c>
      <c r="D391" s="8"/>
      <c r="E391" s="8" t="s">
        <v>1372</v>
      </c>
      <c r="F391" s="36" t="s">
        <v>12</v>
      </c>
      <c r="G391" s="11" t="s">
        <v>24</v>
      </c>
      <c r="H391" s="8"/>
      <c r="I391" s="8"/>
      <c r="J391" s="8"/>
      <c r="K391" s="12"/>
    </row>
    <row r="392" spans="1:11">
      <c r="A392" s="1" t="s">
        <v>1379</v>
      </c>
      <c r="B392" s="2" t="s">
        <v>19</v>
      </c>
      <c r="C392" s="2" t="s">
        <v>1380</v>
      </c>
      <c r="D392" s="2"/>
      <c r="E392" s="2" t="s">
        <v>1372</v>
      </c>
      <c r="F392" s="33" t="s">
        <v>12</v>
      </c>
      <c r="G392" s="5" t="s">
        <v>24</v>
      </c>
      <c r="H392" s="2"/>
      <c r="I392" s="2"/>
      <c r="J392" s="2"/>
      <c r="K392" s="6"/>
    </row>
    <row r="393" spans="1:11">
      <c r="A393" s="7" t="s">
        <v>1381</v>
      </c>
      <c r="B393" s="8" t="s">
        <v>19</v>
      </c>
      <c r="C393" s="8" t="s">
        <v>1382</v>
      </c>
      <c r="D393" s="8"/>
      <c r="E393" s="8" t="s">
        <v>1372</v>
      </c>
      <c r="F393" s="36" t="s">
        <v>12</v>
      </c>
      <c r="G393" s="11" t="s">
        <v>24</v>
      </c>
      <c r="H393" s="8"/>
      <c r="I393" s="8"/>
      <c r="J393" s="8"/>
      <c r="K393" s="12"/>
    </row>
    <row r="394" spans="1:11">
      <c r="A394" s="1" t="s">
        <v>1383</v>
      </c>
      <c r="B394" s="2" t="s">
        <v>19</v>
      </c>
      <c r="C394" s="2" t="s">
        <v>1384</v>
      </c>
      <c r="D394" s="2"/>
      <c r="E394" s="2" t="s">
        <v>1372</v>
      </c>
      <c r="F394" s="33" t="s">
        <v>12</v>
      </c>
      <c r="G394" s="5" t="s">
        <v>24</v>
      </c>
      <c r="H394" s="2"/>
      <c r="I394" s="2"/>
      <c r="J394" s="2"/>
      <c r="K394" s="6"/>
    </row>
    <row r="395" spans="1:11">
      <c r="A395" s="7" t="s">
        <v>1385</v>
      </c>
      <c r="B395" s="8" t="s">
        <v>19</v>
      </c>
      <c r="C395" s="8" t="s">
        <v>1386</v>
      </c>
      <c r="D395" s="8"/>
      <c r="E395" s="8"/>
      <c r="F395" s="36" t="s">
        <v>12</v>
      </c>
      <c r="G395" s="11" t="s">
        <v>24</v>
      </c>
      <c r="H395" s="8"/>
      <c r="I395" s="8"/>
      <c r="J395" s="8"/>
      <c r="K395" s="12"/>
    </row>
    <row r="396" spans="1:11">
      <c r="A396" s="1" t="s">
        <v>1387</v>
      </c>
      <c r="B396" s="2" t="s">
        <v>19</v>
      </c>
      <c r="C396" s="2" t="s">
        <v>1388</v>
      </c>
      <c r="D396" s="2"/>
      <c r="E396" s="2" t="s">
        <v>1372</v>
      </c>
      <c r="F396" s="33" t="s">
        <v>12</v>
      </c>
      <c r="G396" s="5" t="s">
        <v>24</v>
      </c>
      <c r="H396" s="2"/>
      <c r="I396" s="2"/>
      <c r="J396" s="2"/>
      <c r="K396" s="6"/>
    </row>
    <row r="397" spans="1:11">
      <c r="A397" s="7" t="s">
        <v>1389</v>
      </c>
      <c r="B397" s="8" t="s">
        <v>19</v>
      </c>
      <c r="C397" s="8" t="s">
        <v>1390</v>
      </c>
      <c r="D397" s="8"/>
      <c r="E397" s="8" t="s">
        <v>1372</v>
      </c>
      <c r="F397" s="36" t="s">
        <v>12</v>
      </c>
      <c r="G397" s="11" t="s">
        <v>24</v>
      </c>
      <c r="H397" s="8"/>
      <c r="I397" s="8"/>
      <c r="J397" s="8"/>
      <c r="K397" s="12"/>
    </row>
    <row r="398" spans="1:11">
      <c r="A398" s="1" t="s">
        <v>1391</v>
      </c>
      <c r="B398" s="2" t="s">
        <v>19</v>
      </c>
      <c r="C398" s="2" t="s">
        <v>1392</v>
      </c>
      <c r="D398" s="2"/>
      <c r="E398" s="2"/>
      <c r="F398" s="27"/>
      <c r="G398" s="28"/>
      <c r="H398" s="2" t="s">
        <v>1338</v>
      </c>
      <c r="I398" s="2"/>
      <c r="J398" s="2"/>
      <c r="K398" s="6"/>
    </row>
    <row r="399" spans="1:11">
      <c r="A399" s="7" t="s">
        <v>1393</v>
      </c>
      <c r="B399" s="8" t="s">
        <v>19</v>
      </c>
      <c r="C399" s="8" t="s">
        <v>1394</v>
      </c>
      <c r="D399" s="8"/>
      <c r="E399" s="8"/>
      <c r="F399" s="31"/>
      <c r="G399" s="32"/>
      <c r="H399" s="8" t="s">
        <v>1355</v>
      </c>
      <c r="I399" s="8"/>
      <c r="J399" s="8"/>
      <c r="K399" s="12"/>
    </row>
    <row r="400" spans="1:11">
      <c r="A400" s="1" t="s">
        <v>1395</v>
      </c>
      <c r="B400" s="2" t="s">
        <v>356</v>
      </c>
      <c r="C400" s="2" t="s">
        <v>1396</v>
      </c>
      <c r="D400" s="2"/>
      <c r="E400" s="2" t="s">
        <v>80</v>
      </c>
      <c r="F400" s="33" t="s">
        <v>12</v>
      </c>
      <c r="G400" s="5" t="s">
        <v>24</v>
      </c>
      <c r="H400" s="2"/>
      <c r="I400" s="2"/>
      <c r="J400" s="2"/>
      <c r="K400" s="6"/>
    </row>
    <row r="401" spans="1:11">
      <c r="A401" s="7" t="s">
        <v>1397</v>
      </c>
      <c r="B401" s="8" t="s">
        <v>19</v>
      </c>
      <c r="C401" s="8" t="s">
        <v>1398</v>
      </c>
      <c r="D401" s="8"/>
      <c r="E401" s="8"/>
      <c r="F401" s="31"/>
      <c r="G401" s="32"/>
      <c r="H401" s="8" t="s">
        <v>1355</v>
      </c>
      <c r="I401" s="8"/>
      <c r="J401" s="8"/>
      <c r="K401" s="12"/>
    </row>
    <row r="402" spans="1:11">
      <c r="A402" s="1" t="s">
        <v>1399</v>
      </c>
      <c r="B402" s="2" t="s">
        <v>19</v>
      </c>
      <c r="C402" s="2" t="s">
        <v>1400</v>
      </c>
      <c r="D402" s="2"/>
      <c r="E402" s="2"/>
      <c r="F402" s="27"/>
      <c r="G402" s="28"/>
      <c r="H402" s="2" t="s">
        <v>1355</v>
      </c>
      <c r="I402" s="2"/>
      <c r="J402" s="2"/>
      <c r="K402" s="6"/>
    </row>
    <row r="403" spans="1:11">
      <c r="A403" s="18" t="s">
        <v>1401</v>
      </c>
      <c r="B403" s="8" t="s">
        <v>356</v>
      </c>
      <c r="C403" s="8" t="s">
        <v>1402</v>
      </c>
      <c r="D403" s="8"/>
      <c r="E403" s="8"/>
      <c r="F403" s="31"/>
      <c r="G403" s="32"/>
      <c r="H403" s="8" t="s">
        <v>1355</v>
      </c>
      <c r="I403" s="8"/>
      <c r="J403" s="8"/>
      <c r="K403" s="12"/>
    </row>
    <row r="404" spans="1:11">
      <c r="A404" s="1" t="s">
        <v>1403</v>
      </c>
      <c r="B404" s="2" t="s">
        <v>19</v>
      </c>
      <c r="C404" s="2" t="s">
        <v>1404</v>
      </c>
      <c r="D404" s="2"/>
      <c r="E404" s="2"/>
      <c r="F404" s="27"/>
      <c r="G404" s="28"/>
      <c r="H404" s="2" t="s">
        <v>1355</v>
      </c>
      <c r="I404" s="2"/>
      <c r="J404" s="2"/>
      <c r="K404" s="6"/>
    </row>
    <row r="405" spans="1:11">
      <c r="A405" s="7" t="s">
        <v>1405</v>
      </c>
      <c r="B405" s="8" t="s">
        <v>19</v>
      </c>
      <c r="C405" s="8" t="s">
        <v>1406</v>
      </c>
      <c r="D405" s="8"/>
      <c r="E405" s="8"/>
      <c r="F405" s="31"/>
      <c r="G405" s="32"/>
      <c r="H405" s="8" t="s">
        <v>1355</v>
      </c>
      <c r="I405" s="8"/>
      <c r="J405" s="8"/>
      <c r="K405" s="12"/>
    </row>
    <row r="406" spans="1:11">
      <c r="A406" s="1" t="s">
        <v>1407</v>
      </c>
      <c r="B406" s="2" t="s">
        <v>356</v>
      </c>
      <c r="C406" s="2" t="s">
        <v>1408</v>
      </c>
      <c r="D406" s="2"/>
      <c r="E406" s="2"/>
      <c r="F406" s="27"/>
      <c r="G406" s="28"/>
      <c r="H406" s="2" t="s">
        <v>1355</v>
      </c>
      <c r="I406" s="2"/>
      <c r="J406" s="2"/>
      <c r="K406" s="6"/>
    </row>
    <row r="407" spans="1:11">
      <c r="A407" s="7" t="s">
        <v>443</v>
      </c>
      <c r="B407" s="8" t="s">
        <v>35</v>
      </c>
      <c r="C407" s="8" t="s">
        <v>1409</v>
      </c>
      <c r="D407" s="8" t="s">
        <v>444</v>
      </c>
      <c r="E407" s="8" t="s">
        <v>91</v>
      </c>
      <c r="F407" s="36" t="s">
        <v>12</v>
      </c>
      <c r="G407" s="11" t="s">
        <v>24</v>
      </c>
      <c r="H407" s="8"/>
      <c r="I407" s="8" t="s">
        <v>27</v>
      </c>
      <c r="J407" s="8" t="s">
        <v>476</v>
      </c>
      <c r="K407" s="12"/>
    </row>
    <row r="408" spans="1:11">
      <c r="A408" s="1" t="s">
        <v>446</v>
      </c>
      <c r="B408" s="2" t="s">
        <v>19</v>
      </c>
      <c r="C408" s="2" t="s">
        <v>1410</v>
      </c>
      <c r="D408" s="2" t="s">
        <v>447</v>
      </c>
      <c r="E408" s="2" t="s">
        <v>123</v>
      </c>
      <c r="F408" s="33" t="s">
        <v>12</v>
      </c>
      <c r="G408" s="5" t="s">
        <v>24</v>
      </c>
      <c r="H408" s="2"/>
      <c r="I408" s="2" t="s">
        <v>27</v>
      </c>
      <c r="J408" s="2" t="s">
        <v>476</v>
      </c>
      <c r="K408" s="6"/>
    </row>
    <row r="409" spans="1:11">
      <c r="A409" s="7" t="s">
        <v>449</v>
      </c>
      <c r="B409" s="8" t="s">
        <v>19</v>
      </c>
      <c r="C409" s="8" t="s">
        <v>1411</v>
      </c>
      <c r="D409" s="8" t="s">
        <v>450</v>
      </c>
      <c r="E409" s="8" t="s">
        <v>61</v>
      </c>
      <c r="F409" s="36" t="s">
        <v>12</v>
      </c>
      <c r="G409" s="11" t="s">
        <v>24</v>
      </c>
      <c r="H409" s="8"/>
      <c r="I409" s="8" t="s">
        <v>27</v>
      </c>
      <c r="J409" s="8" t="s">
        <v>476</v>
      </c>
      <c r="K409" s="12"/>
    </row>
    <row r="410" spans="1:11">
      <c r="A410" s="1" t="s">
        <v>451</v>
      </c>
      <c r="B410" s="2" t="s">
        <v>19</v>
      </c>
      <c r="C410" s="2" t="s">
        <v>1412</v>
      </c>
      <c r="D410" s="2" t="s">
        <v>450</v>
      </c>
      <c r="E410" s="2" t="s">
        <v>30</v>
      </c>
      <c r="F410" s="33" t="s">
        <v>12</v>
      </c>
      <c r="G410" s="5" t="s">
        <v>24</v>
      </c>
      <c r="H410" s="2"/>
      <c r="I410" s="2" t="s">
        <v>27</v>
      </c>
      <c r="J410" s="2" t="s">
        <v>476</v>
      </c>
      <c r="K410" s="6"/>
    </row>
    <row r="411" spans="1:11">
      <c r="A411" s="7" t="s">
        <v>456</v>
      </c>
      <c r="B411" s="8" t="s">
        <v>35</v>
      </c>
      <c r="C411" s="8" t="s">
        <v>1413</v>
      </c>
      <c r="D411" s="8" t="s">
        <v>457</v>
      </c>
      <c r="E411" s="8" t="s">
        <v>30</v>
      </c>
      <c r="F411" s="36" t="s">
        <v>12</v>
      </c>
      <c r="G411" s="11" t="s">
        <v>24</v>
      </c>
      <c r="H411" s="8"/>
      <c r="I411" s="8" t="s">
        <v>27</v>
      </c>
      <c r="J411" s="8" t="s">
        <v>476</v>
      </c>
      <c r="K411" s="12"/>
    </row>
    <row r="412" spans="1:11">
      <c r="A412" s="1" t="s">
        <v>453</v>
      </c>
      <c r="B412" s="2" t="s">
        <v>356</v>
      </c>
      <c r="C412" s="2" t="s">
        <v>1414</v>
      </c>
      <c r="D412" s="2" t="s">
        <v>454</v>
      </c>
      <c r="E412" s="2" t="s">
        <v>30</v>
      </c>
      <c r="F412" s="33" t="s">
        <v>12</v>
      </c>
      <c r="G412" s="5" t="s">
        <v>24</v>
      </c>
      <c r="H412" s="2"/>
      <c r="I412" s="2" t="s">
        <v>27</v>
      </c>
      <c r="J412" s="2" t="s">
        <v>476</v>
      </c>
      <c r="K412" s="6"/>
    </row>
    <row r="413" spans="1:11">
      <c r="A413" s="7" t="s">
        <v>458</v>
      </c>
      <c r="B413" s="8" t="s">
        <v>35</v>
      </c>
      <c r="C413" s="8" t="s">
        <v>1415</v>
      </c>
      <c r="D413" s="8" t="s">
        <v>459</v>
      </c>
      <c r="E413" s="8" t="s">
        <v>91</v>
      </c>
      <c r="F413" s="36" t="s">
        <v>12</v>
      </c>
      <c r="G413" s="11" t="s">
        <v>24</v>
      </c>
      <c r="H413" s="8"/>
      <c r="I413" s="8" t="s">
        <v>27</v>
      </c>
      <c r="J413" s="8" t="s">
        <v>476</v>
      </c>
      <c r="K413" s="12"/>
    </row>
    <row r="414" spans="1:11">
      <c r="A414" s="7" t="s">
        <v>461</v>
      </c>
      <c r="B414" s="8" t="s">
        <v>356</v>
      </c>
      <c r="C414" s="8" t="s">
        <v>1416</v>
      </c>
      <c r="D414" s="2" t="s">
        <v>462</v>
      </c>
      <c r="E414" s="2" t="s">
        <v>91</v>
      </c>
      <c r="F414" s="33" t="s">
        <v>12</v>
      </c>
      <c r="G414" s="5" t="s">
        <v>24</v>
      </c>
      <c r="H414" s="2"/>
      <c r="I414" s="2" t="s">
        <v>27</v>
      </c>
      <c r="J414" s="2" t="s">
        <v>476</v>
      </c>
      <c r="K414" s="12"/>
    </row>
    <row r="415" spans="1:11">
      <c r="A415" s="1" t="s">
        <v>464</v>
      </c>
      <c r="B415" s="2" t="s">
        <v>19</v>
      </c>
      <c r="C415" s="2" t="s">
        <v>1417</v>
      </c>
      <c r="D415" s="8" t="s">
        <v>465</v>
      </c>
      <c r="E415" s="8" t="s">
        <v>61</v>
      </c>
      <c r="F415" s="36" t="s">
        <v>12</v>
      </c>
      <c r="G415" s="11" t="s">
        <v>24</v>
      </c>
      <c r="H415" s="8"/>
      <c r="I415" s="8" t="s">
        <v>27</v>
      </c>
      <c r="J415" s="8" t="s">
        <v>476</v>
      </c>
      <c r="K415" s="6"/>
    </row>
    <row r="416" spans="1:11">
      <c r="A416" s="1" t="s">
        <v>1418</v>
      </c>
      <c r="B416" s="2" t="s">
        <v>356</v>
      </c>
      <c r="C416" s="2" t="s">
        <v>1419</v>
      </c>
      <c r="D416" s="2" t="s">
        <v>1420</v>
      </c>
      <c r="E416" s="2" t="s">
        <v>80</v>
      </c>
      <c r="F416" s="33" t="s">
        <v>12</v>
      </c>
      <c r="G416" s="5" t="s">
        <v>24</v>
      </c>
      <c r="H416" s="2"/>
      <c r="I416" s="2" t="s">
        <v>27</v>
      </c>
      <c r="J416" s="2"/>
      <c r="K416" s="6"/>
    </row>
    <row r="417" spans="1:11">
      <c r="A417" t="s">
        <v>1421</v>
      </c>
      <c r="B417" t="s">
        <v>273</v>
      </c>
      <c r="C417" t="s">
        <v>1422</v>
      </c>
      <c r="D417" t="s">
        <v>1423</v>
      </c>
      <c r="E417" t="s">
        <v>654</v>
      </c>
      <c r="F417" s="55" t="s">
        <v>12</v>
      </c>
      <c r="G417" s="45" t="s">
        <v>24</v>
      </c>
      <c r="I417" t="s">
        <v>27</v>
      </c>
      <c r="J417" t="s">
        <v>476</v>
      </c>
      <c r="K417" t="s">
        <v>1424</v>
      </c>
    </row>
  </sheetData>
  <autoFilter ref="A1:K417" xr:uid="{E63D55F6-78E6-4C4B-A203-7306DCAFB725}">
    <sortState xmlns:xlrd2="http://schemas.microsoft.com/office/spreadsheetml/2017/richdata2" ref="A2:K417">
      <sortCondition ref="C1:C417"/>
    </sortState>
  </autoFilter>
  <conditionalFormatting sqref="A156:A223">
    <cfRule type="duplicateValues" dxfId="14" priority="1"/>
  </conditionalFormatting>
  <hyperlinks>
    <hyperlink ref="F2" r:id="rId1" xr:uid="{7BFBA004-4AAE-47CB-972E-6AE7B9250427}"/>
    <hyperlink ref="G2" r:id="rId2" location="/view/e4708350-2da7-11ec-92dc-ed19b3b10cf9?_g=(filters:!(),refreshInterval:(pause:!t,value:0),time:(from:'2022-06-20T08:43:24.173475Z',to:'2022-06-20T12:43:24.173475Z'))&amp;_a=(description:'',filters:!(),fullScreenMode:!f,options:(hidePanelTitles:!f,syncColors:!f,useMargins:!t),query:(language:kuery,query:'log_id.keyword%20:%20%220e335397-5a3f-42bf-812a-794cd6c4c9ce%22%20'))" xr:uid="{6E8D83A0-74FA-42F2-B951-F686CD90BAAF}"/>
    <hyperlink ref="F3" r:id="rId3" xr:uid="{654A2B5A-3471-4AE5-9B70-E14735949D00}"/>
    <hyperlink ref="G3" r:id="rId4" location="/view/e4708350-2da7-11ec-92dc-ed19b3b10cf9?_g=(filters:!(),refreshInterval:(pause:!t,value:0),time:(from:'2022-06-20T17:00:16.201557Z',to:'2022-06-20T21:00:16.201557Z'))&amp;_a=(description:'',filters:!(),fullScreenMode:!f,options:(hidePanelTitles:!f,syncColors:!f,useMargins:!t),query:(language:kuery,query:'log_id.keyword%20:%20%22f7620a9a-8788-44b0-9b0f-1fe1af17c34e%22%20'))" xr:uid="{D8D74286-F360-46D6-926C-E6BBF612ACE1}"/>
    <hyperlink ref="F4" r:id="rId5" xr:uid="{AFE6C2BB-69AC-4EA9-9E1D-57220E07E263}"/>
    <hyperlink ref="G4" r:id="rId6" location="/view/e4708350-2da7-11ec-92dc-ed19b3b10cf9?_g=(filters:!(),refreshInterval:(pause:!t,value:0),time:(from:'2022-06-20T17:07:52.784166Z',to:'2022-06-20T21:07:52.784166Z'))&amp;_a=(description:'',filters:!(),fullScreenMode:!f,options:(hidePanelTitles:!f,syncColors:!f,useMargins:!t),query:(language:kuery,query:'log_id.keyword%20:%20%22d38619be-08e1-4e4d-b91d-75543b2dfd50%22%20'))" xr:uid="{2B687342-94A6-4F07-BBFB-51E41A3B2901}"/>
    <hyperlink ref="F5" r:id="rId7" xr:uid="{9E553305-5209-4A30-9DE1-67CA35839D9E}"/>
    <hyperlink ref="G5" r:id="rId8" location="/view/e4708350-2da7-11ec-92dc-ed19b3b10cf9?_g=(filters:!(),refreshInterval:(pause:!t,value:0),time:(from:'2022-06-20T17:08:35.346447Z',to:'2022-06-20T21:08:35.346447Z'))&amp;_a=(description:'',filters:!(),fullScreenMode:!f,options:(hidePanelTitles:!f,syncColors:!f,useMargins:!t),query:(language:kuery,query:'log_id.keyword%20:%20%22e87b647b-575c-44b0-9818-3664b797f2e6%22%20'))" xr:uid="{DBAFFF06-6A7E-4F39-AE71-EB6891518E21}"/>
    <hyperlink ref="F7" r:id="rId9" xr:uid="{225BA88F-1C70-4CD0-8C98-A3F12BB48545}"/>
    <hyperlink ref="G7" r:id="rId10" location="/view/e4708350-2da7-11ec-92dc-ed19b3b10cf9?_g=(filters:!(),refreshInterval:(pause:!t,value:0),time:(from:'2022-06-20T17:21:37.504206Z',to:'2022-06-20T21:21:37.504206Z'))&amp;_a=(description:'',filters:!(),fullScreenMode:!f,options:(hidePanelTitles:!f,syncColors:!f,useMargins:!t),query:(language:kuery,query:'log_id.keyword%20:%20%228a4714b7-8ba2-4f19-a4df-b061bcc66be8%22%20'))" xr:uid="{4F6394D1-CED2-4C5D-B27B-9B8F895FF9E1}"/>
    <hyperlink ref="F6" r:id="rId11" xr:uid="{88774749-13A7-4FFC-99C2-A3B6CCEADE14}"/>
    <hyperlink ref="G6" r:id="rId12" location="/view/e4708350-2da7-11ec-92dc-ed19b3b10cf9?_g=(filters:!(),refreshInterval:(pause:!t,value:0),time:(from:'2022-06-20T17:21:09.434392Z',to:'2022-06-20T21:21:09.434392Z'))&amp;_a=(description:'',filters:!(),fullScreenMode:!f,options:(hidePanelTitles:!f,syncColors:!f,useMargins:!t),query:(language:kuery,query:'log_id.keyword%20:%20%2203965871-66ad-4e0f-8692-28b0a095a2bc%22%20'))" xr:uid="{4C9E8FB6-64DD-4662-8F8E-C9C3A17C704C}"/>
    <hyperlink ref="F8" r:id="rId13" xr:uid="{909BBE40-9250-4D0A-9AB6-447346E9E7A1}"/>
    <hyperlink ref="G8" r:id="rId14" location="/view/e4708350-2da7-11ec-92dc-ed19b3b10cf9?_g=(filters:!(),refreshInterval:(pause:!t,value:0),time:(from:'2022-06-20T17:22:28.295850Z',to:'2022-06-20T21:22:28.295850Z'))&amp;_a=(description:'',filters:!(),fullScreenMode:!f,options:(hidePanelTitles:!f,syncColors:!f,useMargins:!t),query:(language:kuery,query:'log_id.keyword%20:%20%22bb22ea56-35c5-4d17-9f39-24bd85127ecb%22%20'))" xr:uid="{A4F06C2A-EECB-4EB1-8A7A-B4C9380B3F7E}"/>
    <hyperlink ref="F9" r:id="rId15" xr:uid="{9A9ED5F2-0E99-4562-89CE-3C079E8D7892}"/>
    <hyperlink ref="G9" r:id="rId16" location="/view/e4708350-2da7-11ec-92dc-ed19b3b10cf9?_g=(filters:!(),refreshInterval:(pause:!t,value:0),time:(from:'2022-06-21T18:49:38.715672Z',to:'2022-06-21T22:49:38.715672Z'))&amp;_a=(description:'',filters:!(),fullScreenMode:!f,options:(hidePanelTitles:!f,syncColors:!f,useMargins:!t),query:(language:kuery,query:'log_id.keyword%20:%20%22aca94558-c807-4d20-b8a8-eb1ac90a823d%22%20'))" xr:uid="{1AA00061-1758-4C4F-B680-134E186CD019}"/>
    <hyperlink ref="F10" r:id="rId17" xr:uid="{C8141D40-C821-4D9B-9B54-62A584DB63DF}"/>
    <hyperlink ref="G10" r:id="rId18" location="/view/e4708350-2da7-11ec-92dc-ed19b3b10cf9?_g=(filters:!(),refreshInterval:(pause:!t,value:0),time:(from:'2022-06-27T19:35:51.888262Z',to:'2022-06-27T23:35:51.888262Z'))&amp;_a=(description:'',filters:!(),fullScreenMode:!f,options:(hidePanelTitles:!f,syncColors:!f,useMargins:!t),query:(language:kuery,query:'log_id.keyword%20:%20%2245f03c2f-810b-412b-ae9f-a0f3be8c9523%22%20'))" xr:uid="{6331AE5A-C5F1-4451-9067-CAFCBBBD56D2}"/>
    <hyperlink ref="F15" r:id="rId19" xr:uid="{AB3C5597-E671-476E-B6D9-95502AB62A59}"/>
    <hyperlink ref="G15" r:id="rId20" location="/view/e4708350-2da7-11ec-92dc-ed19b3b10cf9?_g=(filters:!(),refreshInterval:(pause:!t,value:0),time:(from:'2022-06-28T17:15:19.112233Z',to:'2022-06-28T21:15:19.112233Z'))&amp;_a=(description:'',filters:!(),fullScreenMode:!f,options:(hidePanelTitles:!f,syncColors:!f,useMargins:!t),query:(language:kuery,query:'log_id.keyword%20:%20%220e197814-954c-439a-89c1-a274f62b4381%22%20'))" xr:uid="{74BF102B-D7BC-46DD-A941-2448BD7DC84E}"/>
    <hyperlink ref="F14" r:id="rId21" xr:uid="{823B3752-5E81-4579-BAB9-BD761ACDF6BC}"/>
    <hyperlink ref="G14" r:id="rId22" location="/view/e4708350-2da7-11ec-92dc-ed19b3b10cf9?_g=(filters:!(),refreshInterval:(pause:!t,value:0),time:(from:'2022-06-28T17:08:57.227663Z',to:'2022-06-28T21:08:57.227663Z'))&amp;_a=(description:'',filters:!(),fullScreenMode:!f,options:(hidePanelTitles:!f,syncColors:!f,useMargins:!t),query:(language:kuery,query:'log_id.keyword%20:%20%22f689de62-203a-4048-843e-bfdc53a1a446%22%20'))" xr:uid="{948DAF07-DE7D-441E-8535-77702D549A6A}"/>
    <hyperlink ref="F13" r:id="rId23" xr:uid="{C21C397B-0837-4878-A4D5-D126E3EEFADD}"/>
    <hyperlink ref="G13" r:id="rId24" location="/view/e4708350-2da7-11ec-92dc-ed19b3b10cf9?_g=(filters:!(),refreshInterval:(pause:!t,value:0),time:(from:'2022-06-28T11:29:31.654920Z',to:'2022-06-28T15:29:31.654920Z'))&amp;_a=(description:'',filters:!(),fullScreenMode:!f,options:(hidePanelTitles:!f,syncColors:!f,useMargins:!t),query:(language:kuery,query:'log_id.keyword%20:%20%22bacf860b-1883-449b-afc0-c56408be35cc%22%20'))" xr:uid="{8474E711-019D-4CC5-B12A-CDCAB7143240}"/>
    <hyperlink ref="F12" r:id="rId25" xr:uid="{498A12EF-43FB-4976-93D3-DD4AF47E7CB2}"/>
    <hyperlink ref="G12" r:id="rId26" location="/view/e4708350-2da7-11ec-92dc-ed19b3b10cf9?_g=(filters:!(),refreshInterval:(pause:!t,value:0),time:(from:'2022-06-28T11:28:23.398200Z',to:'2022-06-28T15:28:23.398200Z'))&amp;_a=(description:'',filters:!(),fullScreenMode:!f,options:(hidePanelTitles:!f,syncColors:!f,useMargins:!t),query:(language:kuery,query:'log_id.keyword%20:%20%22692fa9c9-7cfd-445f-b276-0c246f0f66b7%22%20'))" xr:uid="{8673569F-29CF-44C2-9165-4EBF8FAF5343}"/>
    <hyperlink ref="F11" r:id="rId27" xr:uid="{CA07D936-F7CF-4404-B21A-A92A6CEEC839}"/>
    <hyperlink ref="G11" r:id="rId28" location="/view/e4708350-2da7-11ec-92dc-ed19b3b10cf9?_g=(filters:!(),refreshInterval:(pause:!t,value:0),time:(from:'2022-06-28T11:24:47.396212Z',to:'2022-06-28T15:24:47.396212Z'))&amp;_a=(description:'',filters:!(),fullScreenMode:!f,options:(hidePanelTitles:!f,syncColors:!f,useMargins:!t),query:(language:kuery,query:'log_id.keyword%20:%20%22ce6f0103-6ea8-4679-877a-a2d9f75131a5%22%20'))" xr:uid="{80EE6D88-2DCB-4128-B62D-E91D3CD69FB1}"/>
    <hyperlink ref="F16" r:id="rId29" xr:uid="{C0131850-C728-4102-80ED-C5EA756E06ED}"/>
    <hyperlink ref="G16" r:id="rId30" location="/view/e4708350-2da7-11ec-92dc-ed19b3b10cf9?_g=(filters:!(),refreshInterval:(pause:!t,value:0),time:(from:'2022-06-29T01:51:57.491584Z',to:'2022-06-29T05:51:57.491584Z'))&amp;_a=(description:'',filters:!(),fullScreenMode:!f,options:(hidePanelTitles:!f,syncColors:!f,useMargins:!t),query:(language:kuery,query:'log_id.keyword%20:%20%224031f5d6-d715-4b69-8395-4a007b80aa1a%22%20'))" xr:uid="{BFBFEAD7-270F-43C2-962F-4E59808C9397}"/>
    <hyperlink ref="F17" r:id="rId31" xr:uid="{0CCB6423-4DF4-4ADE-8836-63C65AD24775}"/>
    <hyperlink ref="G17" r:id="rId32" location="/view/e4708350-2da7-11ec-92dc-ed19b3b10cf9?_g=(filters:!(),refreshInterval:(pause:!t,value:0),time:(from:'2022-07-04T17:10:59.571253Z',to:'2022-07-04T21:10:59.571253Z'))&amp;_a=(description:'',filters:!(),fullScreenMode:!f,options:(hidePanelTitles:!f,syncColors:!f,useMargins:!t),query:(language:kuery,query:'log_id.keyword%20:%20%2224474d47-f03c-4e66-820f-e746c5f022b8%22%20'))" xr:uid="{CD629B1A-0F96-4EDA-B673-F479A977E2A3}"/>
    <hyperlink ref="F22" r:id="rId33" xr:uid="{DEE6E27E-7576-40F6-B792-5EF507EA998D}"/>
    <hyperlink ref="G22" r:id="rId34" location="/view/e4708350-2da7-11ec-92dc-ed19b3b10cf9?_g=(filters:!(),refreshInterval:(pause:!t,value:0),time:(from:'2022-07-15T13:11:22.883754Z',to:'2022-07-15T17:11:22.883754Z'))&amp;_a=(description:'',filters:!(),fullScreenMode:!f,options:(hidePanelTitles:!f,syncColors:!f,useMargins:!t),query:(language:kuery,query:'log_id.keyword%20:%20%22f708c860-022b-4e7e-9598-d6121f954c33%22%20'))" xr:uid="{78C01436-A638-4EFB-BA44-81416320E250}"/>
    <hyperlink ref="F21" r:id="rId35" xr:uid="{30A0E6ED-3054-4438-9B4F-B293953B415C}"/>
    <hyperlink ref="G21" r:id="rId36" location="/view/e4708350-2da7-11ec-92dc-ed19b3b10cf9?_g=(filters:!(),refreshInterval:(pause:!t,value:0),time:(from:'2022-07-15T12:57:59.311097Z',to:'2022-07-15T16:57:59.311097Z'))&amp;_a=(description:'',filters:!(),fullScreenMode:!f,options:(hidePanelTitles:!f,syncColors:!f,useMargins:!t),query:(language:kuery,query:'log_id.keyword%20:%20%22d9c39ff0-802e-42e6-8a86-255909063dda%22%20'))" xr:uid="{44762299-3AFF-42EC-8267-FA308B34595D}"/>
    <hyperlink ref="F20" r:id="rId37" xr:uid="{B64E176E-7AC9-4561-83CC-399114D69502}"/>
    <hyperlink ref="G20" r:id="rId38" location="/view/e4708350-2da7-11ec-92dc-ed19b3b10cf9?_g=(filters:!(),refreshInterval:(pause:!t,value:0),time:(from:'2022-07-15T12:35:07.867202Z',to:'2022-07-15T16:35:07.867202Z'))&amp;_a=(description:'',filters:!(),fullScreenMode:!f,options:(hidePanelTitles:!f,syncColors:!f,useMargins:!t),query:(language:kuery,query:'log_id.keyword%20:%20%229a486429-ff06-46a2-b24e-2924dfe848c9%22%20'))" xr:uid="{69AA93E8-42C0-4473-AC5E-379B8162D88F}"/>
    <hyperlink ref="F19" r:id="rId39" xr:uid="{C45B74D8-9EDA-482E-8687-9E47938529B4}"/>
    <hyperlink ref="G19" r:id="rId40" location="/view/e4708350-2da7-11ec-92dc-ed19b3b10cf9?_g=(filters:!(),refreshInterval:(pause:!t,value:0),time:(from:'2022-07-15T12:32:53.296688Z',to:'2022-07-15T16:32:53.296688Z'))&amp;_a=(description:'',filters:!(),fullScreenMode:!f,options:(hidePanelTitles:!f,syncColors:!f,useMargins:!t),query:(language:kuery,query:'log_id.keyword%20:%20%226cb0f921-0594-4702-95b2-2de1cd9e3f76%22%20'))" xr:uid="{A21794EC-C5FB-4647-9FE8-D27E8DD7213E}"/>
    <hyperlink ref="F18" r:id="rId41" xr:uid="{D53A8F8C-B021-4695-B453-94566C7A7BEB}"/>
    <hyperlink ref="G18" r:id="rId42" location="/view/e4708350-2da7-11ec-92dc-ed19b3b10cf9?_g=(filters:!(),refreshInterval:(pause:!t,value:0),time:(from:'2022-07-15T12:28:05.049831Z',to:'2022-07-15T16:28:05.049831Z'))&amp;_a=(description:'',filters:!(),fullScreenMode:!f,options:(hidePanelTitles:!f,syncColors:!f,useMargins:!t),query:(language:kuery,query:'log_id.keyword%20:%20%2288ca98aa-e70c-4ace-ba37-b9fe42ca6313%22%20'))" xr:uid="{0342AB08-5E60-486D-9A1B-7461474AD88E}"/>
    <hyperlink ref="F27" r:id="rId43" xr:uid="{900521E0-FB55-40F3-8008-A513F36662CD}"/>
    <hyperlink ref="G27" r:id="rId44" location="/view/e4708350-2da7-11ec-92dc-ed19b3b10cf9?_g=(filters:!(),refreshInterval:(pause:!t,value:0),time:(from:'2022-07-18T17:36:41.589995Z',to:'2022-07-18T21:36:41.589995Z'))&amp;_a=(description:'',filters:!(),fullScreenMode:!f,options:(hidePanelTitles:!f,syncColors:!f,useMargins:!t),query:(language:kuery,query:'log_id.keyword%20:%20%22774b4522-2c62-41b2-ab8c-90f75e70eabb%22%20'))" xr:uid="{96DC1545-05BD-4000-BDBB-06829449176F}"/>
    <hyperlink ref="F26" r:id="rId45" xr:uid="{1F75A319-F133-41A3-ABC6-45FA5F147B71}"/>
    <hyperlink ref="G26" r:id="rId46" location="/view/e4708350-2da7-11ec-92dc-ed19b3b10cf9?_g=(filters:!(),refreshInterval:(pause:!t,value:0),time:(from:'2022-07-18T17:06:23.734761Z',to:'2022-07-18T21:06:23.734761Z'))&amp;_a=(description:'',filters:!(),fullScreenMode:!f,options:(hidePanelTitles:!f,syncColors:!f,useMargins:!t),query:(language:kuery,query:'log_id.keyword%20:%20%224fac7a0c-6a34-43b0-aa0a-d7c29ab2b767%22%20'))" xr:uid="{CA9049DE-B9CD-411D-86B7-E2A2E04D97E9}"/>
    <hyperlink ref="F25" r:id="rId47" xr:uid="{5218D44E-A8D5-4C01-B905-2FBAB93701B7}"/>
    <hyperlink ref="G25" r:id="rId48" location="/view/e4708350-2da7-11ec-92dc-ed19b3b10cf9?_g=(filters:!(),refreshInterval:(pause:!t,value:0),time:(from:'2022-07-18T17:05:54.812351Z',to:'2022-07-18T21:05:54.812351Z'))&amp;_a=(description:'',filters:!(),fullScreenMode:!f,options:(hidePanelTitles:!f,syncColors:!f,useMargins:!t),query:(language:kuery,query:'log_id.keyword%20:%20%221b0588bd-29bf-49d2-8c40-8f814e735a28%22%20'))" xr:uid="{4ADAEE8F-B0E5-481B-8EB5-3E418CDE0DB1}"/>
    <hyperlink ref="F24" r:id="rId49" xr:uid="{CD435A16-EF99-46FA-8AD7-7CD101DFE542}"/>
    <hyperlink ref="G24" r:id="rId50" location="/view/e4708350-2da7-11ec-92dc-ed19b3b10cf9?_g=(filters:!(),refreshInterval:(pause:!t,value:0),time:(from:'2022-07-18T17:01:23.670395Z',to:'2022-07-18T21:01:23.670395Z'))&amp;_a=(description:'',filters:!(),fullScreenMode:!f,options:(hidePanelTitles:!f,syncColors:!f,useMargins:!t),query:(language:kuery,query:'log_id.keyword%20:%20%220aff9435-84ff-4f73-8981-8e0ab0194a34%22%20'))" xr:uid="{4BCB09A2-B791-498A-BE68-056914610348}"/>
    <hyperlink ref="F23" r:id="rId51" xr:uid="{2DD4643C-BDC5-428F-BB92-5049A3988AB1}"/>
    <hyperlink ref="G23" r:id="rId52" location="/view/e4708350-2da7-11ec-92dc-ed19b3b10cf9?_g=(filters:!(),refreshInterval:(pause:!t,value:0),time:(from:'2022-07-18T16:59:41.201168Z',to:'2022-07-18T20:59:41.201168Z'))&amp;_a=(description:'',filters:!(),fullScreenMode:!f,options:(hidePanelTitles:!f,syncColors:!f,useMargins:!t),query:(language:kuery,query:'log_id.keyword%20:%20%2206f6872c-b3b6-4f47-a83e-39e733bbb8de%22%20'))" xr:uid="{0BB8E7DE-5A07-4AD5-853B-C66B793C181F}"/>
    <hyperlink ref="F32" r:id="rId53" xr:uid="{6EA3569B-4569-42BD-9D38-701438029FE8}"/>
    <hyperlink ref="G32" r:id="rId54" location="/view/e4708350-2da7-11ec-92dc-ed19b3b10cf9?_g=(filters:!(),refreshInterval:(pause:!t,value:0),time:(from:'2022-07-19T03:40:21.724682Z',to:'2022-07-19T07:40:21.724682Z'))&amp;_a=(description:'',filters:!(),fullScreenMode:!f,options:(hidePanelTitles:!f,syncColors:!f,useMargins:!t),query:(language:kuery,query:'log_id.keyword%20:%20%220ca6af7d-7d67-4654-9554-996ad2bd3706%22%20'))" xr:uid="{708292B3-51C3-4906-8C74-D82AAA29B3FD}"/>
    <hyperlink ref="F31" r:id="rId55" xr:uid="{65F43FE7-D300-4476-AC67-4AB5B8ADF020}"/>
    <hyperlink ref="G31" r:id="rId56" location="/view/e4708350-2da7-11ec-92dc-ed19b3b10cf9?_g=(filters:!(),refreshInterval:(pause:!t,value:0),time:(from:'2022-07-19T03:35:33.668810Z',to:'2022-07-19T07:35:33.668810Z'))&amp;_a=(description:'',filters:!(),fullScreenMode:!f,options:(hidePanelTitles:!f,syncColors:!f,useMargins:!t),query:(language:kuery,query:'log_id.keyword%20:%20%22113c2fb5-c54d-4be8-a5fc-7fe82ec85ca5%22%20'))" xr:uid="{1797431B-9B5E-4360-8C93-829B0AFD483D}"/>
    <hyperlink ref="F30" r:id="rId57" xr:uid="{FED6B46E-D7F3-46A8-B2C1-4C3BD472C0E0}"/>
    <hyperlink ref="G30" r:id="rId58" location="/view/e4708350-2da7-11ec-92dc-ed19b3b10cf9?_g=(filters:!(),refreshInterval:(pause:!t,value:0),time:(from:'2022-07-19T03:34:54.879238Z',to:'2022-07-19T07:34:54.879238Z'))&amp;_a=(description:'',filters:!(),fullScreenMode:!f,options:(hidePanelTitles:!f,syncColors:!f,useMargins:!t),query:(language:kuery,query:'log_id.keyword%20:%20%22a8af51d6-0a22-4305-af58-f91d6d234ba3%22%20'))" xr:uid="{42F13CF8-ED68-4845-992C-08D73C6C1A43}"/>
    <hyperlink ref="F29" r:id="rId59" xr:uid="{D5C968A2-57C6-430E-A1A0-3F26D3523625}"/>
    <hyperlink ref="G29" r:id="rId60" location="/view/e4708350-2da7-11ec-92dc-ed19b3b10cf9?_g=(filters:!(),refreshInterval:(pause:!t,value:0),time:(from:'2022-07-19T03:20:38.202382Z',to:'2022-07-19T07:20:38.202382Z'))&amp;_a=(description:'',filters:!(),fullScreenMode:!f,options:(hidePanelTitles:!f,syncColors:!f,useMargins:!t),query:(language:kuery,query:'log_id.keyword%20:%20%22b759d054-edf1-419c-b1d6-60820ab8c71b%22%20'))" xr:uid="{955B9A82-E40E-4C50-B376-AE97086E117C}"/>
    <hyperlink ref="F28" r:id="rId61" xr:uid="{6677964E-DBE2-4CDF-8C67-B28788790451}"/>
    <hyperlink ref="G28" r:id="rId62" location="/view/e4708350-2da7-11ec-92dc-ed19b3b10cf9?_g=(filters:!(),refreshInterval:(pause:!t,value:0),time:(from:'2022-07-19T03:16:58.222657Z',to:'2022-07-19T07:16:58.222657Z'))&amp;_a=(description:'',filters:!(),fullScreenMode:!f,options:(hidePanelTitles:!f,syncColors:!f,useMargins:!t),query:(language:kuery,query:'log_id.keyword%20:%20%227d6fd532-1953-4a07-9653-3eed666d1b10%22%20'))" xr:uid="{4091FA89-4C34-4486-A6B6-BC3B5363A382}"/>
    <hyperlink ref="F33" r:id="rId63" xr:uid="{F5A1EC7D-537C-428B-A679-AC6651F4CC7B}"/>
    <hyperlink ref="G33" r:id="rId64" location="/view/e4708350-2da7-11ec-92dc-ed19b3b10cf9?_g=(filters:!(),refreshInterval:(pause:!t,value:0),time:(from:'2022-07-19T07:39:03.563012Z',to:'2022-07-19T11:39:03.563012Z'))&amp;_a=(description:'',filters:!(),fullScreenMode:!f,options:(hidePanelTitles:!f,syncColors:!f,useMargins:!t),query:(language:kuery,query:'log_id.keyword%20:%20%22699bec61-71a5-42ba-8e6a-84fe2a37e130%22%20'))" xr:uid="{FE16FB25-B404-4693-91CB-D6C88E6E9D2F}"/>
    <hyperlink ref="F43" r:id="rId65" xr:uid="{879A9F65-5B41-4040-95A5-370F1A233BED}"/>
    <hyperlink ref="G43" r:id="rId66" location="/view/e4708350-2da7-11ec-92dc-ed19b3b10cf9?_g=(filters:!(),refreshInterval:(pause:!t,value:0),time:(from:'2022-07-20T14:24:05.974726Z',to:'2022-07-20T18:24:05.974726Z'))&amp;_a=(description:'',filters:!(),fullScreenMode:!f,options:(hidePanelTitles:!f,syncColors:!f,useMargins:!t),query:(language:kuery,query:'log_id.keyword%20:%20%22d07b56d5-f5cb-47e4-9b11-01720a23bad9%22%20'))" xr:uid="{E02C8779-86EB-44A2-9A0C-612A42569D67}"/>
    <hyperlink ref="F42" r:id="rId67" xr:uid="{4829C60C-CF5C-4F3C-A23D-1A833CBF8559}"/>
    <hyperlink ref="G42" r:id="rId68" location="/view/e4708350-2da7-11ec-92dc-ed19b3b10cf9?_g=(filters:!(),refreshInterval:(pause:!t,value:0),time:(from:'2022-07-20T13:36:48.130556Z',to:'2022-07-20T17:36:48.130556Z'))&amp;_a=(description:'',filters:!(),fullScreenMode:!f,options:(hidePanelTitles:!f,syncColors:!f,useMargins:!t),query:(language:kuery,query:'log_id.keyword%20:%20%225b03c284-6521-48a8-8028-e6bab7ac95e2%22%20'))" xr:uid="{45A8D415-52B0-4643-8D29-A8505C872AB3}"/>
    <hyperlink ref="F41" r:id="rId69" xr:uid="{45A49E0A-703E-47B8-AFCE-79FEA4F4C40C}"/>
    <hyperlink ref="G41" r:id="rId70" location="/view/e4708350-2da7-11ec-92dc-ed19b3b10cf9?_g=(filters:!(),refreshInterval:(pause:!t,value:0),time:(from:'2022-07-20T13:35:26.167196Z',to:'2022-07-20T17:35:26.167196Z'))&amp;_a=(description:'',filters:!(),fullScreenMode:!f,options:(hidePanelTitles:!f,syncColors:!f,useMargins:!t),query:(language:kuery,query:'log_id.keyword%20:%20%2254247cdc-84e6-4377-bd25-c8bb21e11b41%22%20'))" xr:uid="{154270CB-082F-439A-B82C-6D93063C07F8}"/>
    <hyperlink ref="F40" r:id="rId71" xr:uid="{2DB63B45-8FBE-4090-96EE-917D036843C2}"/>
    <hyperlink ref="G40" r:id="rId72" location="/view/e4708350-2da7-11ec-92dc-ed19b3b10cf9?_g=(filters:!(),refreshInterval:(pause:!t,value:0),time:(from:'2022-07-20T13:33:58.511278Z',to:'2022-07-20T17:33:58.511278Z'))&amp;_a=(description:'',filters:!(),fullScreenMode:!f,options:(hidePanelTitles:!f,syncColors:!f,useMargins:!t),query:(language:kuery,query:'log_id.keyword%20:%20%22f1814003-c7c0-4f33-ab88-2b681c8fde85%22%20'))" xr:uid="{02FA74C4-68F5-4A3D-B4BE-9352519D2DFD}"/>
    <hyperlink ref="F39" r:id="rId73" xr:uid="{3F54DEFC-7A4B-4084-B375-A2500BF2DD4F}"/>
    <hyperlink ref="G39" r:id="rId74" location="/view/e4708350-2da7-11ec-92dc-ed19b3b10cf9?_g=(filters:!(),refreshInterval:(pause:!t,value:0),time:(from:'2022-07-20T13:32:11.206610Z',to:'2022-07-20T17:32:11.206610Z'))&amp;_a=(description:'',filters:!(),fullScreenMode:!f,options:(hidePanelTitles:!f,syncColors:!f,useMargins:!t),query:(language:kuery,query:'log_id.keyword%20:%20%2242ef46a5-3233-4215-b9a2-8cf6c22fb841%22%20'))" xr:uid="{238E60EC-354A-450A-A6B2-8E9996D10AE0}"/>
    <hyperlink ref="F38" r:id="rId75" xr:uid="{42127B46-D1FB-46CA-9BFE-9D1743027909}"/>
    <hyperlink ref="G38" r:id="rId76" location="/view/e4708350-2da7-11ec-92dc-ed19b3b10cf9?_g=(filters:!(),refreshInterval:(pause:!t,value:0),time:(from:'2022-07-20T13:31:22.471954Z',to:'2022-07-20T17:31:22.471954Z'))&amp;_a=(description:'',filters:!(),fullScreenMode:!f,options:(hidePanelTitles:!f,syncColors:!f,useMargins:!t),query:(language:kuery,query:'log_id.keyword%20:%20%229b980f0a-d8cd-4d8c-a423-f56c8703f23d%22%20'))" xr:uid="{E592C91C-AC0A-4B37-AF90-96869DA99B82}"/>
    <hyperlink ref="F37" r:id="rId77" xr:uid="{1070729B-3885-4B5F-935C-CF7822114944}"/>
    <hyperlink ref="G37" r:id="rId78" location="/view/e4708350-2da7-11ec-92dc-ed19b3b10cf9?_g=(filters:!(),refreshInterval:(pause:!t,value:0),time:(from:'2022-07-20T13:29:47.820458Z',to:'2022-07-20T17:29:47.820458Z'))&amp;_a=(description:'',filters:!(),fullScreenMode:!f,options:(hidePanelTitles:!f,syncColors:!f,useMargins:!t),query:(language:kuery,query:'log_id.keyword%20:%20%22520f53ce-126a-486f-9fbf-7dc95a0cf5d9%22%20'))" xr:uid="{F6A97885-56C7-4DA5-882E-2F3A54C090C7}"/>
    <hyperlink ref="F36" r:id="rId79" xr:uid="{FDA5F31E-A24E-4224-8489-2A0594F9813C}"/>
    <hyperlink ref="G36" r:id="rId80" location="/view/e4708350-2da7-11ec-92dc-ed19b3b10cf9?_g=(filters:!(),refreshInterval:(pause:!t,value:0),time:(from:'2022-07-20T13:27:48.489459Z',to:'2022-07-20T17:27:48.489459Z'))&amp;_a=(description:'',filters:!(),fullScreenMode:!f,options:(hidePanelTitles:!f,syncColors:!f,useMargins:!t),query:(language:kuery,query:'log_id.keyword%20:%20%223271f7cd-d764-4ae0-b22d-817552b2f30e%22%20'))" xr:uid="{C5710E04-4DBE-41A6-8EEC-2415666DED5B}"/>
    <hyperlink ref="F35" r:id="rId81" xr:uid="{E54D8338-8E1E-49C6-BE50-E785D10B4906}"/>
    <hyperlink ref="G35" r:id="rId82" location="/view/e4708350-2da7-11ec-92dc-ed19b3b10cf9?_g=(filters:!(),refreshInterval:(pause:!t,value:0),time:(from:'2022-07-20T13:03:00.890434Z',to:'2022-07-20T17:03:00.890434Z'))&amp;_a=(description:'',filters:!(),fullScreenMode:!f,options:(hidePanelTitles:!f,syncColors:!f,useMargins:!t),query:(language:kuery,query:'log_id.keyword%20:%20%228a0fa1f7-b52e-4b75-9d63-120339e04995%22%20'))" xr:uid="{DC959C04-F561-4733-8DCF-08EADAF8461B}"/>
    <hyperlink ref="F34" r:id="rId83" xr:uid="{EAD0D06F-A94A-4F2F-AE01-33D970C891FC}"/>
    <hyperlink ref="G34" r:id="rId84" location="/view/e4708350-2da7-11ec-92dc-ed19b3b10cf9?_g=(filters:!(),refreshInterval:(pause:!t,value:0),time:(from:'2022-07-20T09:04:00.751568Z',to:'2022-07-20T13:04:00.751568Z'))&amp;_a=(description:'',filters:!(),fullScreenMode:!f,options:(hidePanelTitles:!f,syncColors:!f,useMargins:!t),query:(language:kuery,query:'log_id.keyword%20:%20%222727dfcc-2fe7-4f4f-bded-518372739ba9%22%20'))" xr:uid="{BA6EB526-DCD0-442C-A210-5E60EC9F0CC6}"/>
    <hyperlink ref="F44" r:id="rId85" xr:uid="{34FFF877-BA63-439F-A2C6-A59D1DB37106}"/>
    <hyperlink ref="G44" r:id="rId86" location="/view/e4708350-2da7-11ec-92dc-ed19b3b10cf9?_g=(filters:!(),refreshInterval:(pause:!t,value:0),time:(from:'2022-07-22T12:44:20.012618Z',to:'2022-07-22T16:44:20.012618Z'))&amp;_a=(description:'',filters:!(),fullScreenMode:!f,options:(hidePanelTitles:!f,syncColors:!f,useMargins:!t),query:(language:kuery,query:'log_id.keyword%20:%20%2246e17577-08e0-42c2-8d58-8265473d57f6%22%20'))" xr:uid="{B9381289-FEB1-4000-A3EC-5EAA1B3BE9EE}"/>
    <hyperlink ref="F46" r:id="rId87" xr:uid="{1CA7331A-F19E-45B8-92FB-28FD9775064C}"/>
    <hyperlink ref="G46" r:id="rId88" location="/view/e4708350-2da7-11ec-92dc-ed19b3b10cf9?_g=(filters:!(),refreshInterval:(pause:!t,value:0),time:(from:'2022-07-23T22:08:32.223499Z',to:'2022-07-24T02:08:32.223499Z'))&amp;_a=(description:'',filters:!(),fullScreenMode:!f,options:(hidePanelTitles:!f,syncColors:!f,useMargins:!t),query:(language:kuery,query:'log_id.keyword%20:%20%222cd50b9f-bd52-4056-bb43-3cc3a13e78f3%22%20'))" xr:uid="{CFE45A6D-F736-4795-A264-B324E6EFB38C}"/>
    <hyperlink ref="F45" r:id="rId89" xr:uid="{8BD354FB-3D81-44A4-A60B-07AD7C1A7ED1}"/>
    <hyperlink ref="G45" r:id="rId90" location="/view/e4708350-2da7-11ec-92dc-ed19b3b10cf9?_g=(filters:!(),refreshInterval:(pause:!t,value:0),time:(from:'2022-07-23T16:06:16.144619Z',to:'2022-07-23T20:06:16.144619Z'))&amp;_a=(description:'',filters:!(),fullScreenMode:!f,options:(hidePanelTitles:!f,syncColors:!f,useMargins:!t),query:(language:kuery,query:'log_id.keyword%20:%20%2296bf7a4a-8a17-4ac5-b370-20ec8f2e3d95%22%20'))" xr:uid="{D7DE825F-52B7-46A0-BD76-0E4518681CC1}"/>
    <hyperlink ref="F49" r:id="rId91" xr:uid="{856E7788-7676-4B00-A98C-13483AF5A9EB}"/>
    <hyperlink ref="G49" r:id="rId92" location="/view/e4708350-2da7-11ec-92dc-ed19b3b10cf9?_g=(filters:!(),refreshInterval:(pause:!t,value:0),time:(from:'2022-07-25T06:46:59.110850Z',to:'2022-07-25T10:46:59.110850Z'))&amp;_a=(description:'',filters:!(),fullScreenMode:!f,options:(hidePanelTitles:!f,syncColors:!f,useMargins:!t),query:(language:kuery,query:'log_id.keyword%20:%20%22d95c5cd1-a537-46e8-ab19-c701621dbeea%22%20'))" xr:uid="{3C5A31DB-6ABA-4ABE-AB0F-3CB7B06984FD}"/>
    <hyperlink ref="F48" r:id="rId93" xr:uid="{3D898A3B-3AB4-4B06-9953-4A4F98AC2441}"/>
    <hyperlink ref="G48" r:id="rId94" location="/view/e4708350-2da7-11ec-92dc-ed19b3b10cf9?_g=(filters:!(),refreshInterval:(pause:!t,value:0),time:(from:'2022-07-25T05:46:30.603944Z',to:'2022-07-25T09:46:30.603944Z'))&amp;_a=(description:'',filters:!(),fullScreenMode:!f,options:(hidePanelTitles:!f,syncColors:!f,useMargins:!t),query:(language:kuery,query:'log_id.keyword%20:%20%22b64bab63-3a94-4d45-a3ce-ad0f4f0db24f%22%20'))" xr:uid="{B8131484-FFFB-41EF-A8F3-8CDE7472706A}"/>
    <hyperlink ref="F47" r:id="rId95" xr:uid="{DFCDD292-BBD6-4D68-9635-676544F9A697}"/>
    <hyperlink ref="G47" r:id="rId96" location="/view/e4708350-2da7-11ec-92dc-ed19b3b10cf9?_g=(filters:!(),refreshInterval:(pause:!t,value:0),time:(from:'2022-07-25T05:44:38.753942Z',to:'2022-07-25T09:44:38.753942Z'))&amp;_a=(description:'',filters:!(),fullScreenMode:!f,options:(hidePanelTitles:!f,syncColors:!f,useMargins:!t),query:(language:kuery,query:'log_id.keyword%20:%20%22bebe8ece-efc2-4583-b7f1-41ce2942bd64%22%20'))" xr:uid="{FCCAA234-ADFD-44DE-9B33-F6EBDD529F81}"/>
    <hyperlink ref="F50" r:id="rId97" xr:uid="{E9D78533-DFA1-46CE-9A56-096D8FDDDEE3}"/>
    <hyperlink ref="G50" r:id="rId98" location="/view/e4708350-2da7-11ec-92dc-ed19b3b10cf9?_g=(filters:!(),refreshInterval:(pause:!t,value:0),time:(from:'2022-07-26T05:43:50.874630Z',to:'2022-07-26T09:43:50.874630Z'))&amp;_a=(description:'',filters:!(),fullScreenMode:!f,options:(hidePanelTitles:!f,syncColors:!f,useMargins:!t),query:(language:kuery,query:'log_id.keyword%20:%20%22453a0110-6aaa-498b-afe8-5ca134b66d66%22%20'))" xr:uid="{85EB0910-71D1-4CF5-96F7-3DB12935496D}"/>
    <hyperlink ref="F52" r:id="rId99" xr:uid="{CD93F6AF-5E49-4951-AE7B-7A554A5428A0}"/>
    <hyperlink ref="G52" r:id="rId100" location="/view/e4708350-2da7-11ec-92dc-ed19b3b10cf9?_g=(filters:!(),refreshInterval:(pause:!t,value:0),time:(from:'2022-07-26T08:39:47.931312Z',to:'2022-07-26T12:39:47.931312Z'))&amp;_a=(description:'',filters:!(),fullScreenMode:!f,options:(hidePanelTitles:!f,syncColors:!f,useMargins:!t),query:(language:kuery,query:'log_id.keyword%20:%20%223f6932ec-f37c-4aec-af1d-772e33766386%22%20'))" xr:uid="{2625EB38-9E7C-41F8-93DD-979A678EFAB7}"/>
    <hyperlink ref="F51" r:id="rId101" xr:uid="{965054F9-25B8-40FE-85D0-E316EA11BF6E}"/>
    <hyperlink ref="G51" r:id="rId102" location="/view/e4708350-2da7-11ec-92dc-ed19b3b10cf9?_g=(filters:!(),refreshInterval:(pause:!t,value:0),time:(from:'2022-07-26T08:30:56.056320Z',to:'2022-07-26T12:30:56.056320Z'))&amp;_a=(description:'',filters:!(),fullScreenMode:!f,options:(hidePanelTitles:!f,syncColors:!f,useMargins:!t),query:(language:kuery,query:'log_id.keyword%20:%20%2205da91e6-9c9a-4b31-afd5-07c36a161745%22%20'))" xr:uid="{47CF83FF-50F3-4DB8-9696-9DD52A36C867}"/>
    <hyperlink ref="F60" r:id="rId103" xr:uid="{AA6B3AD2-1617-4CC4-98B6-BDE20E41BD8B}"/>
    <hyperlink ref="G60" r:id="rId104" location="/view/e4708350-2da7-11ec-92dc-ed19b3b10cf9?_g=(filters:!(),refreshInterval:(pause:!t,value:0),time:(from:'2022-07-26T22:38:48.806177Z',to:'2022-07-27T02:38:48.806177Z'))&amp;_a=(description:'',filters:!(),fullScreenMode:!f,options:(hidePanelTitles:!f,syncColors:!f,useMargins:!t),query:(language:kuery,query:'log_id.keyword%20:%20%22c8e1d79b-a2a8-4a95-b3d5-6861f69f4e43%22%20'))" xr:uid="{9C617830-93B6-491C-9BEE-9B45A700DE3D}"/>
    <hyperlink ref="F59" r:id="rId105" xr:uid="{FD8E0C61-9D79-4D5F-A8A8-CDEB0255A7EC}"/>
    <hyperlink ref="G59" r:id="rId106" location="/view/e4708350-2da7-11ec-92dc-ed19b3b10cf9?_g=(filters:!(),refreshInterval:(pause:!t,value:0),time:(from:'2022-07-26T18:01:44.441846Z',to:'2022-07-26T22:01:44.441846Z'))&amp;_a=(description:'',filters:!(),fullScreenMode:!f,options:(hidePanelTitles:!f,syncColors:!f,useMargins:!t),query:(language:kuery,query:'log_id.keyword%20:%20%222178bd22-acc4-4b79-8701-6e8e1ef96e30%22%20'))" xr:uid="{F218598A-5ADE-4E4D-8EF4-D40AF0D62251}"/>
    <hyperlink ref="F58" r:id="rId107" xr:uid="{A0B1EF40-0AD5-448D-AC60-764AFE137CDC}"/>
    <hyperlink ref="G58" r:id="rId108" location="/view/e4708350-2da7-11ec-92dc-ed19b3b10cf9?_g=(filters:!(),refreshInterval:(pause:!t,value:0),time:(from:'2022-07-26T17:01:15.902046Z',to:'2022-07-26T21:01:15.902046Z'))&amp;_a=(description:'',filters:!(),fullScreenMode:!f,options:(hidePanelTitles:!f,syncColors:!f,useMargins:!t),query:(language:kuery,query:'log_id.keyword%20:%20%22da07d50c-0386-4a4c-9a9c-5259c27981fe%22%20'))" xr:uid="{0B0342B2-B134-495C-A51C-45334A166F36}"/>
    <hyperlink ref="F57" r:id="rId109" xr:uid="{7FDBCB76-34E6-4033-94D4-CE7945510568}"/>
    <hyperlink ref="G57" r:id="rId110" location="/view/e4708350-2da7-11ec-92dc-ed19b3b10cf9?_g=(filters:!(),refreshInterval:(pause:!t,value:0),time:(from:'2022-07-26T11:15:10.413063Z',to:'2022-07-26T15:15:10.413063Z'))&amp;_a=(description:'',filters:!(),fullScreenMode:!f,options:(hidePanelTitles:!f,syncColors:!f,useMargins:!t),query:(language:kuery,query:'log_id.keyword%20:%20%229e0e15f0-930d-4e3c-93c5-6882688d71a0%22%20'))" xr:uid="{DC96C85D-DE06-4995-A9B3-321A12E070BC}"/>
    <hyperlink ref="F56" r:id="rId111" xr:uid="{15484EEC-5103-4D47-8667-11D8FFBF4FFD}"/>
    <hyperlink ref="G56" r:id="rId112" location="/view/e4708350-2da7-11ec-92dc-ed19b3b10cf9?_g=(filters:!(),refreshInterval:(pause:!t,value:0),time:(from:'2022-07-26T10:54:06.376993Z',to:'2022-07-26T14:54:06.376993Z'))&amp;_a=(description:'',filters:!(),fullScreenMode:!f,options:(hidePanelTitles:!f,syncColors:!f,useMargins:!t),query:(language:kuery,query:'log_id.keyword%20:%20%2247df2748-ee22-435a-aebf-8a201004f436%22%20'))" xr:uid="{674A6951-7B4E-4903-B669-105F511AB352}"/>
    <hyperlink ref="F55" r:id="rId113" xr:uid="{50714063-9593-4C9B-8F99-1BE915F0736C}"/>
    <hyperlink ref="G55" r:id="rId114" location="/view/e4708350-2da7-11ec-92dc-ed19b3b10cf9?_g=(filters:!(),refreshInterval:(pause:!t,value:0),time:(from:'2022-07-26T10:53:43.476823Z',to:'2022-07-26T14:53:43.476823Z'))&amp;_a=(description:'',filters:!(),fullScreenMode:!f,options:(hidePanelTitles:!f,syncColors:!f,useMargins:!t),query:(language:kuery,query:'log_id.keyword%20:%20%22b6309b67-2c3d-49dd-89ca-7ee4fabfc0c1%22%20'))" xr:uid="{028E30F3-D107-4809-AEDE-29EFE6E54FE5}"/>
    <hyperlink ref="F54" r:id="rId115" xr:uid="{0757F061-00EF-4A67-9B31-72ACCDF394DB}"/>
    <hyperlink ref="G54" r:id="rId116" location="/view/e4708350-2da7-11ec-92dc-ed19b3b10cf9?_g=(filters:!(),refreshInterval:(pause:!t,value:0),time:(from:'2022-07-26T10:52:05.119985Z',to:'2022-07-26T14:52:05.119985Z'))&amp;_a=(description:'',filters:!(),fullScreenMode:!f,options:(hidePanelTitles:!f,syncColors:!f,useMargins:!t),query:(language:kuery,query:'log_id.keyword%20:%20%2269928ebd-7eab-4206-b4e0-9495e0eb95cd%22%20'))" xr:uid="{D1A06066-B502-45FE-B9C7-CBD94E23B9AD}"/>
    <hyperlink ref="F53" r:id="rId117" xr:uid="{939390B2-757F-4735-A02D-A0208EE1BC42}"/>
    <hyperlink ref="G53" r:id="rId118" location="/view/e4708350-2da7-11ec-92dc-ed19b3b10cf9?_g=(filters:!(),refreshInterval:(pause:!t,value:0),time:(from:'2022-07-26T10:51:20.210598Z',to:'2022-07-26T14:51:20.210598Z'))&amp;_a=(description:'',filters:!(),fullScreenMode:!f,options:(hidePanelTitles:!f,syncColors:!f,useMargins:!t),query:(language:kuery,query:'log_id.keyword%20:%20%2267b5a518-5720-4afc-8e88-7e5fec71c3bf%22%20'))" xr:uid="{03E3AA98-62C4-4BFD-AE49-E9277B2F9EBD}"/>
    <hyperlink ref="F62" r:id="rId119" xr:uid="{03FD487D-0843-4F21-BABB-E0C2981AC82D}"/>
    <hyperlink ref="G62" r:id="rId120" location="/view/e4708350-2da7-11ec-92dc-ed19b3b10cf9?_g=(filters:!(),refreshInterval:(pause:!t,value:0),time:(from:'2022-07-27T16:02:04.909573Z',to:'2022-07-27T20:02:04.909573Z'))&amp;_a=(description:'',filters:!(),fullScreenMode:!f,options:(hidePanelTitles:!f,syncColors:!f,useMargins:!t),query:(language:kuery,query:'log_id.keyword%20:%20%226a91fa53-128f-47da-9df9-66203d57b502%22%20'))" xr:uid="{A6544D0E-1794-40B3-B244-E63CD4EE6B8F}"/>
    <hyperlink ref="F61" r:id="rId121" xr:uid="{47D01561-21AB-4B6C-B111-4BA6F6B32D22}"/>
    <hyperlink ref="G61" r:id="rId122" location="/view/e4708350-2da7-11ec-92dc-ed19b3b10cf9?_g=(filters:!(),refreshInterval:(pause:!t,value:0),time:(from:'2022-07-27T12:19:08.384484Z',to:'2022-07-27T16:19:08.384484Z'))&amp;_a=(description:'',filters:!(),fullScreenMode:!f,options:(hidePanelTitles:!f,syncColors:!f,useMargins:!t),query:(language:kuery,query:'log_id.keyword%20:%20%22fe963831-6f5b-4023-ab01-3914a26c331e%22%20'))" xr:uid="{64F3DF03-F539-4571-9B95-EE1A20811D50}"/>
    <hyperlink ref="F64" r:id="rId123" xr:uid="{84F17FE4-124F-4AED-BF35-E0AE6B145DCE}"/>
    <hyperlink ref="G64" r:id="rId124" location="/view/e4708350-2da7-11ec-92dc-ed19b3b10cf9?_g=(filters:!(),refreshInterval:(pause:!t,value:0),time:(from:'2022-07-28T21:07:23.054526Z',to:'2022-07-29T01:07:23.054526Z'))&amp;_a=(description:'',filters:!(),fullScreenMode:!f,options:(hidePanelTitles:!f,syncColors:!f,useMargins:!t),query:(language:kuery,query:'log_id.keyword%20:%20%2292ef0173-b269-4e12-8a93-b7d4d9183251%22%20'))" xr:uid="{A4CD1FF5-2143-4682-8B40-ABC5E6D18DF5}"/>
    <hyperlink ref="F63" r:id="rId125" xr:uid="{C6B2F4F0-DCFF-47EB-8C82-22395ED87B01}"/>
    <hyperlink ref="G63" r:id="rId126" location="/view/e4708350-2da7-11ec-92dc-ed19b3b10cf9?_g=(filters:!(),refreshInterval:(pause:!t,value:0),time:(from:'2022-07-28T17:06:03.020512Z',to:'2022-07-28T21:06:03.020512Z'))&amp;_a=(description:'',filters:!(),fullScreenMode:!f,options:(hidePanelTitles:!f,syncColors:!f,useMargins:!t),query:(language:kuery,query:'log_id.keyword%20:%20%22dfbef9a9-ebdd-4664-a57b-c608b4fb9bc5%22%20'))" xr:uid="{16B97EAA-8CA8-4A91-88E8-1A014FFC881A}"/>
    <hyperlink ref="F75" r:id="rId127" xr:uid="{F215341E-4A3E-4477-B5D1-C6BD31719F0A}"/>
    <hyperlink ref="G75" r:id="rId128" location="/view/e4708350-2da7-11ec-92dc-ed19b3b10cf9?_g=(filters:!(),refreshInterval:(pause:!t,value:0),time:(from:'2022-07-29T15:40:29.820926Z',to:'2022-07-29T19:40:29.820926Z'))&amp;_a=(description:'',filters:!(),fullScreenMode:!f,options:(hidePanelTitles:!f,syncColors:!f,useMargins:!t),query:(language:kuery,query:'log_id.keyword%20:%20%22ddfcc3d3-11aa-45ad-9494-2964b8684616%22%20'))" xr:uid="{2C2EF960-D94D-49DF-B341-B01AAE639F48}"/>
    <hyperlink ref="F70" r:id="rId129" xr:uid="{177603B0-D383-4857-A482-033CFD9F3520}"/>
    <hyperlink ref="G70" r:id="rId130" location="/view/e4708350-2da7-11ec-92dc-ed19b3b10cf9?_g=(filters:!(),refreshInterval:(pause:!t,value:0),time:(from:'2022-07-29T11:31:06.846928Z',to:'2022-07-29T15:31:06.846928Z'))&amp;_a=(description:'',filters:!(),fullScreenMode:!f,options:(hidePanelTitles:!f,syncColors:!f,useMargins:!t),query:(language:kuery,query:'log_id.keyword%20:%20%22ed911110-4a47-4f07-ae0a-ec65f43ec8e9%22%20'))" xr:uid="{3DE77219-EEFF-4C1A-AC58-9D7A6EBF3DD5}"/>
    <hyperlink ref="F69" r:id="rId131" xr:uid="{9C68EE77-D2F6-48EE-A14F-2F85DC8DF230}"/>
    <hyperlink ref="G69" r:id="rId132" location="/view/e4708350-2da7-11ec-92dc-ed19b3b10cf9?_g=(filters:!(),refreshInterval:(pause:!t,value:0),time:(from:'2022-07-29T11:26:57.623482Z',to:'2022-07-29T15:26:57.623482Z'))&amp;_a=(description:'',filters:!(),fullScreenMode:!f,options:(hidePanelTitles:!f,syncColors:!f,useMargins:!t),query:(language:kuery,query:'log_id.keyword%20:%20%22126fa3cf-16a7-428f-8489-830099f1f7a7%22%20'))" xr:uid="{AD4B512D-7910-4C39-BE5A-09E2CAA85BE5}"/>
    <hyperlink ref="F68" r:id="rId133" xr:uid="{6D63CAAE-A4A0-4052-9D6A-8FBF5D70AB4F}"/>
    <hyperlink ref="G68" r:id="rId134" location="/view/e4708350-2da7-11ec-92dc-ed19b3b10cf9?_g=(filters:!(),refreshInterval:(pause:!t,value:0),time:(from:'2022-07-29T11:21:10.312492Z',to:'2022-07-29T15:21:10.312492Z'))&amp;_a=(description:'',filters:!(),fullScreenMode:!f,options:(hidePanelTitles:!f,syncColors:!f,useMargins:!t),query:(language:kuery,query:'log_id.keyword%20:%20%2212a13caa-cca1-4005-b760-f7cc3aaf0801%22%20'))" xr:uid="{CB2256C8-25A8-4371-B208-F765361727DA}"/>
    <hyperlink ref="F67" r:id="rId135" xr:uid="{01362C34-2B56-4E17-94AD-65B617192475}"/>
    <hyperlink ref="G67" r:id="rId136" location="/view/e4708350-2da7-11ec-92dc-ed19b3b10cf9?_g=(filters:!(),refreshInterval:(pause:!t,value:0),time:(from:'2022-07-29T11:21:10.312492Z',to:'2022-07-29T15:21:10.312492Z'))&amp;_a=(description:'',filters:!(),fullScreenMode:!f,options:(hidePanelTitles:!f,syncColors:!f,useMargins:!t),query:(language:kuery,query:'log_id.keyword%20:%20%2212a13caa-cca1-4005-b760-f7cc3aaf0801%22%20'))" xr:uid="{28E0DE87-E6FE-47FB-AF37-45CF6F5AA6A0}"/>
    <hyperlink ref="F65" r:id="rId137" xr:uid="{209AAA8F-3FFA-45DF-ADA0-553FF74C9583}"/>
    <hyperlink ref="G65" r:id="rId138" location="/view/e4708350-2da7-11ec-92dc-ed19b3b10cf9?_g=(filters:!(),refreshInterval:(pause:!t,value:0),time:(from:'2022-07-29T10:07:23.848607Z',to:'2022-07-29T14:07:23.848607Z'))&amp;_a=(description:'',filters:!(),fullScreenMode:!f,options:(hidePanelTitles:!f,syncColors:!f,useMargins:!t),query:(language:kuery,query:'log_id.keyword%20:%20%225ba854e7-b3a2-472d-96f8-55a063f02e38%22%20'))" xr:uid="{2DCF7048-D85C-4B98-9A2C-EC9C6BDC1A7D}"/>
    <hyperlink ref="F78" r:id="rId139" xr:uid="{42E86C7A-62E5-4B20-AAC4-1DF390BAD8E0}"/>
    <hyperlink ref="G78" r:id="rId140" location="/view/e4708350-2da7-11ec-92dc-ed19b3b10cf9?_g=(filters:!(),refreshInterval:(pause:!t,value:0),time:(from:'2022-08-01T17:09:21.872315Z',to:'2022-08-01T21:09:21.872315Z'))&amp;_a=(description:'',filters:!(),fullScreenMode:!f,options:(hidePanelTitles:!f,syncColors:!f,useMargins:!t),query:(language:kuery,query:'log_id.keyword%20:%20%22e6ddbddc-f2b5-4ab0-a7ac-a79c090374df%22%20'))" xr:uid="{F59BDC74-B550-4248-8F18-83E5C7E286C8}"/>
    <hyperlink ref="F86" r:id="rId141" xr:uid="{83D1D3DE-DD5E-485F-AA1F-CDF933870598}"/>
    <hyperlink ref="G86" r:id="rId142" location="/view/e4708350-2da7-11ec-92dc-ed19b3b10cf9?_g=(filters:!(),refreshInterval:(pause:!t,value:0),time:(from:'2022-08-02T10:52:12.521379Z',to:'2022-08-02T14:52:12.521379Z'))&amp;_a=(description:'',filters:!(),fullScreenMode:!f,options:(hidePanelTitles:!f,syncColors:!f,useMargins:!t),query:(language:kuery,query:'log_id.keyword%20:%20%22ae91ce9d-1f9f-4f74-bf05-3c1332c5541e%22%20'))" xr:uid="{8ECB46AC-E70E-4E82-B11A-8A32E68928FB}"/>
    <hyperlink ref="F85" r:id="rId143" xr:uid="{C5AA60BC-5ADE-457F-B3E1-4FC093888B04}"/>
    <hyperlink ref="G85" r:id="rId144" location="/view/e4708350-2da7-11ec-92dc-ed19b3b10cf9?_g=(filters:!(),refreshInterval:(pause:!t,value:0),time:(from:'2022-08-02T10:35:39.686057Z',to:'2022-08-02T14:35:39.686057Z'))&amp;_a=(description:'',filters:!(),fullScreenMode:!f,options:(hidePanelTitles:!f,syncColors:!f,useMargins:!t),query:(language:kuery,query:'log_id.keyword%20:%20%2249a0b4ea-6c3b-4004-a2a4-c8569b9bf182%22%20'))" xr:uid="{BE312D1E-272E-44B6-99CF-D1A979043F4B}"/>
    <hyperlink ref="F84" r:id="rId145" xr:uid="{59C51BAD-9591-431B-AA44-C88270D15076}"/>
    <hyperlink ref="G84" r:id="rId146" location="/view/e4708350-2da7-11ec-92dc-ed19b3b10cf9?_g=(filters:!(),refreshInterval:(pause:!t,value:0),time:(from:'2022-08-02T10:27:58.124375Z',to:'2022-08-02T14:27:58.124375Z'))&amp;_a=(description:'',filters:!(),fullScreenMode:!f,options:(hidePanelTitles:!f,syncColors:!f,useMargins:!t),query:(language:kuery,query:'log_id.keyword%20:%20%22c3b03c1d-662d-4c00-84e5-49c4b8080c71%22%20'))" xr:uid="{A6E1CA35-7446-4279-9BB0-8200A0C0CD39}"/>
    <hyperlink ref="F97" r:id="rId147" xr:uid="{53FE675A-E274-470E-B04E-D069B3091CFE}"/>
    <hyperlink ref="G97" r:id="rId148" location="/view/e4708350-2da7-11ec-92dc-ed19b3b10cf9?_g=(filters:!(),refreshInterval:(pause:!t,value:0),time:(from:'2022-08-03T17:17:48.409985Z',to:'2022-08-03T21:17:48.409985Z'))&amp;_a=(description:'',filters:!(),fullScreenMode:!f,options:(hidePanelTitles:!f,syncColors:!f,useMargins:!t),query:(language:kuery,query:'log_id.keyword%20:%20%2262ddd63e-5637-464e-a085-e69c57732339%22%20'))" xr:uid="{33ECC055-8E10-41F2-821D-5AF0DA6BAE31}"/>
    <hyperlink ref="F93" r:id="rId149" xr:uid="{F8C6A099-55E6-4D73-983E-5090C7A56FC9}"/>
    <hyperlink ref="G93" r:id="rId150" location="/view/e4708350-2da7-11ec-92dc-ed19b3b10cf9?_g=(filters:!(),refreshInterval:(pause:!t,value:0),time:(from:'2022-08-03T11:49:27.985761Z',to:'2022-08-03T15:49:27.985761Z'))&amp;_a=(description:'',filters:!(),fullScreenMode:!f,options:(hidePanelTitles:!f,syncColors:!f,useMargins:!t),query:(language:kuery,query:'log_id.keyword%20:%20%229d541dde-6c86-459f-9930-b9a986c42ba1%22%20'))" xr:uid="{63778D69-B494-4D05-BB65-3F571AEFDE12}"/>
    <hyperlink ref="F89" r:id="rId151" xr:uid="{3E7A4B09-7229-460B-A23D-91D35755A59A}"/>
    <hyperlink ref="G89" r:id="rId152" location="/view/e4708350-2da7-11ec-92dc-ed19b3b10cf9?_g=(filters:!(),refreshInterval:(pause:!t,value:0),time:(from:'2022-08-03T08:35:43.070556Z',to:'2022-08-03T12:35:43.070556Z'))&amp;_a=(description:'',filters:!(),fullScreenMode:!f,options:(hidePanelTitles:!f,syncColors:!f,useMargins:!t),query:(language:kuery,query:'log_id.keyword%20:%20%2227e9e2a7-1eab-4a11-926e-1d3aed686934%22%20'))" xr:uid="{6040E9CA-018D-47BE-8A82-4E54457695E8}"/>
    <hyperlink ref="F88" r:id="rId153" xr:uid="{018B7C69-B9C3-4595-AAFE-F2819B3068E1}"/>
    <hyperlink ref="G88" r:id="rId154" location="/view/e4708350-2da7-11ec-92dc-ed19b3b10cf9?_g=(filters:!(),refreshInterval:(pause:!t,value:0),time:(from:'2022-08-03T07:19:04.404709Z',to:'2022-08-03T11:19:04.404709Z'))&amp;_a=(description:'',filters:!(),fullScreenMode:!f,options:(hidePanelTitles:!f,syncColors:!f,useMargins:!t),query:(language:kuery,query:'log_id.keyword%20:%20%226e0a569d-57a6-4de8-9ccf-c4ab912a8201%22%20'))" xr:uid="{134434D4-2980-4438-BB7A-BD835B46C9CE}"/>
    <hyperlink ref="F143" r:id="rId155" xr:uid="{881B8006-9963-4601-970C-A4ECF9842314}"/>
    <hyperlink ref="G143" r:id="rId156" location="/view/e4708350-2da7-11ec-92dc-ed19b3b10cf9?_g=(filters:!(),refreshInterval:(pause:!t,value:0),time:(from:'2022-08-10T21:37:15.479839Z',to:'2022-08-11T01:37:15.479839Z'))&amp;_a=(description:'',filters:!(),fullScreenMode:!f,options:(hidePanelTitles:!f,syncColors:!f,useMargins:!t),query:(language:kuery,query:'log_id.keyword%20:%20%225079d829-77dd-4022-9079-e2654c00ec98%22%20'))" xr:uid="{1DC022BC-25AB-4F5C-A0EA-A2AF6D0680A3}"/>
    <hyperlink ref="F142" r:id="rId157" xr:uid="{26D29703-F2C3-4F70-B6E9-D8FC253E5245}"/>
    <hyperlink ref="G142" r:id="rId158" location="/view/e4708350-2da7-11ec-92dc-ed19b3b10cf9?_g=(filters:!(),refreshInterval:(pause:!t,value:0),time:(from:'2022-08-10T18:17:36.224027Z',to:'2022-08-10T22:17:36.224027Z'))&amp;_a=(description:'',filters:!(),fullScreenMode:!f,options:(hidePanelTitles:!f,syncColors:!f,useMargins:!t),query:(language:kuery,query:'log_id.keyword%20:%20%22dcb067eb-12d8-4303-9f22-f35543f49b1f%22%20'))" xr:uid="{8C0C7714-72ED-4662-A30F-E1F112807828}"/>
    <hyperlink ref="F141" r:id="rId159" xr:uid="{8C884265-DBAB-4CBA-AEAD-B41687FBDD84}"/>
    <hyperlink ref="G141" r:id="rId160" location="/view/e4708350-2da7-11ec-92dc-ed19b3b10cf9?_g=(filters:!(),refreshInterval:(pause:!t,value:0),time:(from:'2022-08-10T13:36:34.392955Z',to:'2022-08-10T17:36:34.392955Z'))&amp;_a=(description:'',filters:!(),fullScreenMode:!f,options:(hidePanelTitles:!f,syncColors:!f,useMargins:!t),query:(language:kuery,query:'log_id.keyword%20:%20%228889378f-5495-452d-b794-56c2e0310ce5%22%20'))" xr:uid="{47D62B28-87AB-4CEC-93A0-E483EF2A64ED}"/>
    <hyperlink ref="F140" r:id="rId161" xr:uid="{B648D6F6-C43A-4569-8179-273AFE9FECF3}"/>
    <hyperlink ref="G140" r:id="rId162" location="/view/e4708350-2da7-11ec-92dc-ed19b3b10cf9?_g=(filters:!(),refreshInterval:(pause:!t,value:0),time:(from:'2022-08-10T13:06:50.888411Z',to:'2022-08-10T17:06:50.888411Z'))&amp;_a=(description:'',filters:!(),fullScreenMode:!f,options:(hidePanelTitles:!f,syncColors:!f,useMargins:!t),query:(language:kuery,query:'log_id.keyword%20:%20%22b619cc2c-9fc4-42d4-98db-52b7f0aa05e4%22%20'))" xr:uid="{0C65B690-AE4F-4DA6-A7C3-CF8B47598213}"/>
    <hyperlink ref="F139" r:id="rId163" xr:uid="{1C88AC12-BA62-4739-B906-EB5AA6A9D46F}"/>
    <hyperlink ref="G139" r:id="rId164" location="/view/e4708350-2da7-11ec-92dc-ed19b3b10cf9?_g=(filters:!(),refreshInterval:(pause:!t,value:0),time:(from:'2022-08-10T12:05:30.591653Z',to:'2022-08-10T16:05:30.591653Z'))&amp;_a=(description:'',filters:!(),fullScreenMode:!f,options:(hidePanelTitles:!f,syncColors:!f,useMargins:!t),query:(language:kuery,query:'log_id.keyword%20:%20%225f2ef70f-5c77-4cd3-bb9e-49fe2c5264a6%22%20'))" xr:uid="{284966F4-2180-41CF-A5D2-1FB21C8D06A9}"/>
    <hyperlink ref="F138" r:id="rId165" xr:uid="{0F41A42B-6106-4576-881F-0C05D28010A3}"/>
    <hyperlink ref="G138" r:id="rId166" location="/view/e4708350-2da7-11ec-92dc-ed19b3b10cf9?_g=(filters:!(),refreshInterval:(pause:!t,value:0),time:(from:'2022-08-09T11:35:43.731307Z',to:'2022-08-09T15:35:43.731307Z'))&amp;_a=(description:'',filters:!(),fullScreenMode:!f,options:(hidePanelTitles:!f,syncColors:!f,useMargins:!t),query:(language:kuery,query:'log_id.keyword%20:%20%228486e948-3ee0-4089-8c7f-c9f0516cbb02%22%20'))" xr:uid="{3F0ADCD7-A105-4FD0-80D4-1F6E842D3F83}"/>
    <hyperlink ref="F137" r:id="rId167" xr:uid="{0B47F637-C837-4AF5-8825-71C9B435EFC7}"/>
    <hyperlink ref="G137" r:id="rId168" location="/view/e4708350-2da7-11ec-92dc-ed19b3b10cf9?_g=(filters:!(),refreshInterval:(pause:!t,value:0),time:(from:'2022-08-09T10:16:06.597450Z',to:'2022-08-09T14:16:06.597450Z'))&amp;_a=(description:'',filters:!(),fullScreenMode:!f,options:(hidePanelTitles:!f,syncColors:!f,useMargins:!t),query:(language:kuery,query:'log_id.keyword%20:%20%2296fd6cca-e387-4b25-8a2e-17d429c20991%22%20'))" xr:uid="{3A8A5C03-0F18-457B-A595-B7C8C9323D32}"/>
    <hyperlink ref="F133" r:id="rId169" xr:uid="{C26B2846-13E6-44D8-A5BC-B9F20051EFA0}"/>
    <hyperlink ref="G133" r:id="rId170" location="/view/e4708350-2da7-11ec-92dc-ed19b3b10cf9?_g=(filters:!(),refreshInterval:(pause:!t,value:0),time:(from:'2022-08-09T08:10:10.861361Z',to:'2022-08-09T12:10:10.861361Z'))&amp;_a=(description:'',filters:!(),fullScreenMode:!f,options:(hidePanelTitles:!f,syncColors:!f,useMargins:!t),query:(language:kuery,query:'log_id.keyword%20:%20%22d2638067-f4d0-4b9b-a3ff-d956a68f8b1b%22%20'))" xr:uid="{EA3B245D-5717-4E9A-AEFF-D87D9623CC90}"/>
    <hyperlink ref="F132" r:id="rId171" xr:uid="{485F5E34-33E5-4449-A8EF-709AE9DBE3E3}"/>
    <hyperlink ref="G132" r:id="rId172" location="/view/e4708350-2da7-11ec-92dc-ed19b3b10cf9?_g=(filters:!(),refreshInterval:(pause:!t,value:0),time:(from:'2022-08-09T08:09:16.561815Z',to:'2022-08-09T12:09:16.561815Z'))&amp;_a=(description:'',filters:!(),fullScreenMode:!f,options:(hidePanelTitles:!f,syncColors:!f,useMargins:!t),query:(language:kuery,query:'log_id.keyword%20:%20%220e405f3d-1b00-40b2-a468-a9cca79e4472%22%20'))" xr:uid="{5C308F95-FBC7-4ED7-8215-6DF869A5631F}"/>
    <hyperlink ref="F126" r:id="rId173" xr:uid="{ACF585C5-C395-4FDB-A9A0-512C45AB1D7C}"/>
    <hyperlink ref="G126" r:id="rId174" location="/view/e4708350-2da7-11ec-92dc-ed19b3b10cf9?_g=(filters:!(),refreshInterval:(pause:!t,value:0),time:(from:'2022-08-09T01:16:34.638409Z',to:'2022-08-09T05:16:34.638409Z'))&amp;_a=(description:'',filters:!(),fullScreenMode:!f,options:(hidePanelTitles:!f,syncColors:!f,useMargins:!t),query:(language:kuery,query:'log_id.keyword%20:%20%220a9ee04e-90f6-458d-8380-3ced3e5d9527%22%20'))" xr:uid="{D3680055-D033-48D5-8EBC-B2934904F3B9}"/>
    <hyperlink ref="F125" r:id="rId175" xr:uid="{7419847F-9904-411A-BA5D-9E71510D6DAD}"/>
    <hyperlink ref="G125" r:id="rId176" location="/view/e4708350-2da7-11ec-92dc-ed19b3b10cf9?_g=(filters:!(),refreshInterval:(pause:!t,value:0),time:(from:'2022-08-08T21:51:01.642883Z',to:'2022-08-09T01:51:01.642883Z'))&amp;_a=(description:'',filters:!(),fullScreenMode:!f,options:(hidePanelTitles:!f,syncColors:!f,useMargins:!t),query:(language:kuery,query:'log_id.keyword%20:%20%220864d398-177b-4ebb-b147-fdda6a35ae13%22%20'))" xr:uid="{9D9A83ED-4339-438D-9FEA-CBC1D585DF82}"/>
    <hyperlink ref="F124" r:id="rId177" xr:uid="{C37F45E5-8306-4B88-B768-7F455A4C35A9}"/>
    <hyperlink ref="G124" r:id="rId178" location="/view/e4708350-2da7-11ec-92dc-ed19b3b10cf9?_g=(filters:!(),refreshInterval:(pause:!t,value:0),time:(from:'2022-08-08T20:26:41.022505Z',to:'2022-08-09T00:26:41.022505Z'))&amp;_a=(description:'',filters:!(),fullScreenMode:!f,options:(hidePanelTitles:!f,syncColors:!f,useMargins:!t),query:(language:kuery,query:'log_id.keyword%20:%20%22b04c7cd1-52f1-44d7-85ab-a34fb2345547%22%20'))" xr:uid="{2456EF46-1384-4488-93DE-CAE6BAD460F4}"/>
    <hyperlink ref="F123" r:id="rId179" xr:uid="{D88DC556-90C6-4DE1-BA48-645F3EDD4ABD}"/>
    <hyperlink ref="G123" r:id="rId180" location="/view/e4708350-2da7-11ec-92dc-ed19b3b10cf9?_g=(filters:!(),refreshInterval:(pause:!t,value:0),time:(from:'2022-08-08T20:22:16.153844Z',to:'2022-08-09T00:22:16.153844Z'))&amp;_a=(description:'',filters:!(),fullScreenMode:!f,options:(hidePanelTitles:!f,syncColors:!f,useMargins:!t),query:(language:kuery,query:'log_id.keyword%20:%20%22d56cf962-2c76-428e-a72b-99199d446f16%22%20'))" xr:uid="{8C65A3D0-908E-43A2-8CF6-59600B53BC9A}"/>
    <hyperlink ref="F122" r:id="rId181" xr:uid="{A2DFB7A0-08BE-4429-B688-D6137FD630FA}"/>
    <hyperlink ref="G122" r:id="rId182" location="/view/e4708350-2da7-11ec-92dc-ed19b3b10cf9?_g=(filters:!(),refreshInterval:(pause:!t,value:0),time:(from:'2022-08-08T20:02:23.985390Z',to:'2022-08-09T00:02:23.985390Z'))&amp;_a=(description:'',filters:!(),fullScreenMode:!f,options:(hidePanelTitles:!f,syncColors:!f,useMargins:!t),query:(language:kuery,query:'log_id.keyword%20:%20%2233d91ba2-8028-4529-a963-839d5e82f8cd%22%20'))" xr:uid="{289F798F-DE8D-412E-9416-AE3D831BF2F0}"/>
    <hyperlink ref="F121" r:id="rId183" xr:uid="{142C92D5-61D8-44F1-9337-FC32D6BB5F9A}"/>
    <hyperlink ref="G121" r:id="rId184" location="/view/e4708350-2da7-11ec-92dc-ed19b3b10cf9?_g=(filters:!(),refreshInterval:(pause:!t,value:0),time:(from:'2022-08-08T19:45:34.721342Z',to:'2022-08-08T23:45:34.721342Z'))&amp;_a=(description:'',filters:!(),fullScreenMode:!f,options:(hidePanelTitles:!f,syncColors:!f,useMargins:!t),query:(language:kuery,query:'log_id.keyword%20:%20%22f6b14058-c11b-4951-a7de-1c567956a37d%22%20'))" xr:uid="{8B44125E-5DCA-4FBE-87E5-A3862B3E1283}"/>
    <hyperlink ref="F120" r:id="rId185" xr:uid="{6C762B9F-D4B7-4EC4-8F41-06F95D1F91BF}"/>
    <hyperlink ref="G120" r:id="rId186" location="/view/e4708350-2da7-11ec-92dc-ed19b3b10cf9?_g=(filters:!(),refreshInterval:(pause:!t,value:0),time:(from:'2022-08-08T19:42:40.992947Z',to:'2022-08-08T23:42:40.992947Z'))&amp;_a=(description:'',filters:!(),fullScreenMode:!f,options:(hidePanelTitles:!f,syncColors:!f,useMargins:!t),query:(language:kuery,query:'log_id.keyword%20:%20%22531cf508-8419-41df-bc9d-7b87ed763afd%22%20'))" xr:uid="{F04C38C8-8784-452C-82F6-46A9CCB4858F}"/>
    <hyperlink ref="F119" r:id="rId187" xr:uid="{2A568B2B-03D3-4413-9366-26E8A6BB025D}"/>
    <hyperlink ref="G119" r:id="rId188" location="/view/e4708350-2da7-11ec-92dc-ed19b3b10cf9?_g=(filters:!(),refreshInterval:(pause:!t,value:0),time:(from:'2022-08-08T18:46:09.166993Z',to:'2022-08-08T22:46:09.166993Z'))&amp;_a=(description:'',filters:!(),fullScreenMode:!f,options:(hidePanelTitles:!f,syncColors:!f,useMargins:!t),query:(language:kuery,query:'log_id.keyword%20:%20%22461e2039-6e9d-4fc3-8d7c-7e55ecc0e569%22%20'))" xr:uid="{06C60CA4-236F-4770-8F5B-CB85D922E9B2}"/>
    <hyperlink ref="F118" r:id="rId189" xr:uid="{D6D59A6A-41F5-4A3E-B28C-F80E6BA2BDF3}"/>
    <hyperlink ref="G118" r:id="rId190" location="/view/e4708350-2da7-11ec-92dc-ed19b3b10cf9?_g=(filters:!(),refreshInterval:(pause:!t,value:0),time:(from:'2022-08-08T18:12:53.385944Z',to:'2022-08-08T22:12:53.385944Z'))&amp;_a=(description:'',filters:!(),fullScreenMode:!f,options:(hidePanelTitles:!f,syncColors:!f,useMargins:!t),query:(language:kuery,query:'log_id.keyword%20:%20%22917389e3-e8e0-4bd8-94f4-6bca423b7f75%22%20'))" xr:uid="{307C2EA5-DD91-4902-998B-B232719809C1}"/>
    <hyperlink ref="F117" r:id="rId191" xr:uid="{4C7B70F8-A1D1-4A75-98E0-DE6DD3D00B37}"/>
    <hyperlink ref="G117" r:id="rId192" location="/view/e4708350-2da7-11ec-92dc-ed19b3b10cf9?_g=(filters:!(),refreshInterval:(pause:!t,value:0),time:(from:'2022-08-10T11:52:42.474048Z',to:'2022-08-10T15:52:42.474048Z'))&amp;_a=(description:'',filters:!(),fullScreenMode:!f,options:(hidePanelTitles:!f,syncColors:!f,useMargins:!t),query:(language:kuery,query:'log_id.keyword%20:%20%22862c1163-e961-4d8f-8369-8b4eb9b444ec%22%20'))" xr:uid="{249DFD3D-8205-4B95-89ED-8A3BFC0CA515}"/>
    <hyperlink ref="F116" r:id="rId193" xr:uid="{BEA6F52E-54DA-4469-B6E6-B930CC33A0BE}"/>
    <hyperlink ref="G116" r:id="rId194" location="/view/e4708350-2da7-11ec-92dc-ed19b3b10cf9?_g=(filters:!(),refreshInterval:(pause:!t,value:0),time:(from:'2022-08-08T17:29:28.463684Z',to:'2022-08-08T21:29:28.463684Z'))&amp;_a=(description:'',filters:!(),fullScreenMode:!f,options:(hidePanelTitles:!f,syncColors:!f,useMargins:!t),query:(language:kuery,query:'log_id.keyword%20:%20%222caf6c90-815d-4058-87b5-7c093574952d%22%20'))" xr:uid="{6690F205-2DF9-4ECE-A893-7B4CF75F7EBA}"/>
    <hyperlink ref="F115" r:id="rId195" xr:uid="{28EA9451-F2BE-4C28-A9C6-36B8FB488452}"/>
    <hyperlink ref="G115" r:id="rId196" location="/view/e4708350-2da7-11ec-92dc-ed19b3b10cf9?_g=(filters:!(),refreshInterval:(pause:!t,value:0),time:(from:'2022-08-08T17:17:29.172982Z',to:'2022-08-08T21:17:29.172982Z'))&amp;_a=(description:'',filters:!(),fullScreenMode:!f,options:(hidePanelTitles:!f,syncColors:!f,useMargins:!t),query:(language:kuery,query:'log_id.keyword%20:%20%22e336a8b4-07ad-40f7-b3b0-9f0d865ecbc6%22%20'))" xr:uid="{3B38B309-6A15-417B-98A7-5AD2DF061077}"/>
    <hyperlink ref="F114" r:id="rId197" xr:uid="{155ABADC-1D05-4F0C-86F2-EB987CCA51CF}"/>
    <hyperlink ref="G114" r:id="rId198" location="/view/e4708350-2da7-11ec-92dc-ed19b3b10cf9?_g=(filters:!(),refreshInterval:(pause:!t,value:0),time:(from:'2022-08-08T13:32:12.165609Z',to:'2022-08-08T17:32:12.165609Z'))&amp;_a=(description:'',filters:!(),fullScreenMode:!f,options:(hidePanelTitles:!f,syncColors:!f,useMargins:!t),query:(language:kuery,query:'log_id.keyword%20:%20%22b50dba33-b681-4342-bcad-d1144a3df112%22%20'))" xr:uid="{B73C902E-2245-460D-8A1F-89A7BD05CB59}"/>
    <hyperlink ref="F146" r:id="rId199" xr:uid="{0BFDE3DB-D7E2-4501-9A15-6FFE6CA1F5A2}"/>
    <hyperlink ref="G146" r:id="rId200" location="/view/e4708350-2da7-11ec-92dc-ed19b3b10cf9?_g=(filters:!(),refreshInterval:(pause:!t,value:0),time:(from:'2022-08-11T13:06:28.256848Z',to:'2022-08-11T17:06:28.256848Z'))&amp;_a=(description:'',filters:!(),fullScreenMode:!f,options:(hidePanelTitles:!f,syncColors:!f,useMargins:!t),query:(language:kuery,query:'log_id.keyword%20:%20%22e0ed333b-7510-4f00-8e7e-6504c4eaad98%22%20'))" xr:uid="{BEA5ADF1-BFB6-4347-AAEF-5AA8B6754A9D}"/>
    <hyperlink ref="F145" r:id="rId201" xr:uid="{910BEF50-5875-4A0F-92C6-33DDC5A3DA16}"/>
    <hyperlink ref="G145" r:id="rId202" location="/view/e4708350-2da7-11ec-92dc-ed19b3b10cf9?_g=(filters:!(),refreshInterval:(pause:!t,value:0),time:(from:'2022-08-11T12:50:42.179828Z',to:'2022-08-11T16:50:42.179828Z'))&amp;_a=(description:'',filters:!(),fullScreenMode:!f,options:(hidePanelTitles:!f,syncColors:!f,useMargins:!t),query:(language:kuery,query:'log_id.keyword%20:%20%222b0353ea-6b67-42db-9143-fc72df15d869%22%20'))" xr:uid="{19A707D8-15EB-40B7-9F35-0A9B4894FE73}"/>
    <hyperlink ref="F147" r:id="rId203" xr:uid="{29FF47CB-9D67-4173-9BEB-8C9A3DFE5D87}"/>
    <hyperlink ref="G147" r:id="rId204" location="/view/e4708350-2da7-11ec-92dc-ed19b3b10cf9?_g=(filters:!(),refreshInterval:(pause:!t,value:0),time:(from:'2022-08-11T16:40:15.545286Z',to:'2022-08-11T20:40:15.545286Z'))&amp;_a=(description:'',filters:!(),fullScreenMode:!f,options:(hidePanelTitles:!f,syncColors:!f,useMargins:!t),query:(language:kuery,query:'log_id.keyword%20:%20%227919b85a-864e-4f79-a5d0-88b94ac09256%22%20'))" xr:uid="{8C262713-5033-46C8-A170-13F62CCCBA2B}"/>
    <hyperlink ref="F151" r:id="rId205" xr:uid="{77C4C492-B866-414C-AF15-9BAB8F687113}"/>
    <hyperlink ref="G151" r:id="rId206" location="/view/e4708350-2da7-11ec-92dc-ed19b3b10cf9?_g=(filters:!(),refreshInterval:(pause:!t,value:0),time:(from:'2022-08-16T19:54:35.811286Z',to:'2022-08-16T23:54:35.811286Z'))&amp;_a=(description:'',filters:!(),fullScreenMode:!f,options:(hidePanelTitles:!f,syncColors:!f,useMargins:!t),query:(language:kuery,query:'log_id.keyword%20:%20%22634e8989-6d4c-4d32-a63a-99c3b557aad0%22%20'))" xr:uid="{D3A4AC2B-01CC-45C9-8794-894806A3CC69}"/>
    <hyperlink ref="F150" r:id="rId207" xr:uid="{ED637676-9E29-421B-8ABE-BE569603DC64}"/>
    <hyperlink ref="G150" r:id="rId208" location="/view/e4708350-2da7-11ec-92dc-ed19b3b10cf9?_g=(filters:!(),refreshInterval:(pause:!t,value:0),time:(from:'2022-08-16T18:27:54.272020Z',to:'2022-08-16T22:27:54.272020Z'))&amp;_a=(description:'',filters:!(),fullScreenMode:!f,options:(hidePanelTitles:!f,syncColors:!f,useMargins:!t),query:(language:kuery,query:'log_id.keyword%20:%20%222e29812e-5077-4520-a42e-9912364a50d2%22%20'))" xr:uid="{F5F79AC6-B660-46DB-BEA5-D6EB4421AED9}"/>
    <hyperlink ref="F154" r:id="rId209" xr:uid="{68FA7054-C617-4134-ACCA-D532FF8FADC1}"/>
    <hyperlink ref="G154" r:id="rId210" location="/view/e4708350-2da7-11ec-92dc-ed19b3b10cf9?_g=(filters:!(),refreshInterval:(pause:!t,value:0),time:(from:'2022-08-17T16:52:39.173503Z',to:'2022-08-17T20:52:39.173503Z'))&amp;_a=(description:'',filters:!(),fullScreenMode:!f,options:(hidePanelTitles:!f,syncColors:!f,useMargins:!t),query:(language:kuery,query:'log_id.keyword%20:%20%22722cb8d3-dd06-468f-91e8-e64d280c4314%22%20'))" xr:uid="{12159EC2-56EC-4D1C-8A00-D07930F44333}"/>
    <hyperlink ref="F153" r:id="rId211" xr:uid="{D676601F-40AF-436F-A83C-66F6747DF528}"/>
    <hyperlink ref="G153" r:id="rId212" location="/view/e4708350-2da7-11ec-92dc-ed19b3b10cf9?_g=(filters:!(),refreshInterval:(pause:!t,value:0),time:(from:'2022-08-17T12:15:55.600297Z',to:'2022-08-17T16:15:55.600297Z'))&amp;_a=(description:'',filters:!(),fullScreenMode:!f,options:(hidePanelTitles:!f,syncColors:!f,useMargins:!t),query:(language:kuery,query:'log_id.keyword%20:%20%22cb2f9243-d0d8-4446-8589-49c6cd2c916b%22%20'))" xr:uid="{65E9B3B9-27B0-410C-87DB-EBB4BB82B406}"/>
    <hyperlink ref="F155" r:id="rId213" xr:uid="{6539C2C2-6DEE-4284-8577-67A51CEE868E}"/>
    <hyperlink ref="G155" r:id="rId214" location="/view/e4708350-2da7-11ec-92dc-ed19b3b10cf9?_g=(filters:!(),refreshInterval:(pause:!t,value:0),time:(from:'2022-08-17T21:10:29.969196Z',to:'2022-08-18T01:10:29.969196Z'))&amp;_a=(description:'',filters:!(),fullScreenMode:!f,options:(hidePanelTitles:!f,syncColors:!f,useMargins:!t),query:(language:kuery,query:'log_id.keyword%20:%20%22b5b3beaa-dfd3-4fa6-a8c7-b9e69c4229ab%22%20'))" xr:uid="{1862A622-66B9-4E64-8E41-03D732972C8B}"/>
    <hyperlink ref="F156" r:id="rId215" xr:uid="{5116E3A2-8C60-40D8-A974-D12CAF00D3D2}"/>
    <hyperlink ref="G156" r:id="rId216" location="/view/e4708350-2da7-11ec-92dc-ed19b3b10cf9?_g=(filters:!(),refreshInterval:(pause:!t,value:0),time:(from:'2022-08-18T02:18:56.697130Z',to:'2022-08-18T06:18:56.697130Z'))&amp;_a=(description:'',filters:!(),fullScreenMode:!f,options:(hidePanelTitles:!f,syncColors:!f,useMargins:!t),query:(language:kuery,query:'log_id.keyword%20:%20%2232f8af93-f89d-4a66-bfd6-ba094d5f5360%22%20'))" xr:uid="{4B884DA2-092C-4051-8A6A-852B1B2EE884}"/>
    <hyperlink ref="F159" r:id="rId217" xr:uid="{29505FEE-7EC4-47C8-8839-1FD2C0E10F9D}"/>
    <hyperlink ref="G159" r:id="rId218" location="/view/e4708350-2da7-11ec-92dc-ed19b3b10cf9?_g=(filters:!(),refreshInterval:(pause:!t,value:0),time:(from:'2022-08-18T18:30:43.963952Z',to:'2022-08-18T22:30:43.963952Z'))&amp;_a=(description:'',filters:!(),fullScreenMode:!f,options:(hidePanelTitles:!f,syncColors:!f,useMargins:!t),query:(language:kuery,query:'log_id.keyword%20:%20%22712fa123-7129-4c26-a18c-19d678e843e3%22%20'))" xr:uid="{0CFDBAE2-5229-4117-BF89-217DC26425FE}"/>
    <hyperlink ref="F168" r:id="rId219" xr:uid="{F5F8EB55-699A-4F46-9EF2-0FE18C654C11}"/>
    <hyperlink ref="G168" r:id="rId220" location="/view/e4708350-2da7-11ec-92dc-ed19b3b10cf9?_g=(filters:!(),refreshInterval:(pause:!t,value:0),time:(from:'2022-08-23T21:59:11.737124Z',to:'2022-08-24T01:59:11.737124Z'))&amp;_a=(description:'',filters:!(),fullScreenMode:!f,options:(hidePanelTitles:!f,syncColors:!f,useMargins:!t),query:(language:kuery,query:'log_id.keyword%20:%20%227a2e9786-d154-47ac-85b7-88a12bd68516%22%20'))" xr:uid="{BC671BE4-E48C-49F3-B542-C8EF434AEE95}"/>
    <hyperlink ref="F167" r:id="rId221" xr:uid="{FDCBA41A-8953-4785-949C-04BD36C9C702}"/>
    <hyperlink ref="G167" r:id="rId222" location="/view/e4708350-2da7-11ec-92dc-ed19b3b10cf9?_g=(filters:!(),refreshInterval:(pause:!t,value:0),time:(from:'2022-08-23T18:57:05.199441Z',to:'2022-08-23T22:57:05.199441Z'))&amp;_a=(description:'',filters:!(),fullScreenMode:!f,options:(hidePanelTitles:!f,syncColors:!f,useMargins:!t),query:(language:kuery,query:'log_id.keyword%20:%20%22a1d6e675-e75c-41b2-b0ea-f2dc795d3cca%22%20'))" xr:uid="{08001461-DF1F-4279-BFD1-E97821EA7714}"/>
    <hyperlink ref="F166" r:id="rId223" xr:uid="{95BBF2F9-FD67-4420-854E-3A88B7C7D3C0}"/>
    <hyperlink ref="G166" r:id="rId224" location="/view/e4708350-2da7-11ec-92dc-ed19b3b10cf9?_g=(filters:!(),refreshInterval:(pause:!t,value:0),time:(from:'2022-08-23T17:56:03.037308Z',to:'2022-08-23T21:56:03.037308Z'))&amp;_a=(description:'',filters:!(),fullScreenMode:!f,options:(hidePanelTitles:!f,syncColors:!f,useMargins:!t),query:(language:kuery,query:'log_id.keyword%20:%20%22168c5732-dd17-4ba2-ac15-85ab653569c9%22%20'))" xr:uid="{0FDD3157-4F95-4C82-9F86-297F3E21AE51}"/>
    <hyperlink ref="F169" r:id="rId225" xr:uid="{C2CB55F6-3F74-4F68-9659-AAE0C40540D5}"/>
    <hyperlink ref="G169" r:id="rId226" location="/view/e4708350-2da7-11ec-92dc-ed19b3b10cf9?_g=(filters:!(),refreshInterval:(pause:!t,value:0),time:(from:'2022-08-24T14:06:11.463731Z',to:'2022-08-24T18:06:11.463731Z'))&amp;_a=(description:'',filters:!(),fullScreenMode:!f,options:(hidePanelTitles:!f,syncColors:!f,useMargins:!t),query:(language:kuery,query:'log_id.keyword%20:%20%22917940f0-8f61-4984-9d32-ee3ae98b40b5%22%20'))" xr:uid="{6A80E24E-AA9B-4DA3-87CA-6A25513F551F}"/>
    <hyperlink ref="F170" r:id="rId227" xr:uid="{3CFCCCF1-85AF-44A8-AA7C-49BA70A27091}"/>
    <hyperlink ref="G170" r:id="rId228" location="/view/e4708350-2da7-11ec-92dc-ed19b3b10cf9?_g=(filters:!(),refreshInterval:(pause:!t,value:0),time:(from:'2022-08-24T19:32:22.598621Z',to:'2022-08-24T23:32:22.598621Z'))&amp;_a=(description:'',filters:!(),fullScreenMode:!f,options:(hidePanelTitles:!f,syncColors:!f,useMargins:!t),query:(language:kuery,query:'log_id.keyword%20:%20%220b9d28d6-0d8d-48e1-9b90-81f7c7041708%22%20'))" xr:uid="{9483FCA9-28DB-4B34-9681-53B9108DEA49}"/>
    <hyperlink ref="F172" r:id="rId229" xr:uid="{34DA485F-369F-4822-B867-FE49B45CF525}"/>
    <hyperlink ref="G172" r:id="rId230" location="/view/e4708350-2da7-11ec-92dc-ed19b3b10cf9?_g=(filters:!(),refreshInterval:(pause:!t,value:0),time:(from:'2022-08-25T01:45:30.260203Z',to:'2022-08-25T05:45:30.260203Z'))&amp;_a=(description:'',filters:!(),fullScreenMode:!f,options:(hidePanelTitles:!f,syncColors:!f,useMargins:!t),query:(language:kuery,query:'log_id.keyword%20:%20%226e3df9c1-ca11-4779-b49a-c18e5e4fcfb2%22%20'))" xr:uid="{28CB0419-50DE-45C0-947A-47329C5E0283}"/>
    <hyperlink ref="F171" r:id="rId231" xr:uid="{C195DFB0-016C-43E9-B79E-E3E38AF940F9}"/>
    <hyperlink ref="G171" r:id="rId232" location="/view/e4708350-2da7-11ec-92dc-ed19b3b10cf9?_g=(filters:!(),refreshInterval:(pause:!t,value:0),time:(from:'2022-08-25T01:39:30.339165Z',to:'2022-08-25T05:39:30.339165Z'))&amp;_a=(description:'',filters:!(),fullScreenMode:!f,options:(hidePanelTitles:!f,syncColors:!f,useMargins:!t),query:(language:kuery,query:'log_id.keyword%20:%20%224ea29856-a74a-4f41-a76f-1094297a263c%22%20'))" xr:uid="{19E3A85D-4452-4FE1-B824-588668F04F54}"/>
    <hyperlink ref="F175" r:id="rId233" xr:uid="{5F7AB955-F05F-4536-A63F-8ECC4ECC867C}"/>
    <hyperlink ref="G175" r:id="rId234" location="/view/e4708350-2da7-11ec-92dc-ed19b3b10cf9?_g=(filters:!(),refreshInterval:(pause:!t,value:0),time:(from:'2022-08-25T09:03:14.030225Z',to:'2022-08-25T13:03:14.030225Z'))&amp;_a=(description:'',filters:!(),fullScreenMode:!f,options:(hidePanelTitles:!f,syncColors:!f,useMargins:!t),query:(language:kuery,query:'log_id.keyword%20:%20%22526c9cdc-0644-402e-8544-4bf7853b5070%22%20'))" xr:uid="{C8F25716-C587-4DBF-974A-C8681B33CD46}"/>
    <hyperlink ref="F174" r:id="rId235" xr:uid="{7CF5EAA8-B7F0-4E69-84C1-23E74999BF5E}"/>
    <hyperlink ref="G174" r:id="rId236" location="/view/e4708350-2da7-11ec-92dc-ed19b3b10cf9?_g=(filters:!(),refreshInterval:(pause:!t,value:0),time:(from:'2022-08-25T09:02:16.317141Z',to:'2022-08-25T13:02:16.317141Z'))&amp;_a=(description:'',filters:!(),fullScreenMode:!f,options:(hidePanelTitles:!f,syncColors:!f,useMargins:!t),query:(language:kuery,query:'log_id.keyword%20:%20%2262586a60-14ea-4b2f-a469-6c48e3559b57%22%20'))" xr:uid="{F1FA69C4-8680-4A9B-AAD9-140A59393CD8}"/>
    <hyperlink ref="F185" r:id="rId237" xr:uid="{8A33EEF2-485E-4863-9910-2416943C3E0D}"/>
    <hyperlink ref="G185" r:id="rId238" location="/view/e4708350-2da7-11ec-92dc-ed19b3b10cf9?_g=(filters:!(),refreshInterval:(pause:!t,value:0),time:(from:'2022-08-25T13:05:10.029932Z',to:'2022-08-25T17:05:10.029932Z'))&amp;_a=(description:'',filters:!(),fullScreenMode:!f,options:(hidePanelTitles:!f,syncColors:!f,useMargins:!t),query:(language:kuery,query:'log_id.keyword%20:%20%227826c206-0529-4851-87e5-a3fc5c8b02b4%22%20'))" xr:uid="{32B511F8-F5AD-46E0-BEB8-076AE9DA8D74}"/>
    <hyperlink ref="F184" r:id="rId239" xr:uid="{FE91CBED-27C1-4AE6-9154-E74E1F14BDCA}"/>
    <hyperlink ref="G184" r:id="rId240" location="/view/e4708350-2da7-11ec-92dc-ed19b3b10cf9?_g=(filters:!(),refreshInterval:(pause:!t,value:0),time:(from:'2022-08-25T12:51:50.087322Z',to:'2022-08-25T16:51:50.087322Z'))&amp;_a=(description:'',filters:!(),fullScreenMode:!f,options:(hidePanelTitles:!f,syncColors:!f,useMargins:!t),query:(language:kuery,query:'log_id.keyword%20:%20%224a11d69c-4375-44a0-8998-4dee928321b0%22%20'))" xr:uid="{41867B20-E885-4078-B86D-DE1C29D0ED3C}"/>
    <hyperlink ref="F183" r:id="rId241" xr:uid="{52B273C1-C9ED-46CD-8478-827ED3F86E04}"/>
    <hyperlink ref="G183" r:id="rId242" location="/view/e4708350-2da7-11ec-92dc-ed19b3b10cf9?_g=(filters:!(),refreshInterval:(pause:!t,value:0),time:(from:'2022-08-25T12:27:11.515416Z',to:'2022-08-25T16:27:11.515416Z'))&amp;_a=(description:'',filters:!(),fullScreenMode:!f,options:(hidePanelTitles:!f,syncColors:!f,useMargins:!t),query:(language:kuery,query:'log_id.keyword%20:%20%221e30e97e-a939-494e-b85d-53df1aa777fd%22%20'))" xr:uid="{FC2956BE-B420-4B6D-B94B-F026F13CB76D}"/>
    <hyperlink ref="F182" r:id="rId243" xr:uid="{34FB948B-2B78-4B6B-9275-1F5885050E0F}"/>
    <hyperlink ref="G182" r:id="rId244" location="/view/e4708350-2da7-11ec-92dc-ed19b3b10cf9?_g=(filters:!(),refreshInterval:(pause:!t,value:0),time:(from:'2022-08-25T12:21:31.038573Z',to:'2022-08-25T16:21:31.038573Z'))&amp;_a=(description:'',filters:!(),fullScreenMode:!f,options:(hidePanelTitles:!f,syncColors:!f,useMargins:!t),query:(language:kuery,query:'log_id.keyword%20:%20%22cc5314aa-7bb7-40cd-8779-ee4840536c7e%22%20'))" xr:uid="{7FB0D23B-A2D3-4A4F-B80F-A36A4A4025F1}"/>
    <hyperlink ref="F181" r:id="rId245" xr:uid="{BADD7B63-8AAF-462A-94BC-B5C233B55E4C}"/>
    <hyperlink ref="G181" r:id="rId246" location="/view/e4708350-2da7-11ec-92dc-ed19b3b10cf9?_g=(filters:!(),refreshInterval:(pause:!t,value:0),time:(from:'2022-08-25T12:07:47.492229Z',to:'2022-08-25T16:07:47.492229Z'))&amp;_a=(description:'',filters:!(),fullScreenMode:!f,options:(hidePanelTitles:!f,syncColors:!f,useMargins:!t),query:(language:kuery,query:'log_id.keyword%20:%20%22f38e4063-2f68-462b-8111-080673c647ae%22%20'))" xr:uid="{8E651C33-F1E7-4D28-A94B-112067961972}"/>
    <hyperlink ref="F180" r:id="rId247" xr:uid="{83214FD9-DD8E-4418-8EDB-B7C2C42ABFE0}"/>
    <hyperlink ref="G180" r:id="rId248" location="/view/e4708350-2da7-11ec-92dc-ed19b3b10cf9?_g=(filters:!(),refreshInterval:(pause:!t,value:0),time:(from:'2022-08-25T11:57:39.648417Z',to:'2022-08-25T15:57:39.648417Z'))&amp;_a=(description:'',filters:!(),fullScreenMode:!f,options:(hidePanelTitles:!f,syncColors:!f,useMargins:!t),query:(language:kuery,query:'log_id.keyword%20:%20%22e074d90c-eaf7-4e21-a2c8-33f430ce0427%22%20'))" xr:uid="{7A4D1101-0473-4431-8E23-0825128DE703}"/>
    <hyperlink ref="F186" r:id="rId249" xr:uid="{BFDE5033-0E36-4942-9F25-CD7660DB4AB2}"/>
    <hyperlink ref="G186" r:id="rId250" location="/view/e4708350-2da7-11ec-92dc-ed19b3b10cf9?_g=(filters:!(),refreshInterval:(pause:!t,value:0),time:(from:'2022-08-25T13:27:55.328916Z',to:'2022-08-25T17:27:55.328916Z'))&amp;_a=(description:'',filters:!(),fullScreenMode:!f,options:(hidePanelTitles:!f,syncColors:!f,useMargins:!t),query:(language:kuery,query:'log_id.keyword%20:%20%22dae4dd58-a8de-4505-bf43-d56c6ac4e24c%22%20'))" xr:uid="{95059A40-3864-4C82-84EF-B159424A42C9}"/>
    <hyperlink ref="F190" r:id="rId251" xr:uid="{1D2C9A8B-E66B-4A28-BE01-60E6C59176E9}"/>
    <hyperlink ref="G190" r:id="rId252" location="/view/e4708350-2da7-11ec-92dc-ed19b3b10cf9?_g=(filters:!(),refreshInterval:(pause:!t,value:0),time:(from:'2022-08-25T14:55:32.971934Z',to:'2022-08-25T18:55:32.971934Z'))&amp;_a=(description:'',filters:!(),fullScreenMode:!f,options:(hidePanelTitles:!f,syncColors:!f,useMargins:!t),query:(language:kuery,query:'log_id.keyword%20:%20%22757d7890-d65d-43e1-95e8-4a2bc7d70529%22%20'))" xr:uid="{9D56BD3D-9281-4911-9E25-6BCF0BD8B69B}"/>
    <hyperlink ref="F189" r:id="rId253" xr:uid="{E61F2600-405A-4E4B-9BF5-D99EF4D0F66F}"/>
    <hyperlink ref="G189" r:id="rId254" location="/view/e4708350-2da7-11ec-92dc-ed19b3b10cf9?_g=(filters:!(),refreshInterval:(pause:!t,value:0),time:(from:'2022-08-25T14:09:18.421944Z',to:'2022-08-25T18:09:18.421944Z'))&amp;_a=(description:'',filters:!(),fullScreenMode:!f,options:(hidePanelTitles:!f,syncColors:!f,useMargins:!t),query:(language:kuery,query:'log_id.keyword%20:%20%2217cd2657-d29b-4142-a1d7-e03b248757ff%22%20'))" xr:uid="{0D4A7C33-B6DA-4440-B430-BA56113BC06B}"/>
    <hyperlink ref="F188" r:id="rId255" xr:uid="{DD736BDA-D7E2-4847-A4B6-BD5E90FB24C3}"/>
    <hyperlink ref="G188" r:id="rId256" location="/view/e4708350-2da7-11ec-92dc-ed19b3b10cf9?_g=(filters:!(),refreshInterval:(pause:!t,value:0),time:(from:'2022-08-25T14:08:37.965737Z',to:'2022-08-25T18:08:37.965737Z'))&amp;_a=(description:'',filters:!(),fullScreenMode:!f,options:(hidePanelTitles:!f,syncColors:!f,useMargins:!t),query:(language:kuery,query:'log_id.keyword%20:%20%22567432d5-c036-4aff-af97-5849bca480a9%22%20'))" xr:uid="{6DEFFC1D-F9DA-40C5-BE06-DD0B838EE879}"/>
    <hyperlink ref="F187" r:id="rId257" xr:uid="{016EC5DE-DB26-43EF-BF3E-418D4DC949C6}"/>
    <hyperlink ref="G187" r:id="rId258" location="/view/e4708350-2da7-11ec-92dc-ed19b3b10cf9?_g=(filters:!(),refreshInterval:(pause:!t,value:0),time:(from:'2022-08-25T13:39:47.516329Z',to:'2022-08-25T17:39:47.516329Z'))&amp;_a=(description:'',filters:!(),fullScreenMode:!f,options:(hidePanelTitles:!f,syncColors:!f,useMargins:!t),query:(language:kuery,query:'log_id.keyword%20:%20%2269659ecc-3260-425c-9001-42b6776e3bf9%22%20'))" xr:uid="{FBDE512B-40F0-4809-8A5D-27540389638B}"/>
    <hyperlink ref="F191" r:id="rId259" xr:uid="{4B3D52FB-2A49-45BD-B033-B07412263513}"/>
    <hyperlink ref="G191" r:id="rId260" location="/view/e4708350-2da7-11ec-92dc-ed19b3b10cf9?_g=(filters:!(),refreshInterval:(pause:!t,value:0),time:(from:'2022-08-25T16:04:29.043291Z',to:'2022-08-25T20:04:29.043291Z'))&amp;_a=(description:'',filters:!(),fullScreenMode:!f,options:(hidePanelTitles:!f,syncColors:!f,useMargins:!t),query:(language:kuery,query:'log_id.keyword%20:%20%2296999c74-85b1-439f-9119-e9039352e7ff%22%20'))" xr:uid="{BC78506C-2E1D-424A-A039-D8F563B6A766}"/>
    <hyperlink ref="F193" r:id="rId261" xr:uid="{55C0669D-5B1D-4B63-89AF-D1115CF26DE4}"/>
    <hyperlink ref="G193" r:id="rId262" location="/view/e4708350-2da7-11ec-92dc-ed19b3b10cf9?_g=(filters:!(),refreshInterval:(pause:!t,value:0),time:(from:'2022-08-25T19:45:50.503143Z',to:'2022-08-25T23:45:50.503143Z'))&amp;_a=(description:'',filters:!(),fullScreenMode:!f,options:(hidePanelTitles:!f,syncColors:!f,useMargins:!t),query:(language:kuery,query:'log_id.keyword%20:%20%22a705e644-90cc-45ef-b50d-59e04495dd0c%22%20'))" xr:uid="{9FB5FEA5-80C5-4A5D-A321-4527668F1323}"/>
    <hyperlink ref="F192" r:id="rId263" xr:uid="{3F36CCBC-9A23-4634-8C9C-A4FA431988F7}"/>
    <hyperlink ref="G192" r:id="rId264" location="/view/e4708350-2da7-11ec-92dc-ed19b3b10cf9?_g=(filters:!(),refreshInterval:(pause:!t,value:0),time:(from:'2022-08-25T19:44:59.417686Z',to:'2022-08-25T23:44:59.417686Z'))&amp;_a=(description:'',filters:!(),fullScreenMode:!f,options:(hidePanelTitles:!f,syncColors:!f,useMargins:!t),query:(language:kuery,query:'log_id.keyword%20:%20%2287bc15ad-cb50-448a-a403-c12c3ee8c387%22%20'))" xr:uid="{DABF4C9B-C454-4998-96E5-CF3C98229ADF}"/>
    <hyperlink ref="F194" r:id="rId265" xr:uid="{0A99A537-49A4-4993-A3F4-CAA13127226F}"/>
    <hyperlink ref="G194" r:id="rId266" location="/view/e4708350-2da7-11ec-92dc-ed19b3b10cf9?_g=(filters:!(),refreshInterval:(pause:!t,value:0),time:(from:'2022-08-25T21:46:29.036319Z',to:'2022-08-26T01:46:29.036319Z'))&amp;_a=(description:'',filters:!(),fullScreenMode:!f,options:(hidePanelTitles:!f,syncColors:!f,useMargins:!t),query:(language:kuery,query:'log_id.keyword%20:%20%229eb255f3-4694-4d48-8cbd-01d841138420%22%20'))" xr:uid="{D20F1EBA-D03D-4252-9FB4-659337DCC462}"/>
    <hyperlink ref="F196" r:id="rId267" xr:uid="{3EBCD563-46EC-4CAC-9535-8125E1AE9C04}"/>
    <hyperlink ref="G196" r:id="rId268" location="/view/e4708350-2da7-11ec-92dc-ed19b3b10cf9?_g=(filters:!(),refreshInterval:(pause:!t,value:0),time:(from:'2022-08-26T07:13:28.780264Z',to:'2022-08-26T11:13:28.780264Z'))&amp;_a=(description:'',filters:!(),fullScreenMode:!f,options:(hidePanelTitles:!f,syncColors:!f,useMargins:!t),query:(language:kuery,query:'log_id.keyword%20:%20%221ec45d5e-cb0f-4403-a16a-c88e653b9d33%22%20'))" xr:uid="{3ABB2475-B791-409B-8F42-3A5AAC64B0EC}"/>
    <hyperlink ref="F195" r:id="rId269" xr:uid="{C35F751C-83D6-48D3-AB74-AA33BEA16E49}"/>
    <hyperlink ref="G195" r:id="rId270" location="/view/e4708350-2da7-11ec-92dc-ed19b3b10cf9?_g=(filters:!(),refreshInterval:(pause:!t,value:0),time:(from:'2022-08-26T07:05:03.463936Z',to:'2022-08-26T11:05:03.463936Z'))&amp;_a=(description:'',filters:!(),fullScreenMode:!f,options:(hidePanelTitles:!f,syncColors:!f,useMargins:!t),query:(language:kuery,query:'log_id.keyword%20:%20%221940902b-952d-47ca-9699-fa9321754777%22%20'))" xr:uid="{C6CFB098-9E74-4658-9B29-6E9C429EB598}"/>
    <hyperlink ref="F219" r:id="rId271" xr:uid="{E398413C-3C9D-464B-A750-3D818FB9CF0E}"/>
    <hyperlink ref="G219" r:id="rId272" location="/view/e4708350-2da7-11ec-92dc-ed19b3b10cf9?_g=(filters:!(),refreshInterval:(pause:!t,value:0),time:(from:'2022-08-29T21:31:51.023309Z',to:'2022-08-30T01:31:51.023309Z'))&amp;_a=(description:'',filters:!(),fullScreenMode:!f,options:(hidePanelTitles:!f,syncColors:!f,useMargins:!t),query:(language:kuery,query:'log_id.keyword%20:%20%224e27362a-f706-4d0a-b6e7-39389bf25b29%22%20'))" xr:uid="{50659AAB-801D-4642-9A64-D8E7B7399F6F}"/>
    <hyperlink ref="F218" r:id="rId273" xr:uid="{12897E5D-0CEF-4739-B96C-91D78BF8C258}"/>
    <hyperlink ref="G218" r:id="rId274" location="/view/e4708350-2da7-11ec-92dc-ed19b3b10cf9?_g=(filters:!(),refreshInterval:(pause:!t,value:0),time:(from:'2022-08-29T17:51:18.133815Z',to:'2022-08-29T21:51:18.133815Z'))&amp;_a=(description:'',filters:!(),fullScreenMode:!f,options:(hidePanelTitles:!f,syncColors:!f,useMargins:!t),query:(language:kuery,query:'log_id.keyword%20:%20%22b3ccbb42-4421-4b20-bbc0-b4fbbe531877%22%20'))" xr:uid="{6668503B-DF64-44F7-BF6F-E041203F9D8A}"/>
    <hyperlink ref="F220" r:id="rId275" xr:uid="{AA272FE3-4BBD-4690-98D9-097CFD878368}"/>
    <hyperlink ref="G220" r:id="rId276" location="/view/e4708350-2da7-11ec-92dc-ed19b3b10cf9?_g=(filters:!(),refreshInterval:(pause:!t,value:0),time:(from:'2022-08-30T01:55:37.550127Z',to:'2022-08-30T05:55:37.550127Z'))&amp;_a=(description:'',filters:!(),fullScreenMode:!f,options:(hidePanelTitles:!f,syncColors:!f,useMargins:!t),query:(language:kuery,query:'log_id.keyword%20:%20%22c697c21c-f7d6-400e-b044-801efaaaf97d%22%20'))" xr:uid="{923A994C-BD0F-4C28-83DF-419B95257868}"/>
    <hyperlink ref="F223" r:id="rId277" xr:uid="{791D11AA-2142-4940-BDB9-CB57AA583156}"/>
    <hyperlink ref="G223" r:id="rId278" location="/view/e4708350-2da7-11ec-92dc-ed19b3b10cf9?_g=(filters:!(),refreshInterval:(pause:!t,value:0),time:(from:'2022-08-30T02:22:09.352186Z',to:'2022-08-30T06:22:09.352186Z'))&amp;_a=(description:'',filters:!(),fullScreenMode:!f,options:(hidePanelTitles:!f,syncColors:!f,useMargins:!t),query:(language:kuery,query:'log_id.keyword%20:%20%220c4cef0f-4be5-4212-9c91-bcba218be3d0%22%20'))" xr:uid="{562BDE30-7D34-4B86-BAC2-B749B0739EE2}"/>
    <hyperlink ref="F222" r:id="rId279" xr:uid="{2D87B5EF-E181-4ED6-A9C1-1E39EF25CAEE}"/>
    <hyperlink ref="G222" r:id="rId280" location="/view/e4708350-2da7-11ec-92dc-ed19b3b10cf9?_g=(filters:!(),refreshInterval:(pause:!t,value:0),time:(from:'2022-08-30T02:20:53.776176Z',to:'2022-08-30T06:20:53.776176Z'))&amp;_a=(description:'',filters:!(),fullScreenMode:!f,options:(hidePanelTitles:!f,syncColors:!f,useMargins:!t),query:(language:kuery,query:'log_id.keyword%20:%20%2221eec462-963f-483c-a999-680ab6240cff%22%20'))" xr:uid="{12C25848-A454-4800-9811-576749F506CF}"/>
    <hyperlink ref="F221" r:id="rId281" xr:uid="{5365A23F-9E6B-4767-8561-B5C3B900D74D}"/>
    <hyperlink ref="G221" r:id="rId282" location="/view/e4708350-2da7-11ec-92dc-ed19b3b10cf9?_g=(filters:!(),refreshInterval:(pause:!t,value:0),time:(from:'2022-08-30T02:19:02.796078Z',to:'2022-08-30T06:19:02.796078Z'))&amp;_a=(description:'',filters:!(),fullScreenMode:!f,options:(hidePanelTitles:!f,syncColors:!f,useMargins:!t),query:(language:kuery,query:'log_id.keyword%20:%20%2212cda4d6-7837-4514-8007-1c9cffe4d737%22%20'))" xr:uid="{8CD697EA-49CE-4A3F-B8B8-478B23ECC346}"/>
    <hyperlink ref="F229" r:id="rId283" xr:uid="{CD8499E7-4458-4BEF-86AA-7CC1156C219F}"/>
    <hyperlink ref="G229" r:id="rId284" location="/view/e4708350-2da7-11ec-92dc-ed19b3b10cf9?_g=(filters:!(),refreshInterval:(pause:!t,value:0),time:(from:'2022-08-31T10:28:03.055685Z',to:'2022-08-31T14:28:03.055685Z'))&amp;_a=(description:'',filters:!(),fullScreenMode:!f,options:(hidePanelTitles:!f,syncColors:!f,useMargins:!t),query:(language:kuery,query:'log_id.keyword%20:%20%22ff208b44-bff9-4541-b440-b166bb9798d9%22%20'))" xr:uid="{43A53C07-6071-4A6F-B388-2341AFA4646B}"/>
    <hyperlink ref="F240" r:id="rId285" xr:uid="{75B72924-AED3-4F39-87A9-3AA353C3A12D}"/>
    <hyperlink ref="G240" r:id="rId286" location="/view/e4708350-2da7-11ec-92dc-ed19b3b10cf9?_g=(filters:!(),refreshInterval:(pause:!t,value:0),time:(from:'2022-08-31T17:13:17.463462Z',to:'2022-08-31T21:13:17.463462Z'))&amp;_a=(description:'',filters:!(),fullScreenMode:!f,options:(hidePanelTitles:!f,syncColors:!f,useMargins:!t),query:(language:kuery,query:'log_id.keyword%20:%20%2236a1dfb9-c27d-4159-9878-9e62455c2257%22%20'))" xr:uid="{1C055B45-F2F6-4C60-9E09-4EB06013F36C}"/>
    <hyperlink ref="F238" r:id="rId287" xr:uid="{568F0BCE-0CB2-46AE-86A6-62EB1197954A}"/>
    <hyperlink ref="G238" r:id="rId288" location="/view/e4708350-2da7-11ec-92dc-ed19b3b10cf9?_g=(filters:!(),refreshInterval:(pause:!t,value:0),time:(from:'2022-08-31T15:59:29.237833Z',to:'2022-08-31T19:59:29.237833Z'))&amp;_a=(description:'',filters:!(),fullScreenMode:!f,options:(hidePanelTitles:!f,syncColors:!f,useMargins:!t),query:(language:kuery,query:'log_id.keyword%20:%20%22643671ed-a8a4-46c4-b9fe-8c4bc9042d6b%22%20'))" xr:uid="{F914F749-5A6B-4AA6-9A14-FDD43D3D06DE}"/>
    <hyperlink ref="F237" r:id="rId289" xr:uid="{D855A25B-872F-4C33-993C-9668C46D605E}"/>
    <hyperlink ref="G237" r:id="rId290" location="/view/e4708350-2da7-11ec-92dc-ed19b3b10cf9?_g=(filters:!(),refreshInterval:(pause:!t,value:0),time:(from:'2022-08-31T15:58:35.713846Z',to:'2022-08-31T19:58:35.713846Z'))&amp;_a=(description:'',filters:!(),fullScreenMode:!f,options:(hidePanelTitles:!f,syncColors:!f,useMargins:!t),query:(language:kuery,query:'log_id.keyword%20:%20%22a899f7ed-ba58-4afb-a8fd-f52883ec2c18%22%20'))" xr:uid="{EB3A4FCC-E9BC-4DC6-B2C8-F47633EE0926}"/>
    <hyperlink ref="F236" r:id="rId291" xr:uid="{2C4E2CED-6CEF-4C86-BD6D-A2C5494A196C}"/>
    <hyperlink ref="G236" r:id="rId292" location="/view/e4708350-2da7-11ec-92dc-ed19b3b10cf9?_g=(filters:!(),refreshInterval:(pause:!t,value:0),time:(from:'2022-08-31T15:02:59.715731Z',to:'2022-08-31T19:02:59.715731Z'))&amp;_a=(description:'',filters:!(),fullScreenMode:!f,options:(hidePanelTitles:!f,syncColors:!f,useMargins:!t),query:(language:kuery,query:'log_id.keyword%20:%20%22e4fc8641-a022-4935-a971-914c0c7726cb%22%20'))" xr:uid="{08FCBEC6-5A5F-4B9C-AA2F-1D0EB0CADE03}"/>
    <hyperlink ref="F251" r:id="rId293" xr:uid="{A5A7A846-DEA6-4329-AA7A-73F8B71FDB20}"/>
    <hyperlink ref="G251" r:id="rId294" location="/view/e4708350-2da7-11ec-92dc-ed19b3b10cf9?_g=(filters:!(),refreshInterval:(pause:!t,value:0),time:(from:'2022-09-01T08:41:21.103465Z',to:'2022-09-01T12:41:21.103465Z'))&amp;_a=(description:'',filters:!(),fullScreenMode:!f,options:(hidePanelTitles:!f,syncColors:!f,useMargins:!t),query:(language:kuery,query:'log_id.keyword%20:%20%229fab8b2d-c5fe-43f0-8d30-690a6c391015%22%20'))" xr:uid="{8F5B1435-C87D-470F-B025-1BB00F8377F1}"/>
    <hyperlink ref="F254" r:id="rId295" xr:uid="{74FF9849-B79E-4198-97D9-53593E8AB20F}"/>
    <hyperlink ref="G254" r:id="rId296" location="/view/e4708350-2da7-11ec-92dc-ed19b3b10cf9?_g=(filters:!(),refreshInterval:(pause:!t,value:0),time:(from:'2022-09-01T11:08:45.534802Z',to:'2022-09-01T15:08:45.534802Z'))&amp;_a=(description:'',filters:!(),fullScreenMode:!f,options:(hidePanelTitles:!f,syncColors:!f,useMargins:!t),query:(language:kuery,query:'log_id.keyword%20:%20%226c461c75-f7e5-4593-a4d7-b1b21fe7eb65%22%20'))" xr:uid="{7E4D5939-A38F-41A0-AE8E-BEB90D01E6F2}"/>
    <hyperlink ref="F260" r:id="rId297" xr:uid="{B7DC5554-B33B-423F-BA71-52BF8882416A}"/>
    <hyperlink ref="G260" r:id="rId298" location="/view/e4708350-2da7-11ec-92dc-ed19b3b10cf9?_g=(filters:!(),refreshInterval:(pause:!t,value:0),time:(from:'2022-09-01T12:32:09.805804Z',to:'2022-09-01T16:32:09.805804Z'))&amp;_a=(description:'',filters:!(),fullScreenMode:!f,options:(hidePanelTitles:!f,syncColors:!f,useMargins:!t),query:(language:kuery,query:'log_id.keyword%20:%20%221603406f-0dab-40f0-83c9-e38b82e87aef%22%20'))" xr:uid="{41CF2E90-416C-499A-8DEF-D63886B82023}"/>
    <hyperlink ref="F258" r:id="rId299" xr:uid="{F799C157-65E7-4842-A889-0C7E44AA7A7F}"/>
    <hyperlink ref="G258" r:id="rId300" location="/view/e4708350-2da7-11ec-92dc-ed19b3b10cf9?_g=(filters:!(),refreshInterval:(pause:!t,value:0),time:(from:'2022-09-01T12:25:33.948995Z',to:'2022-09-01T16:25:33.948995Z'))&amp;_a=(description:'',filters:!(),fullScreenMode:!f,options:(hidePanelTitles:!f,syncColors:!f,useMargins:!t),query:(language:kuery,query:'log_id.keyword%20:%20%22ec0ccf0d-e95d-4ca0-b263-c8425d4e49c0%22%20'))" xr:uid="{5BED71D6-48F2-4C63-AA35-0AF9F3AE69AB}"/>
    <hyperlink ref="F266" r:id="rId301" xr:uid="{66C2BEC6-5D77-424A-9B3E-624EDE004D3E}"/>
    <hyperlink ref="G266" r:id="rId302" location="/view/e4708350-2da7-11ec-92dc-ed19b3b10cf9?_g=(filters:!(),refreshInterval:(pause:!t,value:0),time:(from:'2022-09-01T17:31:03.077129Z',to:'2022-09-01T21:31:03.077129Z'))&amp;_a=(description:'',filters:!(),fullScreenMode:!f,options:(hidePanelTitles:!f,syncColors:!f,useMargins:!t),query:(language:kuery,query:'log_id.keyword%20:%20%220345b7f2-751f-4133-a1c2-e87e324bf97b%22%20'))" xr:uid="{0F7C6317-3D65-4A1D-ADD1-56337CBC69B4}"/>
    <hyperlink ref="F262" r:id="rId303" xr:uid="{6F1B4E25-6D15-49DB-B795-DD1774291B48}"/>
    <hyperlink ref="G262" r:id="rId304" location="/view/e4708350-2da7-11ec-92dc-ed19b3b10cf9?_g=(filters:!(),refreshInterval:(pause:!t,value:0),time:(from:'2022-09-01T14:02:12.652510Z',to:'2022-09-01T18:02:12.652510Z'))&amp;_a=(description:'',filters:!(),fullScreenMode:!f,options:(hidePanelTitles:!f,syncColors:!f,useMargins:!t),query:(language:kuery,query:'log_id.keyword%20:%20%22467af639-2264-436e-91e6-a84862c54a29%22%20'))" xr:uid="{00574827-25B1-44FD-9A6B-2A6279DD1F11}"/>
    <hyperlink ref="F285" r:id="rId305" xr:uid="{FB5A777D-0074-4AA4-A98C-299E4566A77E}"/>
    <hyperlink ref="G285" r:id="rId306" location="/view/e4708350-2da7-11ec-92dc-ed19b3b10cf9?_g=(filters:!(),refreshInterval:(pause:!t,value:0),time:(from:'2022-09-05T20:51:38.907595Z',to:'2022-09-06T00:51:38.907595Z'))&amp;_a=(description:'',filters:!(),fullScreenMode:!f,options:(hidePanelTitles:!f,syncColors:!f,useMargins:!t),query:(language:kuery,query:'log_id.keyword%20:%20%228542f974-31ca-4b55-876f-14c2d58b5efa%22%20'))" xr:uid="{5957F6CC-E79A-4968-BA61-15EB1B12A22A}"/>
    <hyperlink ref="F284" r:id="rId307" xr:uid="{C81FDC2F-6E3F-4BD0-B44E-CBBFD4A2299F}"/>
    <hyperlink ref="G284" r:id="rId308" location="/view/e4708350-2da7-11ec-92dc-ed19b3b10cf9?_g=(filters:!(),refreshInterval:(pause:!t,value:0),time:(from:'2022-09-05T19:07:54.612062Z',to:'2022-09-05T23:07:54.612062Z'))&amp;_a=(description:'',filters:!(),fullScreenMode:!f,options:(hidePanelTitles:!f,syncColors:!f,useMargins:!t),query:(language:kuery,query:'log_id.keyword%20:%20%224569a49d-72f9-480d-949a-4116d16f9a37%22%20'))" xr:uid="{B5EBB84F-30B3-4D7A-90ED-6FB9E00B158C}"/>
    <hyperlink ref="F283" r:id="rId309" xr:uid="{EC77DF58-6860-48F2-A990-9D1408AD81CE}"/>
    <hyperlink ref="G283" r:id="rId310" location="/view/e4708350-2da7-11ec-92dc-ed19b3b10cf9?_g=(filters:!(),refreshInterval:(pause:!t,value:0),time:(from:'2022-09-05T16:00:44.678707Z',to:'2022-09-05T20:00:44.678707Z'))&amp;_a=(description:'',filters:!(),fullScreenMode:!f,options:(hidePanelTitles:!f,syncColors:!f,useMargins:!t),query:(language:kuery,query:'log_id.keyword%20:%20%22aa5bae68-a5c2-4d4c-9d4c-3769e27c7498%22%20'))" xr:uid="{08B1914E-4535-4EB4-80B5-9DB25BB00E3E}"/>
    <hyperlink ref="F288" r:id="rId311" xr:uid="{74B91924-2F14-468B-9661-0C65EB703C7E}"/>
    <hyperlink ref="G288" r:id="rId312" location="/view/e4708350-2da7-11ec-92dc-ed19b3b10cf9?_g=(filters:!(),refreshInterval:(pause:!t,value:0),time:(from:'2022-09-07T19:09:20.978551Z',to:'2022-09-07T23:09:20.978551Z'))&amp;_a=(description:'',filters:!(),fullScreenMode:!f,options:(hidePanelTitles:!f,syncColors:!f,useMargins:!t),query:(language:kuery,query:'log_id.keyword%20:%20%22ceb9a9e8-a929-4a48-a794-77747341d639%22%20'))" xr:uid="{CE3A951C-D6A3-4CA0-ABF3-503A145B1280}"/>
    <hyperlink ref="F287" r:id="rId313" xr:uid="{6C689115-ECAB-4C8C-856F-CBD94C6FB570}"/>
    <hyperlink ref="G287" r:id="rId314" location="/view/e4708350-2da7-11ec-92dc-ed19b3b10cf9?_g=(filters:!(),refreshInterval:(pause:!t,value:0),time:(from:'2022-09-07T17:07:12.727886Z',to:'2022-09-07T21:07:12.727886Z'))&amp;_a=(description:'',filters:!(),fullScreenMode:!f,options:(hidePanelTitles:!f,syncColors:!f,useMargins:!t),query:(language:kuery,query:'log_id.keyword%20:%20%223863ec98-7acb-4755-ac86-20ced35403a1%22%20'))" xr:uid="{C041C19F-594D-4C38-891E-FB40C1FC3572}"/>
    <hyperlink ref="F286" r:id="rId315" xr:uid="{6F7C474F-9EA3-4E61-97A7-078ACD3556E4}"/>
    <hyperlink ref="G286" r:id="rId316" location="/view/e4708350-2da7-11ec-92dc-ed19b3b10cf9?_g=(filters:!(),refreshInterval:(pause:!t,value:0),time:(from:'2022-09-07T16:57:58.813583Z',to:'2022-09-07T20:57:58.813583Z'))&amp;_a=(description:'',filters:!(),fullScreenMode:!f,options:(hidePanelTitles:!f,syncColors:!f,useMargins:!t),query:(language:kuery,query:'log_id.keyword%20:%20%2242020332-4898-4d84-9ba3-77f7c6fc4b79%22%20'))" xr:uid="{58C6A24F-86CF-4BD2-9860-A34AD5C6ED7F}"/>
    <hyperlink ref="F289" r:id="rId317" xr:uid="{CCF1E934-4992-4F94-9D2B-BED508CE1119}"/>
    <hyperlink ref="G289" r:id="rId318" location="/view/e4708350-2da7-11ec-92dc-ed19b3b10cf9?_g=(filters:!(),refreshInterval:(pause:!t,value:0),time:(from:'2022-09-08T01:56:37.490612Z',to:'2022-09-08T05:56:37.490612Z'))&amp;_a=(description:'',filters:!(),fullScreenMode:!f,options:(hidePanelTitles:!f,syncColors:!f,useMargins:!t),query:(language:kuery,query:'log_id.keyword%20:%20%225cbf76bd-8daa-4175-8eef-328067c4d761%22%20'))" xr:uid="{C11A2EA7-BF8B-4941-B558-230285509EE9}"/>
    <hyperlink ref="F290" r:id="rId319" xr:uid="{B8888F6E-56B6-4F08-8D06-F113ED0C328E}"/>
    <hyperlink ref="G290" r:id="rId320" location="/view/e4708350-2da7-11ec-92dc-ed19b3b10cf9?_g=(filters:!(),refreshInterval:(pause:!t,value:0),time:(from:'2022-09-08T02:58:59.131991Z',to:'2022-09-08T06:58:59.131991Z'))&amp;_a=(description:'',filters:!(),fullScreenMode:!f,options:(hidePanelTitles:!f,syncColors:!f,useMargins:!t),query:(language:kuery,query:'log_id.keyword%20:%20%226fd66e03-5b83-404d-ac8a-c3966b821963%22%20'))" xr:uid="{6CD8B2E9-D332-4D86-9081-8E298B320CBB}"/>
    <hyperlink ref="F300" r:id="rId321" xr:uid="{D8E37617-6145-4020-B717-A6D13BA44671}"/>
    <hyperlink ref="G300" r:id="rId322" location="/view/e4708350-2da7-11ec-92dc-ed19b3b10cf9?_g=(filters:!(),refreshInterval:(pause:!t,value:0),time:(from:'2022-09-12T18:51:44.576938Z',to:'2022-09-12T22:51:44.576938Z'))&amp;_a=(description:'',filters:!(),fullScreenMode:!f,options:(hidePanelTitles:!f,syncColors:!f,useMargins:!t),query:(language:kuery,query:'log_id.keyword%20:%20%220f87d519-ff80-4ecc-b93d-2c589fb53e41%22%20'))" xr:uid="{CE61B0AD-99E0-4143-B4C2-58757AAB538D}"/>
    <hyperlink ref="F299" r:id="rId323" xr:uid="{AB66A1F3-D6EB-498E-8F91-7E1126151A03}"/>
    <hyperlink ref="G299" r:id="rId324" location="/view/e4708350-2da7-11ec-92dc-ed19b3b10cf9?_g=(filters:!(),refreshInterval:(pause:!t,value:0),time:(from:'2022-09-12T15:00:16.449582Z',to:'2022-09-12T19:00:16.449582Z'))&amp;_a=(description:'',filters:!(),fullScreenMode:!f,options:(hidePanelTitles:!f,syncColors:!f,useMargins:!t),query:(language:kuery,query:'log_id.keyword%20:%20%22f7d7ca8f-9aca-49f0-8f7c-0066d071eef5%22%20'))" xr:uid="{58E100FC-EA32-465C-95BC-972524FF2FD1}"/>
    <hyperlink ref="F298" r:id="rId325" xr:uid="{37BE8045-2665-447D-8289-78557624D423}"/>
    <hyperlink ref="G298" r:id="rId326" location="/view/e4708350-2da7-11ec-92dc-ed19b3b10cf9?_g=(filters:!(),refreshInterval:(pause:!t,value:0),time:(from:'2022-09-12T14:57:40.368508Z',to:'2022-09-12T18:57:40.368508Z'))&amp;_a=(description:'',filters:!(),fullScreenMode:!f,options:(hidePanelTitles:!f,syncColors:!f,useMargins:!t),query:(language:kuery,query:'log_id.keyword%20:%20%2250c0bb17-d657-46e0-9de3-c72d1361e953%22%20'))" xr:uid="{FFE3AEBB-0B1E-412C-B401-D8CCFF414A48}"/>
    <hyperlink ref="F297" r:id="rId327" xr:uid="{E0FC6C9C-6D19-4E99-A07E-679E818634B2}"/>
    <hyperlink ref="G297" r:id="rId328" location="/view/e4708350-2da7-11ec-92dc-ed19b3b10cf9?_g=(filters:!(),refreshInterval:(pause:!t,value:0),time:(from:'2022-09-12T14:55:46.465083Z',to:'2022-09-12T18:55:46.465083Z'))&amp;_a=(description:'',filters:!(),fullScreenMode:!f,options:(hidePanelTitles:!f,syncColors:!f,useMargins:!t),query:(language:kuery,query:'log_id.keyword%20:%20%221bddb9ed-ed43-4150-818e-51c01a4a25ea%22%20'))" xr:uid="{991AF641-F954-4D5A-A06D-00F9B1971A98}"/>
    <hyperlink ref="F296" r:id="rId329" xr:uid="{65CCCE12-CE0F-4427-804B-BC5C13F73E95}"/>
    <hyperlink ref="G296" r:id="rId330" location="/view/e4708350-2da7-11ec-92dc-ed19b3b10cf9?_g=(filters:!(),refreshInterval:(pause:!t,value:0),time:(from:'2022-09-12T14:47:56.273102Z',to:'2022-09-12T18:47:56.273102Z'))&amp;_a=(description:'',filters:!(),fullScreenMode:!f,options:(hidePanelTitles:!f,syncColors:!f,useMargins:!t),query:(language:kuery,query:'log_id.keyword%20:%20%2265eb0b84-743e-4cbf-911a-7d99fa82e61b%22%20'))" xr:uid="{39646309-5CF5-4FF0-94B6-B49D97F7E8A1}"/>
    <hyperlink ref="F295" r:id="rId331" xr:uid="{47F78AC4-00F0-4F8C-AE7D-2782A3CB934A}"/>
    <hyperlink ref="G295" r:id="rId332" location="/view/e4708350-2da7-11ec-92dc-ed19b3b10cf9?_g=(filters:!(),refreshInterval:(pause:!t,value:0),time:(from:'2022-09-12T14:39:56.556326Z',to:'2022-09-12T18:39:56.556326Z'))&amp;_a=(description:'',filters:!(),fullScreenMode:!f,options:(hidePanelTitles:!f,syncColors:!f,useMargins:!t),query:(language:kuery,query:'log_id.keyword%20:%20%226a41364e-0c62-494b-9f30-3c212eb91104%22%20'))" xr:uid="{42B2FF62-4948-468C-8C13-A4E3DED622F1}"/>
    <hyperlink ref="F294" r:id="rId333" xr:uid="{CBEFF9C2-97D6-48F1-8278-B28C378E7472}"/>
    <hyperlink ref="G294" r:id="rId334" location="/view/e4708350-2da7-11ec-92dc-ed19b3b10cf9?_g=(filters:!(),refreshInterval:(pause:!t,value:0),time:(from:'2022-09-12T14:39:01.415930Z',to:'2022-09-12T18:39:01.415930Z'))&amp;_a=(description:'',filters:!(),fullScreenMode:!f,options:(hidePanelTitles:!f,syncColors:!f,useMargins:!t),query:(language:kuery,query:'log_id.keyword%20:%20%229fc27f53-f123-4285-83b7-99d1146f1ecf%22%20'))" xr:uid="{1D989A2B-D4B3-4C74-BF54-A7F7FA18A3BB}"/>
    <hyperlink ref="F293" r:id="rId335" xr:uid="{5E2EF65A-AC94-4DD3-8A5A-ADC502B07103}"/>
    <hyperlink ref="G293" r:id="rId336" location="/view/e4708350-2da7-11ec-92dc-ed19b3b10cf9?_g=(filters:!(),refreshInterval:(pause:!t,value:0),time:(from:'2022-09-12T14:23:03.933340Z',to:'2022-09-12T18:23:03.933340Z'))&amp;_a=(description:'',filters:!(),fullScreenMode:!f,options:(hidePanelTitles:!f,syncColors:!f,useMargins:!t),query:(language:kuery,query:'log_id.keyword%20:%20%227a141440-7718-4a5b-aa74-7361c339681e%22%20'))" xr:uid="{BA172971-3170-4A7E-9ADD-41AE271FAF32}"/>
    <hyperlink ref="F292" r:id="rId337" xr:uid="{F1B749E5-F481-426D-8F7F-A0FB32BB0E14}"/>
    <hyperlink ref="G292" r:id="rId338" location="/view/e4708350-2da7-11ec-92dc-ed19b3b10cf9?_g=(filters:!(),refreshInterval:(pause:!t,value:0),time:(from:'2022-09-12T14:21:52.564866Z',to:'2022-09-12T18:21:52.564866Z'))&amp;_a=(description:'',filters:!(),fullScreenMode:!f,options:(hidePanelTitles:!f,syncColors:!f,useMargins:!t),query:(language:kuery,query:'log_id.keyword%20:%20%22e5643f33-3afb-4f6d-b3c3-cf409cf2c421%22%20'))" xr:uid="{0D8CB08A-7F55-4848-9F04-0ED2494B6A49}"/>
    <hyperlink ref="F291" r:id="rId339" xr:uid="{8A70CDB2-70E6-462A-978C-CEA162A21C97}"/>
    <hyperlink ref="G291" r:id="rId340" location="/view/e4708350-2da7-11ec-92dc-ed19b3b10cf9?_g=(filters:!(),refreshInterval:(pause:!t,value:0),time:(from:'2022-09-12T14:20:55.994267Z',to:'2022-09-12T18:20:55.994267Z'))&amp;_a=(description:'',filters:!(),fullScreenMode:!f,options:(hidePanelTitles:!f,syncColors:!f,useMargins:!t),query:(language:kuery,query:'log_id.keyword%20:%20%22e938471f-4e54-4525-8215-216faab21e23%22%20'))" xr:uid="{2FCE17E4-B573-4539-80A1-0074055A0BA8}"/>
    <hyperlink ref="F314" r:id="rId341" xr:uid="{563783E8-5681-48B3-BBAF-3FACDCE76DAE}"/>
    <hyperlink ref="G314" r:id="rId342" location="/view/e4708350-2da7-11ec-92dc-ed19b3b10cf9?_g=(filters:!(),refreshInterval:(pause:!t,value:0),time:(from:'2022-09-13T19:19:24.916494Z',to:'2022-09-13T23:19:24.916494Z'))&amp;_a=(description:'',filters:!(),fullScreenMode:!f,options:(hidePanelTitles:!f,syncColors:!f,useMargins:!t),query:(language:kuery,query:'log_id.keyword%20:%20%2296bf30c4-d2e4-4e79-9155-e652dac9d2f1%22%20'))" xr:uid="{4747A986-756D-4F11-9D0D-447F4C627337}"/>
    <hyperlink ref="F313" r:id="rId343" xr:uid="{EBEF5399-77FE-4FC6-9C0B-F6333FC35D1E}"/>
    <hyperlink ref="G313" r:id="rId344" location="/view/e4708350-2da7-11ec-92dc-ed19b3b10cf9?_g=(filters:!(),refreshInterval:(pause:!t,value:0),time:(from:'2022-09-13T18:51:28.846803Z',to:'2022-09-13T22:51:28.846803Z'))&amp;_a=(description:'',filters:!(),fullScreenMode:!f,options:(hidePanelTitles:!f,syncColors:!f,useMargins:!t),query:(language:kuery,query:'log_id.keyword%20:%20%22d7e4b522-543c-4482-802f-2265515f8cbf%22%20'))" xr:uid="{1CF75890-0E97-40DD-A6B4-045C99E07E22}"/>
    <hyperlink ref="F312" r:id="rId345" xr:uid="{4C7659FA-AAE2-43B2-9DD2-328BFE22D2BD}"/>
    <hyperlink ref="G312" r:id="rId346" location="/view/e4708350-2da7-11ec-92dc-ed19b3b10cf9?_g=(filters:!(),refreshInterval:(pause:!t,value:0),time:(from:'2022-09-13T18:50:41.837291Z',to:'2022-09-13T22:50:41.837291Z'))&amp;_a=(description:'',filters:!(),fullScreenMode:!f,options:(hidePanelTitles:!f,syncColors:!f,useMargins:!t),query:(language:kuery,query:'log_id.keyword%20:%20%22d2d1dfbc-3134-449b-b226-a86f06268634%22%20'))" xr:uid="{F7AB5E2D-1425-4ADE-932C-35B874ED5E63}"/>
    <hyperlink ref="F311" r:id="rId347" xr:uid="{13459479-CA3E-4869-8994-DAF1AAC2039E}"/>
    <hyperlink ref="G311" r:id="rId348" location="/view/e4708350-2da7-11ec-92dc-ed19b3b10cf9?_g=(filters:!(),refreshInterval:(pause:!t,value:0),time:(from:'2022-09-13T17:59:13.859987Z',to:'2022-09-13T21:59:13.859987Z'))&amp;_a=(description:'',filters:!(),fullScreenMode:!f,options:(hidePanelTitles:!f,syncColors:!f,useMargins:!t),query:(language:kuery,query:'log_id.keyword%20:%20%2237b66d30-14e4-434b-ae0a-8c341adb1863%22%20'))" xr:uid="{347768EB-F652-482B-894D-D754F74FD5D5}"/>
    <hyperlink ref="F310" r:id="rId349" xr:uid="{69450287-E06E-4CA3-B724-55F7C33D5852}"/>
    <hyperlink ref="G310" r:id="rId350" location="/view/e4708350-2da7-11ec-92dc-ed19b3b10cf9?_g=(filters:!(),refreshInterval:(pause:!t,value:0),time:(from:'2022-09-13T14:12:25.987849Z',to:'2022-09-13T18:12:25.987849Z'))&amp;_a=(description:'',filters:!(),fullScreenMode:!f,options:(hidePanelTitles:!f,syncColors:!f,useMargins:!t),query:(language:kuery,query:'log_id.keyword%20:%20%224db1923e-2410-4d61-8f5c-ca696af23278%22%20'))" xr:uid="{88E07BED-613D-47DD-BF04-12808426EFF1}"/>
    <hyperlink ref="F309" r:id="rId351" xr:uid="{2B24580C-B2AD-4A98-8753-2373C5F70CB0}"/>
    <hyperlink ref="G309" r:id="rId352" location="/view/e4708350-2da7-11ec-92dc-ed19b3b10cf9?_g=(filters:!(),refreshInterval:(pause:!t,value:0),time:(from:'2022-09-13T13:21:17.456658Z',to:'2022-09-13T17:21:17.456658Z'))&amp;_a=(description:'',filters:!(),fullScreenMode:!f,options:(hidePanelTitles:!f,syncColors:!f,useMargins:!t),query:(language:kuery,query:'log_id.keyword%20:%20%22592054fe-23a4-4ba4-83ff-86ae59be3b39%22%20'))" xr:uid="{32782D4B-02BF-4E94-9094-22781975AC86}"/>
    <hyperlink ref="F308" r:id="rId353" xr:uid="{C7863759-C905-4840-B6E0-6164DC1CEB73}"/>
    <hyperlink ref="G308" r:id="rId354" location="/view/e4708350-2da7-11ec-92dc-ed19b3b10cf9?_g=(filters:!(),refreshInterval:(pause:!t,value:0),time:(from:'2022-09-13T12:59:40.782032Z',to:'2022-09-13T16:59:40.782032Z'))&amp;_a=(description:'',filters:!(),fullScreenMode:!f,options:(hidePanelTitles:!f,syncColors:!f,useMargins:!t),query:(language:kuery,query:'log_id.keyword%20:%20%229b20a39e-86a1-4f0e-abf6-5c609dc284b8%22%20'))" xr:uid="{0C24B1D5-6798-4620-9A3B-898EAF2E3ED8}"/>
    <hyperlink ref="F307" r:id="rId355" xr:uid="{19353FE5-60E1-44A9-A547-EB2872E79A9C}"/>
    <hyperlink ref="G307" r:id="rId356" location="/view/e4708350-2da7-11ec-92dc-ed19b3b10cf9?_g=(filters:!(),refreshInterval:(pause:!t,value:0),time:(from:'2022-09-13T11:07:54.349354Z',to:'2022-09-13T15:07:54.349354Z'))&amp;_a=(description:'',filters:!(),fullScreenMode:!f,options:(hidePanelTitles:!f,syncColors:!f,useMargins:!t),query:(language:kuery,query:'log_id.keyword%20:%20%22f810b60c-227b-4c95-b324-9f314a039341%22%20'))" xr:uid="{C2BC7869-B6B5-437D-BE70-EDD9CFA26609}"/>
    <hyperlink ref="F306" r:id="rId357" xr:uid="{EF3D1711-B19F-4EF0-ABD5-6BBF6B702BEB}"/>
    <hyperlink ref="G306" r:id="rId358" location="/view/e4708350-2da7-11ec-92dc-ed19b3b10cf9?_g=(filters:!(),refreshInterval:(pause:!t,value:0),time:(from:'2022-09-13T10:44:09.000927Z',to:'2022-09-13T14:44:09.000927Z'))&amp;_a=(description:'',filters:!(),fullScreenMode:!f,options:(hidePanelTitles:!f,syncColors:!f,useMargins:!t),query:(language:kuery,query:'log_id.keyword%20:%20%223295ff2c-dd94-4b52-a9d9-5cd2af5b0e81%22%20'))" xr:uid="{B884741D-9F7B-4C12-8DF7-6032E4F1FAA9}"/>
    <hyperlink ref="F304" r:id="rId359" xr:uid="{31AC601E-9DCA-42D1-B82F-93149EB33739}"/>
    <hyperlink ref="G304" r:id="rId360" location="/view/e4708350-2da7-11ec-92dc-ed19b3b10cf9?_g=(filters:!(),refreshInterval:(pause:!t,value:0),time:(from:'2022-09-13T09:14:43.415143Z',to:'2022-09-13T13:14:43.415143Z'))&amp;_a=(description:'',filters:!(),fullScreenMode:!f,options:(hidePanelTitles:!f,syncColors:!f,useMargins:!t),query:(language:kuery,query:'log_id.keyword%20:%20%2228009ca8-fb00-438b-88e6-d3751e924339%22%20'))" xr:uid="{5002F773-406B-432B-8163-D888B231AE9A}"/>
    <hyperlink ref="F303" r:id="rId361" xr:uid="{27C92BAE-3257-4B9D-A95F-6EF6651507BE}"/>
    <hyperlink ref="G303" r:id="rId362" location="/view/e4708350-2da7-11ec-92dc-ed19b3b10cf9?_g=(filters:!(),refreshInterval:(pause:!t,value:0),time:(from:'2022-09-13T09:13:59.608765Z',to:'2022-09-13T13:13:59.608765Z'))&amp;_a=(description:'',filters:!(),fullScreenMode:!f,options:(hidePanelTitles:!f,syncColors:!f,useMargins:!t),query:(language:kuery,query:'log_id.keyword%20:%20%22f221d0b4-a901-487d-8379-227b1fce9261%22%20'))" xr:uid="{B4FE64EA-083E-4559-8EDD-FABE7F1C6243}"/>
    <hyperlink ref="F302" r:id="rId363" xr:uid="{E302F251-393B-42DA-A11A-049E95D62DD7}"/>
    <hyperlink ref="G302" r:id="rId364" location="/view/e4708350-2da7-11ec-92dc-ed19b3b10cf9?_g=(filters:!(),refreshInterval:(pause:!t,value:0),time:(from:'2022-09-13T09:11:24.222047Z',to:'2022-09-13T13:11:24.222047Z'))&amp;_a=(description:'',filters:!(),fullScreenMode:!f,options:(hidePanelTitles:!f,syncColors:!f,useMargins:!t),query:(language:kuery,query:'log_id.keyword%20:%20%2223dd2cd4-d919-4b65-b35f-a8f18babb882%22%20'))" xr:uid="{E729F6FA-7C78-4A6C-AF0B-DC6E5EEF9000}"/>
    <hyperlink ref="F301" r:id="rId365" xr:uid="{ED236AC4-9853-424F-8342-4F7BFBBBED92}"/>
    <hyperlink ref="G301" r:id="rId366" location="/view/e4708350-2da7-11ec-92dc-ed19b3b10cf9?_g=(filters:!(),refreshInterval:(pause:!t,value:0),time:(from:'2022-09-13T08:28:14.440771Z',to:'2022-09-13T12:28:14.440771Z'))&amp;_a=(description:'',filters:!(),fullScreenMode:!f,options:(hidePanelTitles:!f,syncColors:!f,useMargins:!t),query:(language:kuery,query:'log_id.keyword%20:%20%226e5f819e-9ed4-4252-af91-b78eafaf2df8%22%20'))" xr:uid="{F031BC7C-B8A5-4BC7-A5F2-943E99098427}"/>
    <hyperlink ref="F315" r:id="rId367" xr:uid="{C865348B-98B0-442E-AA2E-1971AB8F8F47}"/>
    <hyperlink ref="G315" r:id="rId368" location="/view/e4708350-2da7-11ec-92dc-ed19b3b10cf9?_g=(filters:!(),refreshInterval:(pause:!t,value:0),time:(from:'2022-09-14T02:33:07.287836Z',to:'2022-09-14T06:33:07.287836Z'))&amp;_a=(description:'',filters:!(),fullScreenMode:!f,options:(hidePanelTitles:!f,syncColors:!f,useMargins:!t),query:(language:kuery,query:'log_id.keyword%20:%20%22e3f9e34c-a183-4846-8266-53b0e4584fa1%22%20'))" xr:uid="{217A480F-DED5-40B5-B532-AA0B10662F56}"/>
    <hyperlink ref="F317" r:id="rId369" xr:uid="{D01DCB5C-AB28-4092-9F06-37A7F3F33567}"/>
    <hyperlink ref="G317" r:id="rId370" location="/view/e4708350-2da7-11ec-92dc-ed19b3b10cf9?_g=(filters:!(),refreshInterval:(pause:!t,value:0),time:(from:'2022-09-14T07:02:07.214238Z',to:'2022-09-14T11:02:07.214238Z'))&amp;_a=(description:'',filters:!(),fullScreenMode:!f,options:(hidePanelTitles:!f,syncColors:!f,useMargins:!t),query:(language:kuery,query:'log_id.keyword%20:%20%22d1776d2e-73de-4398-b705-2926e1fa9090%22%20'))" xr:uid="{27842C08-4ACF-4DCF-A9FC-802092F4F187}"/>
    <hyperlink ref="F316" r:id="rId371" xr:uid="{60472A79-60CC-47FE-8E62-DC2E864EC4FA}"/>
    <hyperlink ref="G316" r:id="rId372" location="/view/e4708350-2da7-11ec-92dc-ed19b3b10cf9?_g=(filters:!(),refreshInterval:(pause:!t,value:0),time:(from:'2022-09-14T06:55:50.567554Z',to:'2022-09-14T10:55:50.567554Z'))&amp;_a=(description:'',filters:!(),fullScreenMode:!f,options:(hidePanelTitles:!f,syncColors:!f,useMargins:!t),query:(language:kuery,query:'log_id.keyword%20:%20%228910b440-4226-45ee-936f-0e407ea10e22%22%20'))" xr:uid="{D69259DF-E26E-424B-8542-20B83DF2488C}"/>
    <hyperlink ref="F319" r:id="rId373" xr:uid="{0EC5422F-A833-4942-93DE-E096772C6A0F}"/>
    <hyperlink ref="G319" r:id="rId374" location="/view/e4708350-2da7-11ec-92dc-ed19b3b10cf9?_g=(filters:!(),refreshInterval:(pause:!t,value:0),time:(from:'2022-09-14T07:23:00.208205Z',to:'2022-09-14T11:23:00.208205Z'))&amp;_a=(description:'',filters:!(),fullScreenMode:!f,options:(hidePanelTitles:!f,syncColors:!f,useMargins:!t),query:(language:kuery,query:'log_id.keyword%20:%20%225073a8e4-a89b-44b1-8d89-60017a9fdef4%22%20'))" xr:uid="{9B624103-79CE-4FE9-8A75-EA27705B35E0}"/>
    <hyperlink ref="F318" r:id="rId375" xr:uid="{2D7FD3F1-6CEB-4AC5-80E8-A40FEA13437C}"/>
    <hyperlink ref="G318" r:id="rId376" location="/view/e4708350-2da7-11ec-92dc-ed19b3b10cf9?_g=(filters:!(),refreshInterval:(pause:!t,value:0),time:(from:'2022-09-14T07:21:31.552814Z',to:'2022-09-14T11:21:31.552814Z'))&amp;_a=(description:'',filters:!(),fullScreenMode:!f,options:(hidePanelTitles:!f,syncColors:!f,useMargins:!t),query:(language:kuery,query:'log_id.keyword%20:%20%22a6f1327e-b3f3-4d00-a43f-a47f7a922e89%22%20'))" xr:uid="{517E95C7-757A-4C65-815B-CB8FAC5D9DB6}"/>
    <hyperlink ref="F320" r:id="rId377" xr:uid="{4F46BDAB-7F62-4733-9D5B-46A10AA072B8}"/>
    <hyperlink ref="G320" r:id="rId378" location="/view/e4708350-2da7-11ec-92dc-ed19b3b10cf9?_g=(filters:!(),refreshInterval:(pause:!t,value:0),time:(from:'2022-09-14T10:12:09.896903Z',to:'2022-09-14T14:12:09.896903Z'))&amp;_a=(description:'',filters:!(),fullScreenMode:!f,options:(hidePanelTitles:!f,syncColors:!f,useMargins:!t),query:(language:kuery,query:'log_id.keyword%20:%20%2267a075d2-cbfe-4967-a145-17e5146dc66b%22%20'))" xr:uid="{93FCAEB5-E4AD-454C-9002-43EB2516B95F}"/>
    <hyperlink ref="F326" r:id="rId379" xr:uid="{CC8F1EF9-D9E9-4D47-9DD5-D88AF8C647AC}"/>
    <hyperlink ref="G326" r:id="rId380" location="/view/e4708350-2da7-11ec-92dc-ed19b3b10cf9?_g=(filters:!(),refreshInterval:(pause:!t,value:0),time:(from:'2022-09-14T20:27:45.429740Z',to:'2022-09-15T00:27:45.429740Z'))&amp;_a=(description:'',filters:!(),fullScreenMode:!f,options:(hidePanelTitles:!f,syncColors:!f,useMargins:!t),query:(language:kuery,query:'log_id.keyword%20:%20%227846f0ee-0476-45db-8e5c-b0660b1a12e8%22%20'))" xr:uid="{1FDA59B8-F21F-47DA-9404-C649E105D42D}"/>
    <hyperlink ref="F325" r:id="rId381" xr:uid="{D8DB5EA8-1131-4E6B-8E30-9F54B7323CB5}"/>
    <hyperlink ref="G325" r:id="rId382" location="/view/e4708350-2da7-11ec-92dc-ed19b3b10cf9?_g=(filters:!(),refreshInterval:(pause:!t,value:0),time:(from:'2022-09-14T19:59:40.756167Z',to:'2022-09-14T23:59:40.756167Z'))&amp;_a=(description:'',filters:!(),fullScreenMode:!f,options:(hidePanelTitles:!f,syncColors:!f,useMargins:!t),query:(language:kuery,query:'log_id.keyword%20:%20%228a86a657-b8f8-413c-9c6d-ebf77eb98a83%22%20'))" xr:uid="{77D2F22A-6E26-4FAF-AD5B-B9D72FF80664}"/>
    <hyperlink ref="F324" r:id="rId383" xr:uid="{1CB5B862-42C6-46FD-9E60-4656A1DB6136}"/>
    <hyperlink ref="G324" r:id="rId384" location="/view/e4708350-2da7-11ec-92dc-ed19b3b10cf9?_g=(filters:!(),refreshInterval:(pause:!t,value:0),time:(from:'2022-09-14T19:14:35.207133Z',to:'2022-09-14T23:14:35.207133Z'))&amp;_a=(description:'',filters:!(),fullScreenMode:!f,options:(hidePanelTitles:!f,syncColors:!f,useMargins:!t),query:(language:kuery,query:'log_id.keyword%20:%20%223ada1a4c-82c6-49ab-8d15-d4b4231830ef%22%20'))" xr:uid="{57EC6C76-DC46-4696-8DFB-1548EA6B5E14}"/>
    <hyperlink ref="F323" r:id="rId385" xr:uid="{2FDFDE47-4DB9-4DB4-BAA5-F132207B6A5D}"/>
    <hyperlink ref="G323" r:id="rId386" location="/view/e4708350-2da7-11ec-92dc-ed19b3b10cf9?_g=(filters:!(),refreshInterval:(pause:!t,value:0),time:(from:'2022-09-14T18:02:33.377734Z',to:'2022-09-14T22:02:33.377734Z'))&amp;_a=(description:'',filters:!(),fullScreenMode:!f,options:(hidePanelTitles:!f,syncColors:!f,useMargins:!t),query:(language:kuery,query:'log_id.keyword%20:%20%222837d406-0c8e-49f6-a10d-0fa5eecf5eb6%22%20'))" xr:uid="{E985484E-AD66-4EBE-875F-1A61D55A2784}"/>
    <hyperlink ref="F322" r:id="rId387" xr:uid="{E7219DFE-C79C-4228-BC70-038A4F58968E}"/>
    <hyperlink ref="G322" r:id="rId388" location="/view/e4708350-2da7-11ec-92dc-ed19b3b10cf9?_g=(filters:!(),refreshInterval:(pause:!t,value:0),time:(from:'2022-09-14T12:22:04.119448Z',to:'2022-09-14T16:22:04.119448Z'))&amp;_a=(description:'',filters:!(),fullScreenMode:!f,options:(hidePanelTitles:!f,syncColors:!f,useMargins:!t),query:(language:kuery,query:'log_id.keyword%20:%20%228de62c9e-30a0-466f-a574-d5ffaf9f6cdf%22%20'))" xr:uid="{E0034989-9457-4F22-A776-892D45A24C78}"/>
    <hyperlink ref="F321" r:id="rId389" xr:uid="{1D94E023-8AD3-480F-9C44-A114078773EF}"/>
    <hyperlink ref="G321" r:id="rId390" location="/view/e4708350-2da7-11ec-92dc-ed19b3b10cf9?_g=(filters:!(),refreshInterval:(pause:!t,value:0),time:(from:'2022-09-14T10:30:50.570819Z',to:'2022-09-14T14:30:50.570819Z'))&amp;_a=(description:'',filters:!(),fullScreenMode:!f,options:(hidePanelTitles:!f,syncColors:!f,useMargins:!t),query:(language:kuery,query:'log_id.keyword%20:%20%2285da5a0c-7ab2-427f-8dfa-eee3a620847b%22%20'))" xr:uid="{85056901-3733-438D-9650-B0D38412943B}"/>
    <hyperlink ref="F333" r:id="rId391" xr:uid="{1B898ABD-7485-4301-BAE5-C42DCAB9E3E8}"/>
    <hyperlink ref="G333" r:id="rId392" location="/view/e4708350-2da7-11ec-92dc-ed19b3b10cf9?_g=(filters:!(),refreshInterval:(pause:!t,value:0),time:(from:'2022-09-15T10:53:12.449516Z',to:'2022-09-15T14:53:12.449516Z'))&amp;_a=(description:'',filters:!(),fullScreenMode:!f,options:(hidePanelTitles:!f,syncColors:!f,useMargins:!t),query:(language:kuery,query:'log_id.keyword%20:%20%222b229780-a523-4034-a074-fe0f59797fae%22%20'))" xr:uid="{EB8DED1D-DA32-4C55-B59F-A2570C191C75}"/>
    <hyperlink ref="F332" r:id="rId393" xr:uid="{D82358CC-287D-40D8-A17A-1CADB9016BE4}"/>
    <hyperlink ref="G332" r:id="rId394" location="/view/e4708350-2da7-11ec-92dc-ed19b3b10cf9?_g=(filters:!(),refreshInterval:(pause:!t,value:0),time:(from:'2022-09-15T10:52:19.511735Z',to:'2022-09-15T14:52:19.511735Z'))&amp;_a=(description:'',filters:!(),fullScreenMode:!f,options:(hidePanelTitles:!f,syncColors:!f,useMargins:!t),query:(language:kuery,query:'log_id.keyword%20:%20%2289d23ecb-f215-4fd2-a3f9-724d69ad19fe%22%20'))" xr:uid="{D18071A4-0060-414A-B332-545E1D017FD6}"/>
    <hyperlink ref="F331" r:id="rId395" xr:uid="{B54D6523-F359-4B8C-8ED6-5FFD0E7DF506}"/>
    <hyperlink ref="G331" r:id="rId396" location="/view/e4708350-2da7-11ec-92dc-ed19b3b10cf9?_g=(filters:!(),refreshInterval:(pause:!t,value:0),time:(from:'2022-09-15T09:32:13.359907Z',to:'2022-09-15T13:32:13.359907Z'))&amp;_a=(description:'',filters:!(),fullScreenMode:!f,options:(hidePanelTitles:!f,syncColors:!f,useMargins:!t),query:(language:kuery,query:'log_id.keyword%20:%20%229ef56a0d-16cd-48ab-849a-970240a0238f%22%20'))" xr:uid="{5819235C-D051-4F95-AFB0-14E11BB7BE8B}"/>
    <hyperlink ref="F330" r:id="rId397" xr:uid="{DB47702D-BCD8-4581-BFA4-2060A1F6A74A}"/>
    <hyperlink ref="G330" r:id="rId398" location="/view/e4708350-2da7-11ec-92dc-ed19b3b10cf9?_g=(filters:!(),refreshInterval:(pause:!t,value:0),time:(from:'2022-09-15T09:00:23.735139Z',to:'2022-09-15T13:00:23.735139Z'))&amp;_a=(description:'',filters:!(),fullScreenMode:!f,options:(hidePanelTitles:!f,syncColors:!f,useMargins:!t),query:(language:kuery,query:'log_id.keyword%20:%20%22d42ca90e-a8eb-4205-8c65-7a2e7df9f5b0%22%20'))" xr:uid="{046F97B3-83D4-44BB-A8DC-68DE1888BF16}"/>
    <hyperlink ref="F329" r:id="rId399" xr:uid="{D5929E07-9788-40C9-A4A9-B2D69D18A50E}"/>
    <hyperlink ref="G329" r:id="rId400" location="/view/e4708350-2da7-11ec-92dc-ed19b3b10cf9?_g=(filters:!(),refreshInterval:(pause:!t,value:0),time:(from:'2022-09-15T08:37:38.654198Z',to:'2022-09-15T12:37:38.654198Z'))&amp;_a=(description:'',filters:!(),fullScreenMode:!f,options:(hidePanelTitles:!f,syncColors:!f,useMargins:!t),query:(language:kuery,query:'log_id.keyword%20:%20%223320714b-9a36-47d6-b834-368f8f1a4c03%22%20'))" xr:uid="{150B145E-0602-4AFB-A786-EB1D17A1C55F}"/>
    <hyperlink ref="F328" r:id="rId401" xr:uid="{6EE1C43A-96A9-4939-BE8F-A5CEE5227DE0}"/>
    <hyperlink ref="G328" r:id="rId402" location="/view/e4708350-2da7-11ec-92dc-ed19b3b10cf9?_g=(filters:!(),refreshInterval:(pause:!t,value:0),time:(from:'2022-09-15T04:24:52.400444Z',to:'2022-09-15T08:24:52.400444Z'))&amp;_a=(description:'',filters:!(),fullScreenMode:!f,options:(hidePanelTitles:!f,syncColors:!f,useMargins:!t),query:(language:kuery,query:'log_id.keyword%20:%20%223f17846c-c7e5-4613-8652-16aa5bfcb76c%22%20'))" xr:uid="{4FBAAD74-3486-459E-9540-8B66B2696FF7}"/>
    <hyperlink ref="F327" r:id="rId403" xr:uid="{A405CBB3-EE35-4B89-899F-FE4E734C65B4}"/>
    <hyperlink ref="G327" r:id="rId404" location="/view/e4708350-2da7-11ec-92dc-ed19b3b10cf9?_g=(filters:!(),refreshInterval:(pause:!t,value:0),time:(from:'2022-09-15T04:22:56.177606Z',to:'2022-09-15T08:22:56.177606Z'))&amp;_a=(description:'',filters:!(),fullScreenMode:!f,options:(hidePanelTitles:!f,syncColors:!f,useMargins:!t),query:(language:kuery,query:'log_id.keyword%20:%20%22a4f6507a-6315-44a8-a9c9-0860dc8a6b4a%22%20'))" xr:uid="{EC0303C7-F60A-4654-A5C2-4DB36EA77CB3}"/>
    <hyperlink ref="F334" r:id="rId405" xr:uid="{A042E5B6-F32A-4ECD-9426-221DBB0C1C4C}"/>
    <hyperlink ref="G334" r:id="rId406" location="/view/e4708350-2da7-11ec-92dc-ed19b3b10cf9?_g=(filters:!(),refreshInterval:(pause:!t,value:0),time:(from:'2022-09-15T11:00:10.855843Z',to:'2022-09-15T15:00:10.855843Z'))&amp;_a=(description:'',filters:!(),fullScreenMode:!f,options:(hidePanelTitles:!f,syncColors:!f,useMargins:!t),query:(language:kuery,query:'log_id.keyword%20:%20%227cc1ecbf-c15e-451f-94ee-3890d8918560%22%20'))" xr:uid="{F1C9B254-AAB9-48DC-839F-02C00F3B0EA0}"/>
    <hyperlink ref="F339" r:id="rId407" xr:uid="{113731BE-EFCE-4977-8C6E-9237FFA2F026}"/>
    <hyperlink ref="G339" r:id="rId408" location="/view/e4708350-2da7-11ec-92dc-ed19b3b10cf9?_g=(filters:!(),refreshInterval:(pause:!t,value:0),time:(from:'2022-09-15T14:34:41.018196Z',to:'2022-09-15T18:34:41.018196Z'))&amp;_a=(description:'',filters:!(),fullScreenMode:!f,options:(hidePanelTitles:!f,syncColors:!f,useMargins:!t),query:(language:kuery,query:'log_id.keyword%20:%20%22e3205a13-9c50-49b7-91cf-ef0c7271bc6e%22%20'))" xr:uid="{F451B245-7244-4272-8ABB-90167BAA4370}"/>
    <hyperlink ref="F338" r:id="rId409" xr:uid="{9B6A923D-309E-4988-A141-56E006170642}"/>
    <hyperlink ref="G338" r:id="rId410" location="/view/e4708350-2da7-11ec-92dc-ed19b3b10cf9?_g=(filters:!(),refreshInterval:(pause:!t,value:0),time:(from:'2022-09-15T14:19:41.216233Z',to:'2022-09-15T18:19:41.216233Z'))&amp;_a=(description:'',filters:!(),fullScreenMode:!f,options:(hidePanelTitles:!f,syncColors:!f,useMargins:!t),query:(language:kuery,query:'log_id.keyword%20:%20%22a371565a-88b0-41d8-9fb5-0227a7175c07%22%20'))" xr:uid="{CA3F2028-9EC7-4F81-8ADA-DAF03DAE4C14}"/>
    <hyperlink ref="F337" r:id="rId411" xr:uid="{B2C37CBB-992E-4A72-9E53-A49531114B2E}"/>
    <hyperlink ref="G337" r:id="rId412" location="/view/e4708350-2da7-11ec-92dc-ed19b3b10cf9?_g=(filters:!(),refreshInterval:(pause:!t,value:0),time:(from:'2022-09-15T13:10:54.426594Z',to:'2022-09-15T17:10:54.426594Z'))&amp;_a=(description:'',filters:!(),fullScreenMode:!f,options:(hidePanelTitles:!f,syncColors:!f,useMargins:!t),query:(language:kuery,query:'log_id.keyword%20:%20%22f90bb712-cd56-48e9-82c1-2d94af4da606%22%20'))" xr:uid="{99B893FA-19A3-445A-9D5C-3239BC37B024}"/>
    <hyperlink ref="F336" r:id="rId413" xr:uid="{22F9C6D6-7E7B-4C1A-9A61-F2585D7BB816}"/>
    <hyperlink ref="G336" r:id="rId414" location="/view/e4708350-2da7-11ec-92dc-ed19b3b10cf9?_g=(filters:!(),refreshInterval:(pause:!t,value:0),time:(from:'2022-09-15T11:42:14.044761Z',to:'2022-09-15T15:42:14.044761Z'))&amp;_a=(description:'',filters:!(),fullScreenMode:!f,options:(hidePanelTitles:!f,syncColors:!f,useMargins:!t),query:(language:kuery,query:'log_id.keyword%20:%20%22afecd81e-240d-4676-b38f-76ca26070ea6%22%20'))" xr:uid="{7D767481-6380-4349-B33F-991BC6BB16EA}"/>
    <hyperlink ref="F335" r:id="rId415" xr:uid="{9565012B-6C6A-4974-8F52-7020153EA634}"/>
    <hyperlink ref="G335" r:id="rId416" location="/view/e4708350-2da7-11ec-92dc-ed19b3b10cf9?_g=(filters:!(),refreshInterval:(pause:!t,value:0),time:(from:'2022-09-15T11:38:41.958149Z',to:'2022-09-15T15:38:41.958149Z'))&amp;_a=(description:'',filters:!(),fullScreenMode:!f,options:(hidePanelTitles:!f,syncColors:!f,useMargins:!t),query:(language:kuery,query:'log_id.keyword%20:%20%2226cd128c-924e-4f87-bb83-25096a1a29ba%22%20'))" xr:uid="{84D6B2B6-2081-4A0A-A7D8-D9B4FFF23CA4}"/>
    <hyperlink ref="F340" r:id="rId417" xr:uid="{1CFC0184-3038-4DA7-B9E4-6E5FDB8E667B}"/>
    <hyperlink ref="G340" r:id="rId418" location="/view/e4708350-2da7-11ec-92dc-ed19b3b10cf9?_g=(filters:!(),refreshInterval:(pause:!t,value:0),time:(from:'2022-09-16T00:03:38.539853Z',to:'2022-09-16T04:03:38.539853Z'))&amp;_a=(description:'',filters:!(),fullScreenMode:!f,options:(hidePanelTitles:!f,syncColors:!f,useMargins:!t),query:(language:kuery,query:'log_id.keyword%20:%20%2287f4aecc-1ff8-417c-befe-0cd40fd6d51d%22%20'))" xr:uid="{D8E0D812-1F6E-4B2C-8C3B-AF79C0A112D0}"/>
    <hyperlink ref="F341" r:id="rId419" xr:uid="{10482F44-63CD-4E18-99F2-7FF5A5D3430D}"/>
    <hyperlink ref="G341" r:id="rId420" location="/view/e4708350-2da7-11ec-92dc-ed19b3b10cf9?_g=(filters:!(),refreshInterval:(pause:!t,value:0),time:(from:'2022-09-16T10:04:24.015215Z',to:'2022-09-16T14:04:24.015215Z'))&amp;_a=(description:'',filters:!(),fullScreenMode:!f,options:(hidePanelTitles:!f,syncColors:!f,useMargins:!t),query:(language:kuery,query:'log_id.keyword%20:%20%2298e7945c-2831-40b8-bf90-45e37b189676%22%20'))" xr:uid="{80045BAB-416F-49E4-BB3A-028A90487AB6}"/>
    <hyperlink ref="F342" r:id="rId421" xr:uid="{173BF80A-C202-454C-8936-B649B6B8D322}"/>
    <hyperlink ref="G342" r:id="rId422" location="/view/e4708350-2da7-11ec-92dc-ed19b3b10cf9?_g=(filters:!(),refreshInterval:(pause:!t,value:0),time:(from:'2022-09-16T11:20:26.289202Z',to:'2022-09-16T15:20:26.289202Z'))&amp;_a=(description:'',filters:!(),fullScreenMode:!f,options:(hidePanelTitles:!f,syncColors:!f,useMargins:!t),query:(language:kuery,query:'log_id.keyword%20:%20%22c7f42985-5e19-4ae0-ad69-be15c4b31d19%22%20'))" xr:uid="{2EF03346-81D4-4FA7-9213-7DDFAAE77A6D}"/>
    <hyperlink ref="F343" r:id="rId423" xr:uid="{0230EE27-A180-4238-91E2-4918B27E748E}"/>
    <hyperlink ref="G343" r:id="rId424" location="/view/e4708350-2da7-11ec-92dc-ed19b3b10cf9?_g=(filters:!(),refreshInterval:(pause:!t,value:0),time:(from:'2022-09-16T11:22:33.237102Z',to:'2022-09-16T15:22:33.237102Z'))&amp;_a=(description:'',filters:!(),fullScreenMode:!f,options:(hidePanelTitles:!f,syncColors:!f,useMargins:!t),query:(language:kuery,query:'log_id.keyword%20:%20%22b2ce2dbc-4ac7-4897-a06e-9ae15b782da1%22%20'))" xr:uid="{5D98E336-97B7-44D9-8C5B-5B894DF4FCC0}"/>
    <hyperlink ref="F344" r:id="rId425" xr:uid="{E0578174-59CC-4313-9361-4D9E7DF9F397}"/>
    <hyperlink ref="G344" r:id="rId426" location="/view/e4708350-2da7-11ec-92dc-ed19b3b10cf9?_g=(filters:!(),refreshInterval:(pause:!t,value:0),time:(from:'2022-09-16T11:22:33.237102Z',to:'2022-09-16T15:22:33.237102Z'))&amp;_a=(description:'',filters:!(),fullScreenMode:!f,options:(hidePanelTitles:!f,syncColors:!f,useMargins:!t),query:(language:kuery,query:'log_id.keyword%20:%20%22b2ce2dbc-4ac7-4897-a06e-9ae15b782da1%22%20'))" xr:uid="{965EA6D5-9D01-4FDB-9C57-076D9324539D}"/>
    <hyperlink ref="F345" r:id="rId427" xr:uid="{C24B8667-9020-4C89-92DD-DB495A0A1ADB}"/>
    <hyperlink ref="G345" r:id="rId428" location="/view/e4708350-2da7-11ec-92dc-ed19b3b10cf9?_g=(filters:!(),refreshInterval:(pause:!t,value:0),time:(from:'2022-09-16T11:26:22.954869Z',to:'2022-09-16T15:26:22.954869Z'))&amp;_a=(description:'',filters:!(),fullScreenMode:!f,options:(hidePanelTitles:!f,syncColors:!f,useMargins:!t),query:(language:kuery,query:'log_id.keyword%20:%20%222854a0d8-7513-4ed9-af73-985c0a129b64%22%20'))" xr:uid="{403006EC-9C14-47F6-A335-AB7BA2B0D680}"/>
    <hyperlink ref="F346" r:id="rId429" xr:uid="{A3D78FF4-95AC-4AF7-A51E-2E09DAFBBFFE}"/>
    <hyperlink ref="G346" r:id="rId430" location="/view/e4708350-2da7-11ec-92dc-ed19b3b10cf9?_g=(filters:!(),refreshInterval:(pause:!t,value:0),time:(from:'2022-09-16T11:27:16.750492Z',to:'2022-09-16T15:27:16.750492Z'))&amp;_a=(description:'',filters:!(),fullScreenMode:!f,options:(hidePanelTitles:!f,syncColors:!f,useMargins:!t),query:(language:kuery,query:'log_id.keyword%20:%20%22eec7afb0-c512-4310-923a-4f74ab1cb2cb%22%20'))" xr:uid="{28B89C7F-C9B4-4E83-8A23-81FF8BCB41DE}"/>
    <hyperlink ref="F347" r:id="rId431" xr:uid="{B5D330BB-D2CA-4A40-AADF-D85B39EEA25B}"/>
    <hyperlink ref="G347" r:id="rId432" location="/view/e4708350-2da7-11ec-92dc-ed19b3b10cf9?_g=(filters:!(),refreshInterval:(pause:!t,value:0),time:(from:'2022-09-16T11:33:43.294735Z',to:'2022-09-16T15:33:43.294735Z'))&amp;_a=(description:'',filters:!(),fullScreenMode:!f,options:(hidePanelTitles:!f,syncColors:!f,useMargins:!t),query:(language:kuery,query:'log_id.keyword%20:%20%22cfab0928-f65f-4ed0-b3a7-e5bc1f455e56%22%20'))" xr:uid="{03CEB499-15D1-4BEC-AE04-F2432365D5DF}"/>
    <hyperlink ref="F348" r:id="rId433" xr:uid="{E3C4F88E-01D1-4D37-A868-8AFF38CF49E1}"/>
    <hyperlink ref="G348" r:id="rId434" location="/view/e4708350-2da7-11ec-92dc-ed19b3b10cf9?_g=(filters:!(),refreshInterval:(pause:!t,value:0),time:(from:'2022-09-16T11:46:42.874778Z',to:'2022-09-16T15:46:42.874778Z'))&amp;_a=(description:'',filters:!(),fullScreenMode:!f,options:(hidePanelTitles:!f,syncColors:!f,useMargins:!t),query:(language:kuery,query:'log_id.keyword%20:%20%22856a4da4-8114-44bb-8ccf-04268602455e%22%20'))" xr:uid="{B7446668-6F13-4051-A453-B60E0858B0B8}"/>
    <hyperlink ref="F349" r:id="rId435" xr:uid="{1508032F-E3E4-4C55-BD65-94447E0477C2}"/>
    <hyperlink ref="G349" r:id="rId436" location="/view/e4708350-2da7-11ec-92dc-ed19b3b10cf9?_g=(filters:!(),refreshInterval:(pause:!t,value:0),time:(from:'2022-09-16T11:47:30.672815Z',to:'2022-09-16T15:47:30.672815Z'))&amp;_a=(description:'',filters:!(),fullScreenMode:!f,options:(hidePanelTitles:!f,syncColors:!f,useMargins:!t),query:(language:kuery,query:'log_id.keyword%20:%20%2280a418e5-35b6-451f-9f53-40a214cdc910%22%20'))" xr:uid="{10FD88AF-5C82-4EB5-B58C-3BB690E20CC6}"/>
    <hyperlink ref="F350" r:id="rId437" xr:uid="{CDB06C4E-C0F8-4D63-9327-3E9F3113EA5F}"/>
    <hyperlink ref="G350" r:id="rId438" location="/view/e4708350-2da7-11ec-92dc-ed19b3b10cf9?_g=(filters:!(),refreshInterval:(pause:!t,value:0),time:(from:'2022-09-16T11:49:20.182292Z',to:'2022-09-16T15:49:20.182292Z'))&amp;_a=(description:'',filters:!(),fullScreenMode:!f,options:(hidePanelTitles:!f,syncColors:!f,useMargins:!t),query:(language:kuery,query:'log_id.keyword%20:%20%22db0139a8-f736-42c1-9ba0-6a2b51943f62%22%20'))" xr:uid="{4322D33D-0A4D-4633-8D67-86CE028C8FDA}"/>
    <hyperlink ref="F351" r:id="rId439" xr:uid="{0AD43578-32C9-494C-843E-4DBEEFEE62CD}"/>
    <hyperlink ref="G351" r:id="rId440" location="/view/e4708350-2da7-11ec-92dc-ed19b3b10cf9?_g=(filters:!(),refreshInterval:(pause:!t,value:0),time:(from:'2022-09-16T11:50:52.864972Z',to:'2022-09-16T15:50:52.864972Z'))&amp;_a=(description:'',filters:!(),fullScreenMode:!f,options:(hidePanelTitles:!f,syncColors:!f,useMargins:!t),query:(language:kuery,query:'log_id.keyword%20:%20%22bdebb232-1f0b-4e5c-ab48-ae74f386b669%22%20'))" xr:uid="{73AE20CD-594A-423F-8E57-61E2064E449E}"/>
    <hyperlink ref="F352" r:id="rId441" xr:uid="{8DEFC8EE-231B-4FE1-B7F3-C12D680D1178}"/>
    <hyperlink ref="G352" r:id="rId442" location="/view/e4708350-2da7-11ec-92dc-ed19b3b10cf9?_g=(filters:!(),refreshInterval:(pause:!t,value:0),time:(from:'2022-09-16T12:00:25.125280Z',to:'2022-09-16T16:00:25.125280Z'))&amp;_a=(description:'',filters:!(),fullScreenMode:!f,options:(hidePanelTitles:!f,syncColors:!f,useMargins:!t),query:(language:kuery,query:'log_id.keyword%20:%20%22d8e06dea-8908-46f1-b753-a4aa4c2c27a3%22%20'))" xr:uid="{CA91F93E-BA66-461D-944C-294432B88BBC}"/>
    <hyperlink ref="F353" r:id="rId443" xr:uid="{8FE610FF-34C2-432D-AA3F-EAE36D8C228E}"/>
    <hyperlink ref="G353" r:id="rId444" location="/view/e4708350-2da7-11ec-92dc-ed19b3b10cf9?_g=(filters:!(),refreshInterval:(pause:!t,value:0),time:(from:'2022-09-16T12:02:40.906478Z',to:'2022-09-16T16:02:40.906478Z'))&amp;_a=(description:'',filters:!(),fullScreenMode:!f,options:(hidePanelTitles:!f,syncColors:!f,useMargins:!t),query:(language:kuery,query:'log_id.keyword%20:%20%2259d3014d-e395-4c33-8a47-7ea73c1c967a%22%20'))" xr:uid="{FBBBC564-FBCE-4D7F-A8D2-5EC87BA054B0}"/>
    <hyperlink ref="F354" r:id="rId445" xr:uid="{BC492A28-C36C-4B21-875B-CFC36DEAFC54}"/>
    <hyperlink ref="G354" r:id="rId446" location="/view/e4708350-2da7-11ec-92dc-ed19b3b10cf9?_g=(filters:!(),refreshInterval:(pause:!t,value:0),time:(from:'2022-09-16T12:03:26.740376Z',to:'2022-09-16T16:03:26.740376Z'))&amp;_a=(description:'',filters:!(),fullScreenMode:!f,options:(hidePanelTitles:!f,syncColors:!f,useMargins:!t),query:(language:kuery,query:'log_id.keyword%20:%20%22ad47feab-40ca-433b-a674-2b767549218d%22%20'))" xr:uid="{0BC79D42-31E1-4F47-AE03-8CA8524B1066}"/>
    <hyperlink ref="F355" r:id="rId447" xr:uid="{83804F6C-B736-4446-A33C-DBC1B6DB5008}"/>
    <hyperlink ref="G355" r:id="rId448" location="/view/e4708350-2da7-11ec-92dc-ed19b3b10cf9?_g=(filters:!(),refreshInterval:(pause:!t,value:0),time:(from:'2022-09-16T12:11:01.219925Z',to:'2022-09-16T16:11:01.219925Z'))&amp;_a=(description:'',filters:!(),fullScreenMode:!f,options:(hidePanelTitles:!f,syncColors:!f,useMargins:!t),query:(language:kuery,query:'log_id.keyword%20:%20%227c9c8f55-0692-40f6-b72f-90a438787a53%22%20'))" xr:uid="{9CC03AE7-4821-484C-BA2A-9697C5521099}"/>
    <hyperlink ref="F356" r:id="rId449" xr:uid="{86AE8B24-084E-42DD-B8B3-159D3D4D668E}"/>
    <hyperlink ref="G356" r:id="rId450" location="/view/e4708350-2da7-11ec-92dc-ed19b3b10cf9?_g=(filters:!(),refreshInterval:(pause:!t,value:0),time:(from:'2022-09-16T12:31:34.671060Z',to:'2022-09-16T16:31:34.671060Z'))&amp;_a=(description:'',filters:!(),fullScreenMode:!f,options:(hidePanelTitles:!f,syncColors:!f,useMargins:!t),query:(language:kuery,query:'log_id.keyword%20:%20%220801f3ed-7190-404a-96e3-b2b329b6b97f%22%20'))" xr:uid="{F3CC30EA-BDC3-4F61-846D-DB1DC97AB10E}"/>
    <hyperlink ref="F357" r:id="rId451" xr:uid="{C1464A8C-54B8-4ADF-BE95-B410C198DB8D}"/>
    <hyperlink ref="G357" r:id="rId452" location="/view/e4708350-2da7-11ec-92dc-ed19b3b10cf9?_g=(filters:!(),refreshInterval:(pause:!t,value:0),time:(from:'2022-09-16T12:48:29.852827Z',to:'2022-09-16T16:48:29.852827Z'))&amp;_a=(description:'',filters:!(),fullScreenMode:!f,options:(hidePanelTitles:!f,syncColors:!f,useMargins:!t),query:(language:kuery,query:'log_id.keyword%20:%20%22960a17b7-d0d5-4402-a932-cb729f324ccf%22%20'))" xr:uid="{12C749C9-EDB2-4104-80C7-776E7AC924A1}"/>
    <hyperlink ref="F358" r:id="rId453" xr:uid="{F3B20186-CDDE-4816-9196-E44202625B62}"/>
    <hyperlink ref="G358" r:id="rId454" location="/view/e4708350-2da7-11ec-92dc-ed19b3b10cf9?_g=(filters:!(),refreshInterval:(pause:!t,value:0),time:(from:'2022-09-16T12:49:09.071830Z',to:'2022-09-16T16:49:09.071830Z'))&amp;_a=(description:'',filters:!(),fullScreenMode:!f,options:(hidePanelTitles:!f,syncColors:!f,useMargins:!t),query:(language:kuery,query:'log_id.keyword%20:%20%224bbda550-0aa8-4f3e-ae8b-58947b683fae%22%20'))" xr:uid="{BCFBB04E-45EE-4D43-B23A-BDE59787F039}"/>
    <hyperlink ref="F359" r:id="rId455" xr:uid="{E898B39E-DFE3-4176-A513-0D4763327FFF}"/>
    <hyperlink ref="G359" r:id="rId456" location="/view/e4708350-2da7-11ec-92dc-ed19b3b10cf9?_g=(filters:!(),refreshInterval:(pause:!t,value:0),time:(from:'2022-09-16T12:55:40.961923Z',to:'2022-09-16T16:55:40.961923Z'))&amp;_a=(description:'',filters:!(),fullScreenMode:!f,options:(hidePanelTitles:!f,syncColors:!f,useMargins:!t),query:(language:kuery,query:'log_id.keyword%20:%20%22e14a520b-b056-4e37-9df0-53516d3c8a98%22%20'))" xr:uid="{2D45064F-11A9-44ED-92A5-0687199951B6}"/>
    <hyperlink ref="F360" r:id="rId457" xr:uid="{C3454D92-53F0-4D7B-A7B5-AF367CC1C8F3}"/>
    <hyperlink ref="G360" r:id="rId458" location="/view/e4708350-2da7-11ec-92dc-ed19b3b10cf9?_g=(filters:!(),refreshInterval:(pause:!t,value:0),time:(from:'2022-09-16T12:57:13.616091Z',to:'2022-09-16T16:57:13.616091Z'))&amp;_a=(description:'',filters:!(),fullScreenMode:!f,options:(hidePanelTitles:!f,syncColors:!f,useMargins:!t),query:(language:kuery,query:'log_id.keyword%20:%20%224d2b19d8-0549-42b7-96c1-deb7a8607538%22%20'))" xr:uid="{6BF5ABD2-71CE-46EC-9D9A-FD42EB8EFC4D}"/>
    <hyperlink ref="F361" r:id="rId459" xr:uid="{81D9F795-C4F4-4C73-8073-5BAD6CDB9099}"/>
    <hyperlink ref="G361" r:id="rId460" location="/view/e4708350-2da7-11ec-92dc-ed19b3b10cf9?_g=(filters:!(),refreshInterval:(pause:!t,value:0),time:(from:'2022-09-16T12:57:39.768492Z',to:'2022-09-16T16:57:39.768492Z'))&amp;_a=(description:'',filters:!(),fullScreenMode:!f,options:(hidePanelTitles:!f,syncColors:!f,useMargins:!t),query:(language:kuery,query:'log_id.keyword%20:%20%22256b483e-b92f-45a3-bf57-5532025ad4cb%22%20'))" xr:uid="{B93AC73C-CF69-4FEE-AF15-D78225EE4766}"/>
    <hyperlink ref="F362" r:id="rId461" xr:uid="{65BE73AA-6B22-4DF9-883D-279CA8533B59}"/>
    <hyperlink ref="G362" r:id="rId462" location="/view/e4708350-2da7-11ec-92dc-ed19b3b10cf9?_g=(filters:!(),refreshInterval:(pause:!t,value:0),time:(from:'2022-09-16T12:59:16.079181Z',to:'2022-09-16T16:59:16.079181Z'))&amp;_a=(description:'',filters:!(),fullScreenMode:!f,options:(hidePanelTitles:!f,syncColors:!f,useMargins:!t),query:(language:kuery,query:'log_id.keyword%20:%20%220a9dce57-6979-4fd4-861c-6d55f0d49220%22%20'))" xr:uid="{794C05CC-C414-4429-8053-7B8AFFBA8CFF}"/>
    <hyperlink ref="F363" r:id="rId463" xr:uid="{6095F965-7CB6-4D58-B156-AE8CB245243D}"/>
    <hyperlink ref="G363" r:id="rId464" location="/view/e4708350-2da7-11ec-92dc-ed19b3b10cf9?_g=(filters:!(),refreshInterval:(pause:!t,value:0),time:(from:'2022-09-16T18:22:44.600033Z',to:'2022-09-16T22:22:44.600033Z'))&amp;_a=(description:'',filters:!(),fullScreenMode:!f,options:(hidePanelTitles:!f,syncColors:!f,useMargins:!t),query:(language:kuery,query:'log_id.keyword%20:%20%222acb9cd4-c56a-4d1d-b585-faa4ae52d245%22%20'))" xr:uid="{132202E0-E244-4207-B1BB-AF44601238D8}"/>
    <hyperlink ref="F369" r:id="rId465" xr:uid="{766368E9-48ED-4CD4-9318-94605DE34946}"/>
    <hyperlink ref="G369" r:id="rId466" location="/view/e4708350-2da7-11ec-92dc-ed19b3b10cf9?_g=(filters:!(),refreshInterval:(pause:!t,value:0),time:(from:'2022-09-19T05:18:14.460286Z',to:'2022-09-19T09:18:14.460286Z'))&amp;_a=(description:'',filters:!(),fullScreenMode:!f,options:(hidePanelTitles:!f,syncColors:!f,useMargins:!t),query:(language:kuery,query:'log_id.keyword%20:%20%228544a7db-335e-4c02-8c62-755846dd6d82%22%20'))" xr:uid="{2DF0E8F5-8D00-4761-8562-920110C753CF}"/>
    <hyperlink ref="F368" r:id="rId467" xr:uid="{0871D9A1-A2D7-4B95-BAE8-482EC88C6E91}"/>
    <hyperlink ref="G368" r:id="rId468" location="/view/e4708350-2da7-11ec-92dc-ed19b3b10cf9?_g=(filters:!(),refreshInterval:(pause:!t,value:0),time:(from:'2022-09-19T05:02:51.339081Z',to:'2022-09-19T09:02:51.339081Z'))&amp;_a=(description:'',filters:!(),fullScreenMode:!f,options:(hidePanelTitles:!f,syncColors:!f,useMargins:!t),query:(language:kuery,query:'log_id.keyword%20:%20%221860db91-b786-42a7-b2f2-afe87bbff9e4%22%20'))" xr:uid="{D5FCBD16-F736-4B69-9D5E-AE32335056A4}"/>
    <hyperlink ref="F364" r:id="rId469" xr:uid="{515510ED-249B-4D96-A5D5-2121DB94E812}"/>
    <hyperlink ref="G364" r:id="rId470" location="/view/e4708350-2da7-11ec-92dc-ed19b3b10cf9?_g=(filters:!(),refreshInterval:(pause:!t,value:0),time:(from:'2022-09-18T15:11:16.747122Z',to:'2022-09-18T19:11:16.747122Z'))&amp;_a=(description:'',filters:!(),fullScreenMode:!f,options:(hidePanelTitles:!f,syncColors:!f,useMargins:!t),query:(language:kuery,query:'log_id.keyword%20:%20%22b9bdf44d-93b7-4cf4-9a39-db2581dc0919%22%20'))" xr:uid="{8EC11073-4EE9-4787-91F2-AEC2AC78B395}"/>
    <hyperlink ref="F365" r:id="rId471" xr:uid="{E3CEBCE5-D31C-44C8-8C0F-688AE7F6D19D}"/>
    <hyperlink ref="G365" r:id="rId472" location="/view/e4708350-2da7-11ec-92dc-ed19b3b10cf9?_g=(filters:!(),refreshInterval:(pause:!t,value:0),time:(from:'2022-09-18T20:03:54.227177Z',to:'2022-09-19T00:03:54.227177Z'))&amp;_a=(description:'',filters:!(),fullScreenMode:!f,options:(hidePanelTitles:!f,syncColors:!f,useMargins:!t),query:(language:kuery,query:'log_id.keyword%20:%20%22920bd4f8-c65c-48d8-aa35-8569e231a89e%22%20'))" xr:uid="{A47E0CA0-5E55-4998-A451-E67F24D7C292}"/>
    <hyperlink ref="F366" r:id="rId473" xr:uid="{B8C8BDCC-DD88-4585-B09E-66BB0A016AED}"/>
    <hyperlink ref="G366" r:id="rId474" location="/view/e4708350-2da7-11ec-92dc-ed19b3b10cf9?_g=(filters:!(),refreshInterval:(pause:!t,value:0),time:(from:'2022-09-19T03:02:17.368196Z',to:'2022-09-19T07:02:17.368196Z'))&amp;_a=(description:'',filters:!(),fullScreenMode:!f,options:(hidePanelTitles:!f,syncColors:!f,useMargins:!t),query:(language:kuery,query:'log_id.keyword%20:%20%22de879c19-856d-4929-b28d-67a256e10c16%22%20'))" xr:uid="{5E6C89FF-39B7-41F6-A762-BE7CBF316E5E}"/>
    <hyperlink ref="F367" r:id="rId475" xr:uid="{BF99554D-3962-4A96-B494-5928CE3FB4E9}"/>
    <hyperlink ref="G367" r:id="rId476" location="/view/e4708350-2da7-11ec-92dc-ed19b3b10cf9?_g=(filters:!(),refreshInterval:(pause:!t,value:0),time:(from:'2022-09-19T04:31:29.026162Z',to:'2022-09-19T08:31:29.026162Z'))&amp;_a=(description:'',filters:!(),fullScreenMode:!f,options:(hidePanelTitles:!f,syncColors:!f,useMargins:!t),query:(language:kuery,query:'log_id.keyword%20:%20%223a0777c8-4860-4156-b8d7-fa3574303fc7%22%20'))" xr:uid="{A24D81BC-15DB-49C0-AE9B-2A46622CABB9}"/>
    <hyperlink ref="F370" r:id="rId477" xr:uid="{1E2F18DE-C008-4812-B792-AA7C9A339918}"/>
    <hyperlink ref="G370" r:id="rId478" location="/view/e4708350-2da7-11ec-92dc-ed19b3b10cf9?_g=(filters:!(),refreshInterval:(pause:!t,value:0),time:(from:'2022-09-19T09:19:38.996131Z',to:'2022-09-19T13:19:38.996131Z'))&amp;_a=(description:'',filters:!(),fullScreenMode:!f,options:(hidePanelTitles:!f,syncColors:!f,useMargins:!t),query:(language:kuery,query:'log_id.keyword%20:%20%22bbd22aae-81dc-459c-95fe-7a4dd9e45bc5%22%20'))" xr:uid="{44A1B0AE-F8E8-4C6F-BE3E-05ED67A72C27}"/>
    <hyperlink ref="F372" r:id="rId479" xr:uid="{476E0C7E-B960-4CC7-AA36-4AB60A660AC6}"/>
    <hyperlink ref="G372" r:id="rId480" location="/view/e4708350-2da7-11ec-92dc-ed19b3b10cf9?_g=(filters:!(),refreshInterval:(pause:!t,value:0),time:(from:'2022-09-21T03:02:15.417038Z',to:'2022-09-21T07:02:15.417038Z'))&amp;_a=(description:'',filters:!(),fullScreenMode:!f,options:(hidePanelTitles:!f,syncColors:!f,useMargins:!t),query:(language:kuery,query:'log_id.keyword%20:%20%226b4c7072-f5d0-409f-98b5-c6abc8977a80%22%20'))" xr:uid="{523C237A-595E-4FDC-BEC5-8A7635AEF206}"/>
    <hyperlink ref="F374" r:id="rId481" xr:uid="{16F5DD77-CA41-4D24-B91F-14F200D42C30}"/>
    <hyperlink ref="G374" r:id="rId482" location="/view/e4708350-2da7-11ec-92dc-ed19b3b10cf9?_g=(filters:!(),refreshInterval:(pause:!t,value:0),time:(from:'2022-09-21T16:00:45.802457Z',to:'2022-09-21T20:00:45.802457Z'))&amp;_a=(description:'',filters:!(),fullScreenMode:!f,options:(hidePanelTitles:!f,syncColors:!f,useMargins:!t),query:(language:kuery,query:'log_id.keyword%20:%20%222356f5d5-1d82-4d1b-9e4d-6a1c5e028ed5%22%20'))" xr:uid="{E432A9FC-4D8C-4CBC-A7E6-0F09B10A3E5F}"/>
    <hyperlink ref="F373" r:id="rId483" xr:uid="{7F71E882-AA3D-4852-9A3E-298FDECBF8A4}"/>
    <hyperlink ref="G373" r:id="rId484" location="/view/e4708350-2da7-11ec-92dc-ed19b3b10cf9?_g=(filters:!(),refreshInterval:(pause:!t,value:0),time:(from:'2022-09-21T14:21:06.107030Z',to:'2022-09-21T18:21:06.107030Z'))&amp;_a=(description:'',filters:!(),fullScreenMode:!f,options:(hidePanelTitles:!f,syncColors:!f,useMargins:!t),query:(language:kuery,query:'log_id.keyword%20:%20%2281a0605d-1ebe-4ff2-85b1-b773e2fef663%22%20'))" xr:uid="{4CFD3BAF-C4C9-4660-AA76-1FA5C962A0C2}"/>
    <hyperlink ref="F375" r:id="rId485" xr:uid="{62714FEA-81AF-4C98-8118-9F4F87F42906}"/>
    <hyperlink ref="G375" r:id="rId486" location="/view/e4708350-2da7-11ec-92dc-ed19b3b10cf9?_g=(filters:!(),refreshInterval:(pause:!t,value:0),time:(from:'2022-09-22T04:42:02.664042Z',to:'2022-09-22T08:42:02.664042Z'))&amp;_a=(description:'',filters:!(),fullScreenMode:!f,options:(hidePanelTitles:!f,syncColors:!f,useMargins:!t),query:(language:kuery,query:'log_id.keyword%20:%20%226bc27dcf-6663-4bcd-b70e-3212d1473127%22%20'))" xr:uid="{DEA05918-2D0E-4080-9920-8ABAC5C98286}"/>
    <hyperlink ref="F378" r:id="rId487" xr:uid="{44D48EE9-93F3-4318-B627-9D5BB44E112D}"/>
    <hyperlink ref="G378" r:id="rId488" location="/view/e4708350-2da7-11ec-92dc-ed19b3b10cf9?_g=(filters:!(),refreshInterval:(pause:!t,value:0),time:(from:'2022-09-22T11:47:45.022946Z',to:'2022-09-22T15:47:45.022946Z'))&amp;_a=(description:'',filters:!(),fullScreenMode:!f,options:(hidePanelTitles:!f,syncColors:!f,useMargins:!t),query:(language:kuery,query:'log_id.keyword%20:%20%22fbebd83f-0aa5-4471-86f2-23fdba178268%22%20'))" xr:uid="{DF576846-3F9B-463C-94DC-42F13FFA85A3}"/>
    <hyperlink ref="F377" r:id="rId489" xr:uid="{9DBE079C-9815-4AD3-B4EA-2987837CAA8B}"/>
    <hyperlink ref="G377" r:id="rId490" location="/view/e4708350-2da7-11ec-92dc-ed19b3b10cf9?_g=(filters:!(),refreshInterval:(pause:!t,value:0),time:(from:'2022-09-22T11:47:12.618276Z',to:'2022-09-22T15:47:12.618276Z'))&amp;_a=(description:'',filters:!(),fullScreenMode:!f,options:(hidePanelTitles:!f,syncColors:!f,useMargins:!t),query:(language:kuery,query:'log_id.keyword%20:%20%22d3d9756d-2525-49a6-8c51-64e75be0adfb%22%20'))" xr:uid="{002FCAFE-6001-4140-B4F9-947C1545AE47}"/>
    <hyperlink ref="F376" r:id="rId491" xr:uid="{E21E2C3E-AAAE-407E-A698-3EAA5E00025C}"/>
    <hyperlink ref="G376" r:id="rId492" location="/view/e4708350-2da7-11ec-92dc-ed19b3b10cf9?_g=(filters:!(),refreshInterval:(pause:!t,value:0),time:(from:'2022-09-22T11:41:01.379035Z',to:'2022-09-22T15:41:01.379035Z'))&amp;_a=(description:'',filters:!(),fullScreenMode:!f,options:(hidePanelTitles:!f,syncColors:!f,useMargins:!t),query:(language:kuery,query:'log_id.keyword%20:%20%22acd23233-60be-4066-85c4-ad7e823c70bf%22%20'))" xr:uid="{F1E69AFC-6A38-4FBE-92B0-2089466B2D04}"/>
    <hyperlink ref="F379" r:id="rId493" xr:uid="{0061CAF5-B877-4898-9622-A5B90485504B}"/>
    <hyperlink ref="G379" r:id="rId494" location="/view/e4708350-2da7-11ec-92dc-ed19b3b10cf9?_g=(filters:!(),refreshInterval:(pause:!t,value:0),time:(from:'2022-09-23T20:33:38.118401Z',to:'2022-09-24T00:33:38.118401Z'))&amp;_a=(description:'',filters:!(),fullScreenMode:!f,options:(hidePanelTitles:!f,syncColors:!f,useMargins:!t),query:(language:kuery,query:'log_id.keyword%20:%20%224ff7b473-4313-4801-9f83-bb2ede124477%22%20'))" xr:uid="{388CE7EF-402E-41B1-A128-408DC8DF0F65}"/>
    <hyperlink ref="F386" r:id="rId495" xr:uid="{E524F0A9-3716-4366-A4D6-64F424F14A9F}"/>
    <hyperlink ref="G386" r:id="rId496" location="/view/e4708350-2da7-11ec-92dc-ed19b3b10cf9?_g=(filters:!(),refreshInterval:(pause:!t,value:0),time:(from:'2022-09-26T11:46:35.191288Z',to:'2022-09-26T15:46:35.191288Z'))&amp;_a=(description:'',filters:!(),fullScreenMode:!f,options:(hidePanelTitles:!f,syncColors:!f,useMargins:!t),query:(language:kuery,query:'log_id.keyword%20:%20%225ed139b4-7806-45fa-82d1-e19dbe845861%22%20'))" xr:uid="{CB603162-AABA-41A6-B8C6-FBC90D9EA493}"/>
    <hyperlink ref="F385" r:id="rId497" xr:uid="{3F29A7BC-818C-4C09-867C-FE344533AF4E}"/>
    <hyperlink ref="G385" r:id="rId498" location="/view/e4708350-2da7-11ec-92dc-ed19b3b10cf9?_g=(filters:!(),refreshInterval:(pause:!t,value:0),time:(from:'2022-09-26T11:46:07.683841Z',to:'2022-09-26T15:46:07.683841Z'))&amp;_a=(description:'',filters:!(),fullScreenMode:!f,options:(hidePanelTitles:!f,syncColors:!f,useMargins:!t),query:(language:kuery,query:'log_id.keyword%20:%20%22a240e115-dfd1-40b1-b07d-1d09ab6c11b0%22%20'))" xr:uid="{F14C25CA-4666-44B7-85E9-A4FD8AC7B53E}"/>
    <hyperlink ref="F382" r:id="rId499" xr:uid="{8175ADCC-B763-4450-8DF9-AAD4E3603E55}"/>
    <hyperlink ref="G382" r:id="rId500" location="/view/e4708350-2da7-11ec-92dc-ed19b3b10cf9?_g=(filters:!(),refreshInterval:(pause:!t,value:0),time:(from:'2022-09-26T11:39:52.347600Z',to:'2022-09-26T15:39:52.347600Z'))&amp;_a=(description:'',filters:!(),fullScreenMode:!f,options:(hidePanelTitles:!f,syncColors:!f,useMargins:!t),query:(language:kuery,query:'log_id.keyword%20:%20%22207ccb9a-ac16-4405-92da-bfee5a302d67%22%20'))" xr:uid="{52FBBE82-6C10-43D8-832C-D878651FC42A}"/>
    <hyperlink ref="F387" r:id="rId501" xr:uid="{578ACF12-0822-4B43-9D88-1B0B8765AE27}"/>
    <hyperlink ref="G387" r:id="rId502" location="/view/e4708350-2da7-11ec-92dc-ed19b3b10cf9?_g=(filters:!(),refreshInterval:(pause:!t,value:0),time:(from:'2022-09-26T13:06:35.129758Z',to:'2022-09-26T17:06:35.129758Z'))&amp;_a=(description:'',filters:!(),fullScreenMode:!f,options:(hidePanelTitles:!f,syncColors:!f,useMargins:!t),query:(language:kuery,query:'log_id.keyword%20:%20%22b38af0c4-6404-480c-8920-590bf506c5be%22%20'))" xr:uid="{256FACB8-D147-4897-9EC1-A41397F4F79E}"/>
    <hyperlink ref="F388" r:id="rId503" xr:uid="{EC0DA35A-8998-4597-A5AE-B972F8738F4E}"/>
    <hyperlink ref="G388" r:id="rId504" location="/view/e4708350-2da7-11ec-92dc-ed19b3b10cf9?_g=(filters:!(),refreshInterval:(pause:!t,value:0),time:(from:'2022-09-27T06:58:37.585132Z',to:'2022-09-27T10:58:37.585132Z'))&amp;_a=(description:'',filters:!(),fullScreenMode:!f,options:(hidePanelTitles:!f,syncColors:!f,useMargins:!t),query:(language:kuery,query:'log_id.keyword%20:%20%22d435aa86-b0cf-4692-9487-cbee796d95d2%22%20'))" xr:uid="{4A0A07EB-DE2B-48B2-A0F2-66992F5B75B0}"/>
    <hyperlink ref="F389" r:id="rId505" xr:uid="{75876E1B-C234-42C1-A415-CD6F356F76F4}"/>
    <hyperlink ref="G389" r:id="rId506" location="/view/e4708350-2da7-11ec-92dc-ed19b3b10cf9?_g=(filters:!(),refreshInterval:(pause:!t,value:0),time:(from:'2022-09-27T07:00:13.481337Z',to:'2022-09-27T11:00:13.481337Z'))&amp;_a=(description:'',filters:!(),fullScreenMode:!f,options:(hidePanelTitles:!f,syncColors:!f,useMargins:!t),query:(language:kuery,query:'log_id.keyword%20:%20%225d692df6-351f-4c4d-9378-371cdad7e05d%22%20'))" xr:uid="{7E7B635F-28F9-4965-9595-E2012C890DCF}"/>
    <hyperlink ref="F390" r:id="rId507" xr:uid="{27A8B637-1E1C-49D2-9A18-339FF77F0528}"/>
    <hyperlink ref="G390" r:id="rId508" location="/view/e4708350-2da7-11ec-92dc-ed19b3b10cf9?_g=(filters:!(),refreshInterval:(pause:!t,value:0),time:(from:'2022-09-27T07:00:36.368589Z',to:'2022-09-27T11:00:36.368589Z'))&amp;_a=(description:'',filters:!(),fullScreenMode:!f,options:(hidePanelTitles:!f,syncColors:!f,useMargins:!t),query:(language:kuery,query:'log_id.keyword%20:%20%22447dd7ff-4091-4641-a555-a42bb5d18910%22%20'))" xr:uid="{1C8E3366-C13B-4341-A574-74685C7B0F7F}"/>
    <hyperlink ref="F391" r:id="rId509" xr:uid="{C6476375-70CA-40DC-8BDC-43C0FF5DC5A5}"/>
    <hyperlink ref="G391" r:id="rId510" location="/view/e4708350-2da7-11ec-92dc-ed19b3b10cf9?_g=(filters:!(),refreshInterval:(pause:!t,value:0),time:(from:'2022-09-27T07:00:54.278359Z',to:'2022-09-27T11:00:54.278359Z'))&amp;_a=(description:'',filters:!(),fullScreenMode:!f,options:(hidePanelTitles:!f,syncColors:!f,useMargins:!t),query:(language:kuery,query:'log_id.keyword%20:%20%22285e2aed-dfe3-41bb-a157-a7388a6a198d%22%20'))" xr:uid="{D47F68E3-2DAE-4E32-A8D5-A93F9FE81513}"/>
    <hyperlink ref="F392" r:id="rId511" xr:uid="{055A7FEF-C5A3-4A8C-8C34-8E76BCAE14AF}"/>
    <hyperlink ref="G392" r:id="rId512" location="/view/e4708350-2da7-11ec-92dc-ed19b3b10cf9?_g=(filters:!(),refreshInterval:(pause:!t,value:0),time:(from:'2022-09-27T07:01:22.647518Z',to:'2022-09-27T11:01:22.647518Z'))&amp;_a=(description:'',filters:!(),fullScreenMode:!f,options:(hidePanelTitles:!f,syncColors:!f,useMargins:!t),query:(language:kuery,query:'log_id.keyword%20:%20%22aec1f9c7-559c-423a-aec8-ab63e71eb109%22%20'))" xr:uid="{B6931EB5-1201-431E-8E22-816F05ABB1B6}"/>
    <hyperlink ref="F393" r:id="rId513" xr:uid="{2439B117-5A08-4371-8A38-FDE066B1730A}"/>
    <hyperlink ref="G393" r:id="rId514" location="/view/e4708350-2da7-11ec-92dc-ed19b3b10cf9?_g=(filters:!(),refreshInterval:(pause:!t,value:0),time:(from:'2022-09-27T07:01:45.525038Z',to:'2022-09-27T11:01:45.525038Z'))&amp;_a=(description:'',filters:!(),fullScreenMode:!f,options:(hidePanelTitles:!f,syncColors:!f,useMargins:!t),query:(language:kuery,query:'log_id.keyword%20:%20%221ca76716-c403-4b77-9db8-19785d766327%22%20'))" xr:uid="{E5442C2F-C59C-40C7-934A-2D4D2DC37FC7}"/>
    <hyperlink ref="F394" r:id="rId515" xr:uid="{D9667630-C2DB-4649-B5DB-797337670776}"/>
    <hyperlink ref="G394" r:id="rId516" location="/view/e4708350-2da7-11ec-92dc-ed19b3b10cf9?_g=(filters:!(),refreshInterval:(pause:!t,value:0),time:(from:'2022-09-27T07:02:03.379973Z',to:'2022-09-27T11:02:03.379973Z'))&amp;_a=(description:'',filters:!(),fullScreenMode:!f,options:(hidePanelTitles:!f,syncColors:!f,useMargins:!t),query:(language:kuery,query:'log_id.keyword%20:%20%22ac1e2240-34a0-4404-afcc-a539f0db4bbb%22%20'))" xr:uid="{2B55F120-75FF-44F5-9743-C59ED68B917C}"/>
    <hyperlink ref="F395" r:id="rId517" xr:uid="{655370FE-A24B-4673-B1E7-A853227607F3}"/>
    <hyperlink ref="G395" r:id="rId518" location="/view/e4708350-2da7-11ec-92dc-ed19b3b10cf9?_g=(filters:!(),refreshInterval:(pause:!t,value:0),time:(from:'2022-09-27T07:02:21.068875Z',to:'2022-09-27T11:02:21.068875Z'))&amp;_a=(description:'',filters:!(),fullScreenMode:!f,options:(hidePanelTitles:!f,syncColors:!f,useMargins:!t),query:(language:kuery,query:'log_id.keyword%20:%20%22f12154d5-80d4-4254-8dad-6fd886fb3e7c%22%20'))" xr:uid="{9E679648-C94E-4BE2-8BB9-2E065CAC3805}"/>
    <hyperlink ref="F396" r:id="rId519" xr:uid="{77EEB53D-1ED2-45B5-9A5D-BF16EC6A4E73}"/>
    <hyperlink ref="G396" r:id="rId520" location="/view/e4708350-2da7-11ec-92dc-ed19b3b10cf9?_g=(filters:!(),refreshInterval:(pause:!t,value:0),time:(from:'2022-09-27T07:06:12.606986Z',to:'2022-09-27T11:06:12.606986Z'))&amp;_a=(description:'',filters:!(),fullScreenMode:!f,options:(hidePanelTitles:!f,syncColors:!f,useMargins:!t),query:(language:kuery,query:'log_id.keyword%20:%20%224d6caba1-a988-48ac-9d13-afdf50b801fb%22%20'))" xr:uid="{851A2D78-F324-4CDD-AF5B-79A062C1432C}"/>
    <hyperlink ref="F397" r:id="rId521" xr:uid="{D20779FC-3C17-4210-977E-3DC07FF8E756}"/>
    <hyperlink ref="G397" r:id="rId522" location="/view/e4708350-2da7-11ec-92dc-ed19b3b10cf9?_g=(filters:!(),refreshInterval:(pause:!t,value:0),time:(from:'2022-09-27T07:08:09.210100Z',to:'2022-09-27T11:08:09.210100Z'))&amp;_a=(description:'',filters:!(),fullScreenMode:!f,options:(hidePanelTitles:!f,syncColors:!f,useMargins:!t),query:(language:kuery,query:'log_id.keyword%20:%20%22861d3889-6f3a-485c-bca3-2a15a9959a2b%22%20'))" xr:uid="{83D9B48D-99FB-49B7-B986-65F9EC994BDF}"/>
    <hyperlink ref="F400" r:id="rId523" xr:uid="{811F330E-2C5F-4FA5-89A6-64531535CB58}"/>
    <hyperlink ref="G400" r:id="rId524" location="/view/e4708350-2da7-11ec-92dc-ed19b3b10cf9?_g=(filters:!(),refreshInterval:(pause:!t,value:0),time:(from:'2022-09-27T13:48:04.891330Z',to:'2022-09-27T17:48:04.891330Z'))&amp;_a=(description:'',filters:!(),fullScreenMode:!f,options:(hidePanelTitles:!f,syncColors:!f,useMargins:!t),query:(language:kuery,query:'log_id.keyword%20:%20%222486dc41-6055-4011-b232-95a142ff21f5%22%20'))" xr:uid="{4876771D-1C4F-44D2-A0C8-D0A4867B95E9}"/>
    <hyperlink ref="F407" r:id="rId525" xr:uid="{88A80F5A-F0B1-491A-9487-7E20281F29F2}"/>
    <hyperlink ref="G407" r:id="rId526" location="/view/e4708350-2da7-11ec-92dc-ed19b3b10cf9?_g=(filters:!(),refreshInterval:(pause:!t,value:0),time:(from:'2022-09-28T16:16:35.838970Z',to:'2022-09-28T20:16:35.838970Z'))&amp;_a=(description:'',filters:!(),fullScreenMode:!f,options:(hidePanelTitles:!f,syncColors:!f,useMargins:!t),query:(language:kuery,query:'log_id.keyword%20:%20%22c37603c9-3f67-48da-be96-0a5f23819042%22%20'))" xr:uid="{66CAD92F-5242-4B48-B877-5B615A79960C}"/>
    <hyperlink ref="F412" r:id="rId527" xr:uid="{EDB76566-AD2B-4F33-AA0B-9162FEB4128B}"/>
    <hyperlink ref="G412" r:id="rId528" location="/view/e4708350-2da7-11ec-92dc-ed19b3b10cf9?_g=(filters:!(),refreshInterval:(pause:!t,value:0),time:(from:'2022-09-29T17:05:27.380603Z',to:'2022-09-29T21:05:27.380603Z'))&amp;_a=(description:'',filters:!(),fullScreenMode:!f,options:(hidePanelTitles:!f,syncColors:!f,useMargins:!t),query:(language:kuery,query:'log_id.keyword%20:%20%22935f4491-8261-4ca5-88d1-2666a0688b5e%22%20'))" xr:uid="{1249E70D-B35F-4C54-939B-98AE399E3EA3}"/>
    <hyperlink ref="F413" r:id="rId529" xr:uid="{ABB93A82-E14A-4F56-97D9-D118DFC9863C}"/>
    <hyperlink ref="G413" r:id="rId530" location="/view/e4708350-2da7-11ec-92dc-ed19b3b10cf9?_g=(filters:!(),refreshInterval:(pause:!t,value:0),time:(from:'2022-09-29T19:41:18.051851Z',to:'2022-09-29T23:41:18.051851Z'))&amp;_a=(description:'',filters:!(),fullScreenMode:!f,options:(hidePanelTitles:!f,syncColors:!f,useMargins:!t),query:(language:kuery,query:'log_id.keyword%20:%20%22bd842b45-b9dc-453c-b96a-8665922009fc%22%20'))" xr:uid="{2EB2E484-9E4F-48DA-8506-E35766F6ADAB}"/>
    <hyperlink ref="F415" r:id="rId531" xr:uid="{CA18E22B-866E-4A99-9029-DD4939F1E2AD}"/>
    <hyperlink ref="G415" r:id="rId532" location="/view/e4708350-2da7-11ec-92dc-ed19b3b10cf9?_g=(filters:!(),refreshInterval:(pause:!t,value:0),time:(from:'2022-10-01T22:34:24.960097Z',to:'2022-10-02T02:34:24.960097Z'))&amp;_a=(description:'',filters:!(),fullScreenMode:!f,options:(hidePanelTitles:!f,syncColors:!f,useMargins:!t),query:(language:kuery,query:'log_id.keyword%20:%20%221fb743f0-fe4b-41bf-ab5a-f58850ea60f9%22%20'))" xr:uid="{6E2A5D68-0746-4201-980D-59535C096859}"/>
    <hyperlink ref="F414" r:id="rId533" xr:uid="{59AB2396-94B9-4E9E-845C-5D51A52D9656}"/>
    <hyperlink ref="G414" r:id="rId534" location="/view/e4708350-2da7-11ec-92dc-ed19b3b10cf9?_g=(filters:!(),refreshInterval:(pause:!t,value:0),time:(from:'2022-10-01T17:47:32.671081Z',to:'2022-10-01T21:47:32.671081Z'))&amp;_a=(description:'',filters:!(),fullScreenMode:!f,options:(hidePanelTitles:!f,syncColors:!f,useMargins:!t),query:(language:kuery,query:'log_id.keyword%20:%20%2215069aab-d9df-4af0-9e16-7b5dd3ee589a%22%20'))" xr:uid="{F4D99B7E-713F-4405-8B1D-D5FBC26FC1FE}"/>
    <hyperlink ref="F416" r:id="rId535" xr:uid="{16E9E1AA-A3CD-4092-8816-B139CAF483DE}"/>
    <hyperlink ref="G416" r:id="rId536" location="/view/e4708350-2da7-11ec-92dc-ed19b3b10cf9?_g=(filters:!(),refreshInterval:(pause:!t,value:0),time:(from:'2022-10-02T16:37:41.735189Z',to:'2022-10-02T20:37:41.735189Z'))&amp;_a=(description:'',filters:!(),fullScreenMode:!f,options:(hidePanelTitles:!f,syncColors:!f,useMargins:!t),query:(language:kuery,query:'log_id.keyword%20:%20%22bae40a0a-6133-4b6b-bf15-a24bc1be08cc%22%20'))" xr:uid="{AA1C608B-C855-4DA6-A4C0-026812FBF369}"/>
    <hyperlink ref="F408" r:id="rId537" xr:uid="{24475D29-51FA-4087-9950-46C55B02127A}"/>
    <hyperlink ref="G408" r:id="rId538" location="/view/e4708350-2da7-11ec-92dc-ed19b3b10cf9?_g=(filters:!(),refreshInterval:(pause:!t,value:0),time:(from:'2022-09-28T18:50:27.862794Z',to:'2022-09-28T22:50:27.862794Z'))&amp;_a=(description:'',filters:!(),fullScreenMode:!f,options:(hidePanelTitles:!f,syncColors:!f,useMargins:!t),query:(language:kuery,query:'log_id.keyword%20:%20%22c01b71f8-8afc-455d-8d49-1cb1e63afa57%22%20'))" xr:uid="{6282EFE4-76CF-4EC1-B01F-59E39C457081}"/>
    <hyperlink ref="F409" r:id="rId539" xr:uid="{7BECED41-9827-4A79-BEC3-3A9CDDC7DDAA}"/>
    <hyperlink ref="G409" r:id="rId540" location="/view/e4708350-2da7-11ec-92dc-ed19b3b10cf9?_g=(filters:!(),refreshInterval:(pause:!t,value:0),time:(from:'2022-09-28T19:14:44.950886Z',to:'2022-09-28T23:14:44.950886Z'))&amp;_a=(description:'',filters:!(),fullScreenMode:!f,options:(hidePanelTitles:!f,syncColors:!f,useMargins:!t),query:(language:kuery,query:'log_id.keyword%20:%20%22550dbbfa-ad87-490a-b6cb-97e9868db400%22%20'))" xr:uid="{331B42D1-C9FE-4748-B45E-8DD61809AD46}"/>
    <hyperlink ref="F410" r:id="rId541" xr:uid="{101E564E-DD6C-4274-B74E-DD9AA4277020}"/>
    <hyperlink ref="G410" r:id="rId542" location="/view/e4708350-2da7-11ec-92dc-ed19b3b10cf9?_g=(filters:!(),refreshInterval:(pause:!t,value:0),time:(from:'2022-09-28T21:23:57.752022Z',to:'2022-09-29T01:23:57.752022Z'))&amp;_a=(description:'',filters:!(),fullScreenMode:!f,options:(hidePanelTitles:!f,syncColors:!f,useMargins:!t),query:(language:kuery,query:'log_id.keyword%20:%20%2254ed8e33-b078-476c-ae08-d18370b54092%22%20'))" xr:uid="{3D58EDCB-171D-47FC-B58B-BA8DFAD063F8}"/>
    <hyperlink ref="F411" r:id="rId543" xr:uid="{FB6DB898-559F-4C91-AD2D-FD01E3CE83B5}"/>
    <hyperlink ref="G411" r:id="rId544" location="/view/e4708350-2da7-11ec-92dc-ed19b3b10cf9?_g=(filters:!(),refreshInterval:(pause:!t,value:0),time:(from:'2022-09-28T22:03:47.735858Z',to:'2022-09-29T02:03:47.735858Z'))&amp;_a=(description:'',filters:!(),fullScreenMode:!f,options:(hidePanelTitles:!f,syncColors:!f,useMargins:!t),query:(language:kuery,query:'log_id.keyword%20:%20%2200d7743f-abdd-4f90-9023-8737c7992c94%22%20'))" xr:uid="{D5EB1ACA-6454-4CDF-930D-43E942A8DF08}"/>
    <hyperlink ref="F417" r:id="rId545" xr:uid="{E9CFB79F-6602-4D76-831C-7C2062F8072D}"/>
    <hyperlink ref="G417" r:id="rId546" location="/view/e4708350-2da7-11ec-92dc-ed19b3b10cf9?_g=(filters:!(),refreshInterval:(pause:!t,value:0),time:(from:'2022-10-02T16:55:48.522649Z',to:'2022-10-02T20:55:48.522649Z'))&amp;_a=(description:'',filters:!(),fullScreenMode:!f,options:(hidePanelTitles:!f,syncColors:!f,useMargins:!t),query:(language:kuery,query:'log_id.keyword%20:%20%22863a3b26-fb2a-464c-b2a6-8ab2872d33ff%22%20'))" xr:uid="{C043C019-D7B7-45FB-A334-0CAADA47F59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06EC0-C7EA-4C67-8309-1D24A4392F01}">
  <dimension ref="A1:O368"/>
  <sheetViews>
    <sheetView workbookViewId="0">
      <pane ySplit="1" topLeftCell="B294" activePane="bottomLeft" state="frozen"/>
      <selection pane="bottomLeft" activeCell="B294" sqref="B294"/>
    </sheetView>
  </sheetViews>
  <sheetFormatPr defaultRowHeight="15"/>
  <cols>
    <col min="1" max="1" width="30.140625" customWidth="1"/>
    <col min="2" max="2" width="44.28515625" customWidth="1"/>
    <col min="3" max="3" width="36.5703125" customWidth="1"/>
  </cols>
  <sheetData>
    <row r="1" spans="1:15">
      <c r="A1" s="23" t="s">
        <v>1</v>
      </c>
      <c r="B1" s="24" t="s">
        <v>3</v>
      </c>
      <c r="C1" s="24" t="s">
        <v>1425</v>
      </c>
      <c r="D1" s="24" t="s">
        <v>6</v>
      </c>
      <c r="E1" s="24" t="s">
        <v>1426</v>
      </c>
      <c r="F1" s="24" t="s">
        <v>4</v>
      </c>
      <c r="G1" s="24" t="s">
        <v>1427</v>
      </c>
      <c r="H1" s="24" t="s">
        <v>1428</v>
      </c>
      <c r="I1" s="24" t="s">
        <v>1429</v>
      </c>
      <c r="J1" s="24" t="s">
        <v>1430</v>
      </c>
      <c r="K1" s="24" t="s">
        <v>1431</v>
      </c>
      <c r="L1" s="24" t="s">
        <v>1432</v>
      </c>
      <c r="M1" s="24" t="s">
        <v>9</v>
      </c>
      <c r="N1" s="24" t="s">
        <v>11</v>
      </c>
      <c r="O1" s="26" t="s">
        <v>1433</v>
      </c>
    </row>
    <row r="2" spans="1:15">
      <c r="A2" s="1" t="s">
        <v>1434</v>
      </c>
      <c r="B2" s="2" t="s">
        <v>1435</v>
      </c>
      <c r="C2" s="2" t="s">
        <v>1436</v>
      </c>
      <c r="D2" s="2" t="s">
        <v>1437</v>
      </c>
      <c r="E2" s="2" t="s">
        <v>1438</v>
      </c>
      <c r="F2" s="2"/>
      <c r="G2" s="2">
        <v>67</v>
      </c>
      <c r="H2" s="2">
        <v>51</v>
      </c>
      <c r="I2" s="2">
        <v>2</v>
      </c>
      <c r="J2" s="2">
        <v>13</v>
      </c>
      <c r="K2" s="2" t="s">
        <v>1439</v>
      </c>
      <c r="L2" s="2"/>
      <c r="M2" s="2">
        <v>43</v>
      </c>
      <c r="N2" s="2"/>
      <c r="O2" s="6"/>
    </row>
    <row r="3" spans="1:15">
      <c r="A3" s="1" t="s">
        <v>1434</v>
      </c>
      <c r="B3" s="2" t="s">
        <v>1440</v>
      </c>
      <c r="C3" s="2" t="s">
        <v>1441</v>
      </c>
      <c r="D3" s="2" t="s">
        <v>1442</v>
      </c>
      <c r="E3" s="2" t="s">
        <v>1443</v>
      </c>
      <c r="F3" s="2" t="s">
        <v>37</v>
      </c>
      <c r="G3" s="2">
        <v>55</v>
      </c>
      <c r="H3" s="2">
        <v>1</v>
      </c>
      <c r="I3" s="2">
        <v>1</v>
      </c>
      <c r="J3" s="2">
        <v>53</v>
      </c>
      <c r="K3" s="2" t="s">
        <v>1439</v>
      </c>
      <c r="L3" s="2"/>
      <c r="M3" s="2">
        <v>43</v>
      </c>
      <c r="N3" s="2" t="s">
        <v>1444</v>
      </c>
      <c r="O3" s="6"/>
    </row>
    <row r="4" spans="1:15">
      <c r="A4" s="7" t="s">
        <v>1445</v>
      </c>
      <c r="B4" s="8" t="s">
        <v>1446</v>
      </c>
      <c r="C4" s="8" t="s">
        <v>1447</v>
      </c>
      <c r="D4" s="8" t="s">
        <v>1448</v>
      </c>
      <c r="E4" s="8" t="s">
        <v>1449</v>
      </c>
      <c r="F4" s="8" t="s">
        <v>37</v>
      </c>
      <c r="G4" s="8">
        <v>42</v>
      </c>
      <c r="H4" s="8">
        <v>36</v>
      </c>
      <c r="I4" s="8">
        <v>3</v>
      </c>
      <c r="J4" s="8">
        <v>3</v>
      </c>
      <c r="K4" s="8" t="s">
        <v>1439</v>
      </c>
      <c r="L4" s="8"/>
      <c r="M4" s="8">
        <v>43</v>
      </c>
      <c r="N4" s="8" t="s">
        <v>1450</v>
      </c>
      <c r="O4" s="12"/>
    </row>
    <row r="5" spans="1:15">
      <c r="A5" s="1" t="s">
        <v>1445</v>
      </c>
      <c r="B5" s="2" t="s">
        <v>1451</v>
      </c>
      <c r="C5" s="2" t="s">
        <v>1452</v>
      </c>
      <c r="D5" s="2" t="s">
        <v>1453</v>
      </c>
      <c r="E5" s="2" t="s">
        <v>1454</v>
      </c>
      <c r="F5" s="2" t="s">
        <v>37</v>
      </c>
      <c r="G5" s="2">
        <v>96</v>
      </c>
      <c r="H5" s="2">
        <v>38</v>
      </c>
      <c r="I5" s="2">
        <v>1</v>
      </c>
      <c r="J5" s="2">
        <v>57</v>
      </c>
      <c r="K5" s="2" t="s">
        <v>1439</v>
      </c>
      <c r="L5" s="2"/>
      <c r="M5" s="2">
        <v>43</v>
      </c>
      <c r="N5" s="2" t="s">
        <v>1455</v>
      </c>
      <c r="O5" s="6"/>
    </row>
    <row r="6" spans="1:15">
      <c r="A6" s="7" t="s">
        <v>1445</v>
      </c>
      <c r="B6" s="8" t="s">
        <v>1456</v>
      </c>
      <c r="C6" s="8" t="s">
        <v>1457</v>
      </c>
      <c r="D6" s="8" t="s">
        <v>1458</v>
      </c>
      <c r="E6" s="8" t="s">
        <v>1459</v>
      </c>
      <c r="F6" s="8" t="s">
        <v>37</v>
      </c>
      <c r="G6" s="8">
        <v>47</v>
      </c>
      <c r="H6" s="8">
        <v>13</v>
      </c>
      <c r="I6" s="8">
        <v>1</v>
      </c>
      <c r="J6" s="8">
        <v>33</v>
      </c>
      <c r="K6" s="8" t="s">
        <v>1439</v>
      </c>
      <c r="L6" s="8"/>
      <c r="M6" s="8">
        <v>43</v>
      </c>
      <c r="N6" s="8" t="s">
        <v>365</v>
      </c>
      <c r="O6" s="12"/>
    </row>
    <row r="7" spans="1:15">
      <c r="A7" s="7" t="s">
        <v>1434</v>
      </c>
      <c r="B7" s="8" t="s">
        <v>1460</v>
      </c>
      <c r="C7" s="8" t="s">
        <v>1461</v>
      </c>
      <c r="D7" s="8" t="s">
        <v>1462</v>
      </c>
      <c r="E7" s="8" t="s">
        <v>1463</v>
      </c>
      <c r="F7" s="8" t="s">
        <v>22</v>
      </c>
      <c r="G7" s="8">
        <v>62</v>
      </c>
      <c r="H7" s="8">
        <v>53</v>
      </c>
      <c r="I7" s="8">
        <v>3</v>
      </c>
      <c r="J7" s="8">
        <v>5</v>
      </c>
      <c r="K7" s="8" t="s">
        <v>1439</v>
      </c>
      <c r="L7" s="8"/>
      <c r="M7" s="8">
        <v>43</v>
      </c>
      <c r="N7" s="8"/>
      <c r="O7" s="12"/>
    </row>
    <row r="8" spans="1:15">
      <c r="A8" s="1" t="s">
        <v>1445</v>
      </c>
      <c r="B8" s="2" t="s">
        <v>1464</v>
      </c>
      <c r="C8" s="2" t="s">
        <v>1465</v>
      </c>
      <c r="D8" s="2" t="s">
        <v>1466</v>
      </c>
      <c r="E8" s="2" t="s">
        <v>1467</v>
      </c>
      <c r="F8" s="2" t="s">
        <v>37</v>
      </c>
      <c r="G8" s="2">
        <v>45</v>
      </c>
      <c r="H8" s="2">
        <v>9</v>
      </c>
      <c r="I8" s="2">
        <v>4</v>
      </c>
      <c r="J8" s="2">
        <v>32</v>
      </c>
      <c r="K8" s="2" t="s">
        <v>1439</v>
      </c>
      <c r="L8" s="2"/>
      <c r="M8" s="2">
        <v>43</v>
      </c>
      <c r="N8" s="2" t="s">
        <v>1468</v>
      </c>
      <c r="O8" s="6"/>
    </row>
    <row r="9" spans="1:15">
      <c r="A9" s="1" t="s">
        <v>1434</v>
      </c>
      <c r="B9" s="2" t="s">
        <v>1469</v>
      </c>
      <c r="C9" s="2" t="s">
        <v>1470</v>
      </c>
      <c r="D9" s="2" t="s">
        <v>1471</v>
      </c>
      <c r="E9" s="2" t="s">
        <v>1472</v>
      </c>
      <c r="F9" s="2" t="s">
        <v>22</v>
      </c>
      <c r="G9" s="2">
        <v>27</v>
      </c>
      <c r="H9" s="2">
        <v>19</v>
      </c>
      <c r="I9" s="2">
        <v>3</v>
      </c>
      <c r="J9" s="2">
        <v>4</v>
      </c>
      <c r="K9" s="2" t="s">
        <v>1439</v>
      </c>
      <c r="L9" s="2"/>
      <c r="M9" s="2">
        <v>43</v>
      </c>
      <c r="N9" s="2"/>
      <c r="O9" s="6"/>
    </row>
    <row r="10" spans="1:15">
      <c r="A10" s="7" t="s">
        <v>1445</v>
      </c>
      <c r="B10" s="8" t="s">
        <v>1473</v>
      </c>
      <c r="C10" s="8" t="s">
        <v>1474</v>
      </c>
      <c r="D10" s="8" t="s">
        <v>1475</v>
      </c>
      <c r="E10" s="8" t="s">
        <v>1476</v>
      </c>
      <c r="F10" s="8" t="s">
        <v>37</v>
      </c>
      <c r="G10" s="8">
        <v>33</v>
      </c>
      <c r="H10" s="8">
        <v>2</v>
      </c>
      <c r="I10" s="8">
        <v>3</v>
      </c>
      <c r="J10" s="8">
        <v>28</v>
      </c>
      <c r="K10" s="8" t="s">
        <v>1439</v>
      </c>
      <c r="L10" s="8"/>
      <c r="M10" s="8">
        <v>43</v>
      </c>
      <c r="N10" s="8" t="s">
        <v>1477</v>
      </c>
      <c r="O10" s="12"/>
    </row>
    <row r="11" spans="1:15">
      <c r="A11" s="1" t="s">
        <v>1445</v>
      </c>
      <c r="B11" s="2" t="s">
        <v>1478</v>
      </c>
      <c r="C11" s="2" t="s">
        <v>1479</v>
      </c>
      <c r="D11" s="2" t="s">
        <v>1480</v>
      </c>
      <c r="E11" s="2" t="s">
        <v>1481</v>
      </c>
      <c r="F11" s="2" t="s">
        <v>22</v>
      </c>
      <c r="G11" s="2">
        <v>47</v>
      </c>
      <c r="H11" s="2">
        <v>0</v>
      </c>
      <c r="I11" s="2">
        <v>0</v>
      </c>
      <c r="J11" s="2">
        <v>46</v>
      </c>
      <c r="K11" s="2" t="s">
        <v>1439</v>
      </c>
      <c r="L11" s="2"/>
      <c r="M11" s="2">
        <v>43</v>
      </c>
      <c r="N11" s="2"/>
      <c r="O11" s="6"/>
    </row>
    <row r="12" spans="1:15">
      <c r="A12" s="7" t="s">
        <v>1445</v>
      </c>
      <c r="B12" s="8" t="s">
        <v>1482</v>
      </c>
      <c r="C12" s="8" t="s">
        <v>1483</v>
      </c>
      <c r="D12" s="8" t="s">
        <v>1484</v>
      </c>
      <c r="E12" s="8" t="s">
        <v>1485</v>
      </c>
      <c r="F12" s="8" t="s">
        <v>37</v>
      </c>
      <c r="G12" s="8">
        <v>34</v>
      </c>
      <c r="H12" s="8">
        <v>2</v>
      </c>
      <c r="I12" s="8">
        <v>2</v>
      </c>
      <c r="J12" s="8">
        <v>30</v>
      </c>
      <c r="K12" s="8" t="s">
        <v>1439</v>
      </c>
      <c r="L12" s="8"/>
      <c r="M12" s="8">
        <v>43</v>
      </c>
      <c r="N12" s="8" t="s">
        <v>1486</v>
      </c>
      <c r="O12" s="12"/>
    </row>
    <row r="13" spans="1:15">
      <c r="A13" s="1" t="s">
        <v>1434</v>
      </c>
      <c r="B13" s="2" t="s">
        <v>1487</v>
      </c>
      <c r="C13" s="2" t="s">
        <v>1488</v>
      </c>
      <c r="D13" s="2" t="s">
        <v>1489</v>
      </c>
      <c r="E13" s="2" t="s">
        <v>1490</v>
      </c>
      <c r="F13" s="2" t="s">
        <v>37</v>
      </c>
      <c r="G13" s="2">
        <v>104</v>
      </c>
      <c r="H13" s="2">
        <v>42</v>
      </c>
      <c r="I13" s="2">
        <v>3</v>
      </c>
      <c r="J13" s="2">
        <v>59</v>
      </c>
      <c r="K13" s="2" t="s">
        <v>1439</v>
      </c>
      <c r="L13" s="2"/>
      <c r="M13" s="2">
        <v>43</v>
      </c>
      <c r="N13" s="2" t="s">
        <v>1455</v>
      </c>
      <c r="O13" s="6"/>
    </row>
    <row r="14" spans="1:15">
      <c r="A14" s="7" t="s">
        <v>1445</v>
      </c>
      <c r="B14" s="8" t="s">
        <v>1491</v>
      </c>
      <c r="C14" s="8" t="s">
        <v>1492</v>
      </c>
      <c r="D14" s="8" t="s">
        <v>1493</v>
      </c>
      <c r="E14" s="8" t="s">
        <v>1494</v>
      </c>
      <c r="F14" s="8" t="s">
        <v>37</v>
      </c>
      <c r="G14" s="8">
        <v>105</v>
      </c>
      <c r="H14" s="8">
        <v>1</v>
      </c>
      <c r="I14" s="8">
        <v>2</v>
      </c>
      <c r="J14" s="8">
        <v>93</v>
      </c>
      <c r="K14" s="8" t="s">
        <v>1495</v>
      </c>
      <c r="L14" s="8" t="s">
        <v>1496</v>
      </c>
      <c r="M14" s="8">
        <v>43</v>
      </c>
      <c r="N14" s="8" t="s">
        <v>1497</v>
      </c>
      <c r="O14" s="12"/>
    </row>
    <row r="15" spans="1:15">
      <c r="A15" s="1" t="s">
        <v>1445</v>
      </c>
      <c r="B15" s="2" t="s">
        <v>1498</v>
      </c>
      <c r="C15" s="2" t="s">
        <v>1499</v>
      </c>
      <c r="D15" s="2" t="s">
        <v>1500</v>
      </c>
      <c r="E15" s="2" t="s">
        <v>1501</v>
      </c>
      <c r="F15" s="2" t="s">
        <v>37</v>
      </c>
      <c r="G15" s="2">
        <v>101</v>
      </c>
      <c r="H15" s="2">
        <v>0</v>
      </c>
      <c r="I15" s="2">
        <v>1</v>
      </c>
      <c r="J15" s="2">
        <v>100</v>
      </c>
      <c r="K15" s="2" t="s">
        <v>1439</v>
      </c>
      <c r="L15" s="2" t="s">
        <v>1496</v>
      </c>
      <c r="M15" s="2">
        <v>43</v>
      </c>
      <c r="N15" s="2" t="s">
        <v>1502</v>
      </c>
      <c r="O15" s="6"/>
    </row>
    <row r="16" spans="1:15">
      <c r="A16" s="7" t="s">
        <v>1445</v>
      </c>
      <c r="B16" s="8" t="s">
        <v>1503</v>
      </c>
      <c r="C16" s="8" t="s">
        <v>1504</v>
      </c>
      <c r="D16" s="8" t="s">
        <v>1505</v>
      </c>
      <c r="E16" s="8" t="s">
        <v>1506</v>
      </c>
      <c r="F16" s="8" t="s">
        <v>37</v>
      </c>
      <c r="G16" s="8">
        <v>104</v>
      </c>
      <c r="H16" s="8">
        <v>1</v>
      </c>
      <c r="I16" s="8">
        <v>1</v>
      </c>
      <c r="J16" s="8">
        <v>102</v>
      </c>
      <c r="K16" s="8" t="s">
        <v>1439</v>
      </c>
      <c r="L16" s="8" t="s">
        <v>1496</v>
      </c>
      <c r="M16" s="8">
        <v>43</v>
      </c>
      <c r="N16" s="8" t="s">
        <v>1497</v>
      </c>
      <c r="O16" s="12"/>
    </row>
    <row r="17" spans="1:15">
      <c r="A17" s="1" t="s">
        <v>1445</v>
      </c>
      <c r="B17" s="2" t="s">
        <v>1507</v>
      </c>
      <c r="C17" s="2" t="s">
        <v>1508</v>
      </c>
      <c r="D17" s="2" t="s">
        <v>1509</v>
      </c>
      <c r="E17" s="2" t="s">
        <v>1510</v>
      </c>
      <c r="F17" s="2" t="s">
        <v>37</v>
      </c>
      <c r="G17" s="2">
        <v>103</v>
      </c>
      <c r="H17" s="2">
        <v>15</v>
      </c>
      <c r="I17" s="2">
        <v>1</v>
      </c>
      <c r="J17" s="2">
        <v>87</v>
      </c>
      <c r="K17" s="2" t="s">
        <v>1439</v>
      </c>
      <c r="L17" s="2" t="s">
        <v>1496</v>
      </c>
      <c r="M17" s="2">
        <v>43</v>
      </c>
      <c r="N17" s="2" t="s">
        <v>1511</v>
      </c>
      <c r="O17" s="6"/>
    </row>
    <row r="18" spans="1:15">
      <c r="A18" s="7" t="s">
        <v>1434</v>
      </c>
      <c r="B18" s="8" t="s">
        <v>1512</v>
      </c>
      <c r="C18" s="8" t="s">
        <v>1513</v>
      </c>
      <c r="D18" s="8" t="s">
        <v>1514</v>
      </c>
      <c r="E18" s="8" t="s">
        <v>1515</v>
      </c>
      <c r="F18" s="8" t="s">
        <v>37</v>
      </c>
      <c r="G18" s="8">
        <v>139</v>
      </c>
      <c r="H18" s="8">
        <v>5</v>
      </c>
      <c r="I18" s="8">
        <v>1</v>
      </c>
      <c r="J18" s="8">
        <v>133</v>
      </c>
      <c r="K18" s="8" t="s">
        <v>1439</v>
      </c>
      <c r="L18" s="8" t="s">
        <v>1516</v>
      </c>
      <c r="M18" s="8">
        <v>43</v>
      </c>
      <c r="N18" s="8" t="s">
        <v>251</v>
      </c>
      <c r="O18" s="12"/>
    </row>
    <row r="19" spans="1:15">
      <c r="A19" s="1" t="s">
        <v>1445</v>
      </c>
      <c r="B19" s="2" t="s">
        <v>1517</v>
      </c>
      <c r="C19" s="2" t="s">
        <v>1518</v>
      </c>
      <c r="D19" s="2" t="s">
        <v>1519</v>
      </c>
      <c r="E19" s="2" t="s">
        <v>1520</v>
      </c>
      <c r="F19" s="2" t="s">
        <v>37</v>
      </c>
      <c r="G19" s="2">
        <v>104</v>
      </c>
      <c r="H19" s="2">
        <v>7</v>
      </c>
      <c r="I19" s="2">
        <v>1</v>
      </c>
      <c r="J19" s="2">
        <v>96</v>
      </c>
      <c r="K19" s="2" t="s">
        <v>1439</v>
      </c>
      <c r="L19" s="2" t="s">
        <v>1496</v>
      </c>
      <c r="M19" s="2">
        <v>43</v>
      </c>
      <c r="N19" s="2" t="s">
        <v>154</v>
      </c>
      <c r="O19" s="6"/>
    </row>
    <row r="20" spans="1:15">
      <c r="A20" s="7" t="s">
        <v>1434</v>
      </c>
      <c r="B20" s="8" t="s">
        <v>1521</v>
      </c>
      <c r="C20" s="8" t="s">
        <v>1522</v>
      </c>
      <c r="D20" s="8" t="s">
        <v>1523</v>
      </c>
      <c r="E20" s="8" t="s">
        <v>1438</v>
      </c>
      <c r="F20" s="8"/>
      <c r="G20" s="8">
        <v>134</v>
      </c>
      <c r="H20" s="8">
        <v>24</v>
      </c>
      <c r="I20" s="8">
        <v>0</v>
      </c>
      <c r="J20" s="8">
        <v>109</v>
      </c>
      <c r="K20" s="8" t="s">
        <v>1439</v>
      </c>
      <c r="L20" s="8" t="s">
        <v>1516</v>
      </c>
      <c r="M20" s="8">
        <v>43</v>
      </c>
      <c r="N20" s="8"/>
      <c r="O20" s="12"/>
    </row>
    <row r="21" spans="1:15">
      <c r="A21" s="1" t="s">
        <v>1434</v>
      </c>
      <c r="B21" s="2" t="s">
        <v>1524</v>
      </c>
      <c r="C21" s="2" t="s">
        <v>1525</v>
      </c>
      <c r="D21" s="2" t="s">
        <v>1526</v>
      </c>
      <c r="E21" s="2" t="s">
        <v>1438</v>
      </c>
      <c r="F21" s="2"/>
      <c r="G21" s="2">
        <v>63</v>
      </c>
      <c r="H21" s="2">
        <v>63</v>
      </c>
      <c r="I21" s="2">
        <v>0</v>
      </c>
      <c r="J21" s="2">
        <v>0</v>
      </c>
      <c r="K21" s="2" t="s">
        <v>1439</v>
      </c>
      <c r="L21" s="2" t="s">
        <v>1516</v>
      </c>
      <c r="M21" s="2">
        <v>43</v>
      </c>
      <c r="N21" s="2"/>
      <c r="O21" s="6"/>
    </row>
    <row r="22" spans="1:15">
      <c r="A22" s="1" t="s">
        <v>1434</v>
      </c>
      <c r="B22" s="2" t="s">
        <v>1527</v>
      </c>
      <c r="C22" s="2" t="s">
        <v>1528</v>
      </c>
      <c r="D22" s="2" t="s">
        <v>1529</v>
      </c>
      <c r="E22" s="2" t="s">
        <v>1530</v>
      </c>
      <c r="F22" s="2" t="s">
        <v>388</v>
      </c>
      <c r="G22" s="2">
        <v>139</v>
      </c>
      <c r="H22" s="2">
        <v>139</v>
      </c>
      <c r="I22" s="2">
        <v>0</v>
      </c>
      <c r="J22" s="2">
        <v>0</v>
      </c>
      <c r="K22" s="2" t="s">
        <v>1439</v>
      </c>
      <c r="L22" s="2" t="s">
        <v>1516</v>
      </c>
      <c r="M22" s="2">
        <v>43</v>
      </c>
      <c r="N22" s="2"/>
      <c r="O22" s="6"/>
    </row>
    <row r="23" spans="1:15">
      <c r="A23" s="7" t="s">
        <v>1445</v>
      </c>
      <c r="B23" s="8" t="s">
        <v>1531</v>
      </c>
      <c r="C23" s="8" t="s">
        <v>1532</v>
      </c>
      <c r="D23" s="8" t="s">
        <v>1533</v>
      </c>
      <c r="E23" s="8" t="s">
        <v>1534</v>
      </c>
      <c r="F23" s="8" t="s">
        <v>388</v>
      </c>
      <c r="G23" s="8">
        <v>104</v>
      </c>
      <c r="H23" s="8">
        <v>104</v>
      </c>
      <c r="I23" s="8">
        <v>0</v>
      </c>
      <c r="J23" s="8">
        <v>0</v>
      </c>
      <c r="K23" s="8" t="s">
        <v>1439</v>
      </c>
      <c r="L23" s="8" t="s">
        <v>1496</v>
      </c>
      <c r="M23" s="8">
        <v>43</v>
      </c>
      <c r="N23" s="8"/>
      <c r="O23" s="12"/>
    </row>
    <row r="24" spans="1:15">
      <c r="A24" s="1" t="s">
        <v>1434</v>
      </c>
      <c r="B24" s="2" t="s">
        <v>1535</v>
      </c>
      <c r="C24" s="2" t="s">
        <v>1536</v>
      </c>
      <c r="D24" s="2" t="s">
        <v>1537</v>
      </c>
      <c r="E24" s="2" t="s">
        <v>1538</v>
      </c>
      <c r="F24" s="2" t="s">
        <v>37</v>
      </c>
      <c r="G24" s="2">
        <v>84</v>
      </c>
      <c r="H24" s="2">
        <v>3</v>
      </c>
      <c r="I24" s="2">
        <v>1</v>
      </c>
      <c r="J24" s="2">
        <v>80</v>
      </c>
      <c r="K24" s="2" t="s">
        <v>1439</v>
      </c>
      <c r="L24" s="2" t="s">
        <v>1539</v>
      </c>
      <c r="M24" s="2">
        <v>44</v>
      </c>
      <c r="N24" s="2" t="s">
        <v>1540</v>
      </c>
      <c r="O24" s="6"/>
    </row>
    <row r="25" spans="1:15">
      <c r="A25" s="7" t="s">
        <v>1445</v>
      </c>
      <c r="B25" s="8" t="s">
        <v>1541</v>
      </c>
      <c r="C25" s="8" t="s">
        <v>1542</v>
      </c>
      <c r="D25" s="8" t="s">
        <v>1543</v>
      </c>
      <c r="E25" s="8" t="s">
        <v>1544</v>
      </c>
      <c r="F25" s="8" t="s">
        <v>37</v>
      </c>
      <c r="G25" s="8">
        <v>50</v>
      </c>
      <c r="H25" s="8">
        <v>2</v>
      </c>
      <c r="I25" s="8">
        <v>1</v>
      </c>
      <c r="J25" s="8">
        <v>47</v>
      </c>
      <c r="K25" s="8" t="s">
        <v>1439</v>
      </c>
      <c r="L25" s="8" t="s">
        <v>1545</v>
      </c>
      <c r="M25" s="8">
        <v>44</v>
      </c>
      <c r="N25" s="8" t="s">
        <v>1546</v>
      </c>
      <c r="O25" s="12"/>
    </row>
    <row r="26" spans="1:15">
      <c r="A26" s="7" t="s">
        <v>1434</v>
      </c>
      <c r="B26" s="8" t="s">
        <v>1547</v>
      </c>
      <c r="C26" s="8" t="s">
        <v>1548</v>
      </c>
      <c r="D26" s="8" t="s">
        <v>1549</v>
      </c>
      <c r="E26" s="8" t="s">
        <v>1550</v>
      </c>
      <c r="F26" s="8" t="s">
        <v>388</v>
      </c>
      <c r="G26" s="8">
        <v>4</v>
      </c>
      <c r="H26" s="8">
        <v>4</v>
      </c>
      <c r="I26" s="8">
        <v>0</v>
      </c>
      <c r="J26" s="8">
        <v>0</v>
      </c>
      <c r="K26" s="8" t="s">
        <v>1439</v>
      </c>
      <c r="L26" s="8" t="s">
        <v>1539</v>
      </c>
      <c r="M26" s="8">
        <v>44</v>
      </c>
      <c r="N26" s="8"/>
      <c r="O26" s="12"/>
    </row>
    <row r="27" spans="1:15">
      <c r="A27" s="1" t="s">
        <v>1434</v>
      </c>
      <c r="B27" s="2" t="s">
        <v>1551</v>
      </c>
      <c r="C27" s="2" t="s">
        <v>1552</v>
      </c>
      <c r="D27" s="2" t="s">
        <v>1553</v>
      </c>
      <c r="E27" s="2" t="s">
        <v>1554</v>
      </c>
      <c r="F27" s="2" t="s">
        <v>37</v>
      </c>
      <c r="G27" s="2">
        <v>87</v>
      </c>
      <c r="H27" s="2">
        <v>0</v>
      </c>
      <c r="I27" s="2">
        <v>1</v>
      </c>
      <c r="J27" s="2">
        <v>86</v>
      </c>
      <c r="K27" s="2" t="s">
        <v>1439</v>
      </c>
      <c r="L27" s="2" t="s">
        <v>1539</v>
      </c>
      <c r="M27" s="2">
        <v>44</v>
      </c>
      <c r="N27" s="2" t="s">
        <v>1555</v>
      </c>
      <c r="O27" s="6"/>
    </row>
    <row r="28" spans="1:15">
      <c r="A28" s="1" t="s">
        <v>1434</v>
      </c>
      <c r="B28" s="15" t="s">
        <v>1556</v>
      </c>
      <c r="C28" s="2" t="s">
        <v>1557</v>
      </c>
      <c r="D28" s="2" t="s">
        <v>1558</v>
      </c>
      <c r="E28" s="2" t="s">
        <v>1559</v>
      </c>
      <c r="F28" s="2" t="s">
        <v>37</v>
      </c>
      <c r="G28" s="2">
        <v>87</v>
      </c>
      <c r="H28" s="2">
        <v>36</v>
      </c>
      <c r="I28" s="2">
        <v>1</v>
      </c>
      <c r="J28" s="2">
        <v>50</v>
      </c>
      <c r="K28" s="2" t="s">
        <v>1439</v>
      </c>
      <c r="L28" s="2" t="s">
        <v>1539</v>
      </c>
      <c r="M28" s="2">
        <v>44</v>
      </c>
      <c r="N28" s="2" t="s">
        <v>1560</v>
      </c>
      <c r="O28" s="6"/>
    </row>
    <row r="29" spans="1:15">
      <c r="A29" s="7" t="s">
        <v>1445</v>
      </c>
      <c r="B29" s="8" t="s">
        <v>1561</v>
      </c>
      <c r="C29" s="8" t="s">
        <v>1562</v>
      </c>
      <c r="D29" s="8" t="s">
        <v>1563</v>
      </c>
      <c r="E29" s="8" t="s">
        <v>1564</v>
      </c>
      <c r="F29" s="8" t="s">
        <v>37</v>
      </c>
      <c r="G29" s="8">
        <v>96</v>
      </c>
      <c r="H29" s="8">
        <v>2</v>
      </c>
      <c r="I29" s="8">
        <v>1</v>
      </c>
      <c r="J29" s="8">
        <v>93</v>
      </c>
      <c r="K29" s="8" t="s">
        <v>1439</v>
      </c>
      <c r="L29" s="8" t="s">
        <v>1565</v>
      </c>
      <c r="M29" s="8">
        <v>44</v>
      </c>
      <c r="N29" s="8" t="s">
        <v>1566</v>
      </c>
      <c r="O29" s="12"/>
    </row>
    <row r="30" spans="1:15">
      <c r="A30" s="7" t="s">
        <v>1445</v>
      </c>
      <c r="B30" s="8" t="s">
        <v>1567</v>
      </c>
      <c r="C30" s="8" t="s">
        <v>1568</v>
      </c>
      <c r="D30" s="8" t="s">
        <v>1569</v>
      </c>
      <c r="E30" s="8" t="s">
        <v>1570</v>
      </c>
      <c r="F30" s="8" t="s">
        <v>37</v>
      </c>
      <c r="G30" s="8">
        <v>4</v>
      </c>
      <c r="H30" s="8">
        <v>0</v>
      </c>
      <c r="I30" s="8">
        <v>1</v>
      </c>
      <c r="J30" s="8">
        <v>3</v>
      </c>
      <c r="K30" s="8" t="s">
        <v>1439</v>
      </c>
      <c r="L30" s="8" t="s">
        <v>1565</v>
      </c>
      <c r="M30" s="8">
        <v>44</v>
      </c>
      <c r="N30" s="8" t="s">
        <v>1571</v>
      </c>
      <c r="O30" s="12"/>
    </row>
    <row r="31" spans="1:15">
      <c r="A31" s="1" t="s">
        <v>1445</v>
      </c>
      <c r="B31" s="2" t="s">
        <v>1572</v>
      </c>
      <c r="C31" s="2" t="s">
        <v>1573</v>
      </c>
      <c r="D31" s="2" t="s">
        <v>1574</v>
      </c>
      <c r="E31" s="2" t="s">
        <v>1575</v>
      </c>
      <c r="F31" s="2" t="s">
        <v>37</v>
      </c>
      <c r="G31" s="2">
        <v>3</v>
      </c>
      <c r="H31" s="2">
        <v>0</v>
      </c>
      <c r="I31" s="2">
        <v>1</v>
      </c>
      <c r="J31" s="2">
        <v>2</v>
      </c>
      <c r="K31" s="2" t="s">
        <v>1439</v>
      </c>
      <c r="L31" s="2" t="s">
        <v>1565</v>
      </c>
      <c r="M31" s="2">
        <v>44</v>
      </c>
      <c r="N31" s="2" t="s">
        <v>1571</v>
      </c>
      <c r="O31" s="6"/>
    </row>
    <row r="32" spans="1:15">
      <c r="A32" s="7" t="s">
        <v>1445</v>
      </c>
      <c r="B32" s="8" t="s">
        <v>1576</v>
      </c>
      <c r="C32" s="8" t="s">
        <v>1577</v>
      </c>
      <c r="D32" s="8" t="s">
        <v>1578</v>
      </c>
      <c r="E32" s="8" t="s">
        <v>1579</v>
      </c>
      <c r="F32" s="8" t="s">
        <v>37</v>
      </c>
      <c r="G32" s="8">
        <v>3</v>
      </c>
      <c r="H32" s="8">
        <v>0</v>
      </c>
      <c r="I32" s="8">
        <v>1</v>
      </c>
      <c r="J32" s="8">
        <v>2</v>
      </c>
      <c r="K32" s="8" t="s">
        <v>1439</v>
      </c>
      <c r="L32" s="8" t="s">
        <v>1565</v>
      </c>
      <c r="M32" s="8">
        <v>44</v>
      </c>
      <c r="N32" s="8" t="s">
        <v>1571</v>
      </c>
      <c r="O32" s="12"/>
    </row>
    <row r="33" spans="1:15">
      <c r="A33" s="1" t="s">
        <v>1445</v>
      </c>
      <c r="B33" s="2" t="s">
        <v>1580</v>
      </c>
      <c r="C33" s="2" t="s">
        <v>1581</v>
      </c>
      <c r="D33" s="2" t="s">
        <v>1582</v>
      </c>
      <c r="E33" s="2" t="s">
        <v>1583</v>
      </c>
      <c r="F33" s="2" t="s">
        <v>388</v>
      </c>
      <c r="G33" s="2">
        <v>2</v>
      </c>
      <c r="H33" s="2">
        <v>2</v>
      </c>
      <c r="I33" s="2">
        <v>0</v>
      </c>
      <c r="J33" s="2">
        <v>0</v>
      </c>
      <c r="K33" s="2" t="s">
        <v>1439</v>
      </c>
      <c r="L33" s="2" t="s">
        <v>1565</v>
      </c>
      <c r="M33" s="2">
        <v>44</v>
      </c>
      <c r="N33" s="2"/>
      <c r="O33" s="6"/>
    </row>
    <row r="34" spans="1:15">
      <c r="A34" s="7" t="s">
        <v>1434</v>
      </c>
      <c r="B34" s="8" t="s">
        <v>1584</v>
      </c>
      <c r="C34" s="8" t="s">
        <v>1585</v>
      </c>
      <c r="D34" s="8" t="s">
        <v>1586</v>
      </c>
      <c r="E34" s="8" t="s">
        <v>1587</v>
      </c>
      <c r="F34" s="8" t="s">
        <v>22</v>
      </c>
      <c r="G34" s="8">
        <v>52</v>
      </c>
      <c r="H34" s="8">
        <v>0</v>
      </c>
      <c r="I34" s="8">
        <v>0</v>
      </c>
      <c r="J34" s="8">
        <v>51</v>
      </c>
      <c r="K34" s="8" t="s">
        <v>1439</v>
      </c>
      <c r="L34" s="8" t="s">
        <v>1539</v>
      </c>
      <c r="M34" s="8">
        <v>44</v>
      </c>
      <c r="N34" s="8"/>
      <c r="O34" s="12"/>
    </row>
    <row r="35" spans="1:15">
      <c r="A35" s="1" t="s">
        <v>1434</v>
      </c>
      <c r="B35" s="2" t="s">
        <v>1588</v>
      </c>
      <c r="C35" s="2" t="s">
        <v>1589</v>
      </c>
      <c r="D35" s="2" t="s">
        <v>1590</v>
      </c>
      <c r="E35" s="2" t="s">
        <v>1591</v>
      </c>
      <c r="F35" s="2" t="s">
        <v>37</v>
      </c>
      <c r="G35" s="2">
        <v>53</v>
      </c>
      <c r="H35" s="2">
        <v>2</v>
      </c>
      <c r="I35" s="2">
        <v>2</v>
      </c>
      <c r="J35" s="2">
        <v>49</v>
      </c>
      <c r="K35" s="2" t="s">
        <v>1439</v>
      </c>
      <c r="L35" s="2" t="s">
        <v>1539</v>
      </c>
      <c r="M35" s="2">
        <v>44</v>
      </c>
      <c r="N35" s="2" t="s">
        <v>1592</v>
      </c>
      <c r="O35" s="6"/>
    </row>
    <row r="36" spans="1:15">
      <c r="A36" s="7" t="s">
        <v>1445</v>
      </c>
      <c r="B36" s="16" t="s">
        <v>1593</v>
      </c>
      <c r="C36" s="8" t="s">
        <v>1594</v>
      </c>
      <c r="D36" s="8" t="s">
        <v>1595</v>
      </c>
      <c r="E36" s="8" t="s">
        <v>1596</v>
      </c>
      <c r="F36" s="8" t="s">
        <v>388</v>
      </c>
      <c r="G36" s="8">
        <v>2</v>
      </c>
      <c r="H36" s="8">
        <v>2</v>
      </c>
      <c r="I36" s="8">
        <v>0</v>
      </c>
      <c r="J36" s="8">
        <v>0</v>
      </c>
      <c r="K36" s="8" t="s">
        <v>1439</v>
      </c>
      <c r="L36" s="8" t="s">
        <v>1565</v>
      </c>
      <c r="M36" s="8">
        <v>44</v>
      </c>
      <c r="N36" s="8"/>
      <c r="O36" s="12"/>
    </row>
    <row r="37" spans="1:15">
      <c r="A37" s="1" t="s">
        <v>1434</v>
      </c>
      <c r="B37" s="2" t="s">
        <v>1597</v>
      </c>
      <c r="C37" s="2" t="s">
        <v>1598</v>
      </c>
      <c r="D37" s="2" t="s">
        <v>1599</v>
      </c>
      <c r="E37" s="2" t="s">
        <v>1600</v>
      </c>
      <c r="F37" s="2" t="s">
        <v>37</v>
      </c>
      <c r="G37" s="2">
        <v>3</v>
      </c>
      <c r="H37" s="2">
        <v>0</v>
      </c>
      <c r="I37" s="2">
        <v>1</v>
      </c>
      <c r="J37" s="2">
        <v>2</v>
      </c>
      <c r="K37" s="2" t="s">
        <v>1439</v>
      </c>
      <c r="L37" s="2" t="s">
        <v>1539</v>
      </c>
      <c r="M37" s="2">
        <v>44</v>
      </c>
      <c r="N37" s="2" t="s">
        <v>77</v>
      </c>
      <c r="O37" s="6"/>
    </row>
    <row r="38" spans="1:15">
      <c r="A38" s="1" t="s">
        <v>1445</v>
      </c>
      <c r="B38" s="2" t="s">
        <v>1601</v>
      </c>
      <c r="C38" s="2" t="s">
        <v>1602</v>
      </c>
      <c r="D38" s="2" t="s">
        <v>1603</v>
      </c>
      <c r="E38" s="2" t="s">
        <v>1604</v>
      </c>
      <c r="F38" s="2" t="s">
        <v>388</v>
      </c>
      <c r="G38" s="2">
        <v>3</v>
      </c>
      <c r="H38" s="2">
        <v>3</v>
      </c>
      <c r="I38" s="2">
        <v>0</v>
      </c>
      <c r="J38" s="2">
        <v>0</v>
      </c>
      <c r="K38" s="2" t="s">
        <v>1439</v>
      </c>
      <c r="L38" s="2" t="s">
        <v>1539</v>
      </c>
      <c r="M38" s="2">
        <v>44</v>
      </c>
      <c r="N38" s="2"/>
      <c r="O38" s="6"/>
    </row>
    <row r="39" spans="1:15">
      <c r="A39" s="7" t="s">
        <v>1434</v>
      </c>
      <c r="B39" s="8" t="s">
        <v>1605</v>
      </c>
      <c r="C39" s="8" t="s">
        <v>1606</v>
      </c>
      <c r="D39" s="8" t="s">
        <v>1607</v>
      </c>
      <c r="E39" s="8" t="s">
        <v>1608</v>
      </c>
      <c r="F39" s="8" t="s">
        <v>22</v>
      </c>
      <c r="G39" s="8">
        <v>3</v>
      </c>
      <c r="H39" s="8">
        <v>1</v>
      </c>
      <c r="I39" s="8">
        <v>0</v>
      </c>
      <c r="J39" s="8">
        <v>1</v>
      </c>
      <c r="K39" s="8" t="s">
        <v>1439</v>
      </c>
      <c r="L39" s="8" t="s">
        <v>1565</v>
      </c>
      <c r="M39" s="8">
        <v>44</v>
      </c>
      <c r="N39" s="8"/>
      <c r="O39" s="12"/>
    </row>
    <row r="40" spans="1:15">
      <c r="A40" s="7" t="s">
        <v>1434</v>
      </c>
      <c r="B40" s="8" t="s">
        <v>1609</v>
      </c>
      <c r="C40" s="8" t="s">
        <v>1610</v>
      </c>
      <c r="D40" s="8" t="s">
        <v>1611</v>
      </c>
      <c r="E40" s="8" t="s">
        <v>1612</v>
      </c>
      <c r="F40" s="8" t="s">
        <v>22</v>
      </c>
      <c r="G40" s="8">
        <v>3</v>
      </c>
      <c r="H40" s="8">
        <v>1</v>
      </c>
      <c r="I40" s="8">
        <v>0</v>
      </c>
      <c r="J40" s="8">
        <v>1</v>
      </c>
      <c r="K40" s="8" t="s">
        <v>1439</v>
      </c>
      <c r="L40" s="8" t="s">
        <v>1565</v>
      </c>
      <c r="M40" s="8">
        <v>44</v>
      </c>
      <c r="N40" s="8"/>
      <c r="O40" s="12"/>
    </row>
    <row r="41" spans="1:15">
      <c r="A41" s="1" t="s">
        <v>1445</v>
      </c>
      <c r="B41" s="2" t="s">
        <v>1613</v>
      </c>
      <c r="C41" s="2" t="s">
        <v>1614</v>
      </c>
      <c r="D41" s="2" t="s">
        <v>1615</v>
      </c>
      <c r="E41" s="2" t="s">
        <v>1616</v>
      </c>
      <c r="F41" s="2" t="s">
        <v>388</v>
      </c>
      <c r="G41" s="2">
        <v>3</v>
      </c>
      <c r="H41" s="2">
        <v>3</v>
      </c>
      <c r="I41" s="2">
        <v>0</v>
      </c>
      <c r="J41" s="2">
        <v>0</v>
      </c>
      <c r="K41" s="2" t="s">
        <v>1439</v>
      </c>
      <c r="L41" s="2" t="s">
        <v>1539</v>
      </c>
      <c r="M41" s="2">
        <v>44</v>
      </c>
      <c r="N41" s="2"/>
      <c r="O41" s="6"/>
    </row>
    <row r="42" spans="1:15">
      <c r="A42" s="1" t="s">
        <v>1434</v>
      </c>
      <c r="B42" s="1" t="s">
        <v>1617</v>
      </c>
      <c r="C42" s="2" t="s">
        <v>1618</v>
      </c>
      <c r="D42" s="2" t="s">
        <v>1619</v>
      </c>
      <c r="E42" s="2" t="s">
        <v>1620</v>
      </c>
      <c r="F42" s="2" t="s">
        <v>37</v>
      </c>
      <c r="G42" s="2">
        <v>4</v>
      </c>
      <c r="H42" s="2">
        <v>0</v>
      </c>
      <c r="I42" s="2">
        <v>2</v>
      </c>
      <c r="J42" s="2">
        <v>2</v>
      </c>
      <c r="K42" s="2" t="s">
        <v>1621</v>
      </c>
      <c r="L42" s="2" t="s">
        <v>1565</v>
      </c>
      <c r="M42" s="2">
        <v>44</v>
      </c>
      <c r="N42" s="2" t="s">
        <v>1622</v>
      </c>
      <c r="O42" s="6"/>
    </row>
    <row r="43" spans="1:15">
      <c r="A43" s="7" t="s">
        <v>1434</v>
      </c>
      <c r="B43" s="8" t="s">
        <v>1623</v>
      </c>
      <c r="C43" s="8" t="s">
        <v>1624</v>
      </c>
      <c r="D43" s="8" t="s">
        <v>1625</v>
      </c>
      <c r="E43" s="8" t="s">
        <v>1626</v>
      </c>
      <c r="F43" s="8" t="s">
        <v>22</v>
      </c>
      <c r="G43" s="8">
        <v>4</v>
      </c>
      <c r="H43" s="8">
        <v>0</v>
      </c>
      <c r="I43" s="8">
        <v>1</v>
      </c>
      <c r="J43" s="8">
        <v>2</v>
      </c>
      <c r="K43" s="8" t="s">
        <v>1621</v>
      </c>
      <c r="L43" s="8" t="s">
        <v>1565</v>
      </c>
      <c r="M43" s="8">
        <v>44</v>
      </c>
      <c r="N43" s="8"/>
      <c r="O43" s="12"/>
    </row>
    <row r="44" spans="1:15">
      <c r="A44" s="7" t="s">
        <v>1445</v>
      </c>
      <c r="B44" s="8" t="s">
        <v>1627</v>
      </c>
      <c r="C44" s="8" t="s">
        <v>1628</v>
      </c>
      <c r="D44" s="8" t="s">
        <v>1629</v>
      </c>
      <c r="E44" s="8" t="s">
        <v>1630</v>
      </c>
      <c r="F44" s="8" t="s">
        <v>37</v>
      </c>
      <c r="G44" s="8">
        <v>44</v>
      </c>
      <c r="H44" s="8">
        <v>6</v>
      </c>
      <c r="I44" s="8">
        <v>1</v>
      </c>
      <c r="J44" s="8">
        <v>37</v>
      </c>
      <c r="K44" s="8" t="s">
        <v>1439</v>
      </c>
      <c r="L44" s="8" t="s">
        <v>1539</v>
      </c>
      <c r="M44" s="8">
        <v>44</v>
      </c>
      <c r="N44" s="8" t="s">
        <v>1631</v>
      </c>
      <c r="O44" s="12"/>
    </row>
    <row r="45" spans="1:15">
      <c r="A45" s="7" t="s">
        <v>1434</v>
      </c>
      <c r="B45" s="8" t="s">
        <v>1632</v>
      </c>
      <c r="C45" s="8" t="s">
        <v>1633</v>
      </c>
      <c r="D45" s="8" t="s">
        <v>1634</v>
      </c>
      <c r="E45" s="8" t="s">
        <v>1635</v>
      </c>
      <c r="F45" s="8" t="s">
        <v>22</v>
      </c>
      <c r="G45" s="8">
        <v>38</v>
      </c>
      <c r="H45" s="8">
        <v>0</v>
      </c>
      <c r="I45" s="8">
        <v>0</v>
      </c>
      <c r="J45" s="8">
        <v>37</v>
      </c>
      <c r="K45" s="8" t="s">
        <v>1439</v>
      </c>
      <c r="L45" s="8" t="s">
        <v>1565</v>
      </c>
      <c r="M45" s="8">
        <v>44</v>
      </c>
      <c r="N45" s="8"/>
      <c r="O45" s="12"/>
    </row>
    <row r="46" spans="1:15">
      <c r="A46" s="1" t="s">
        <v>1445</v>
      </c>
      <c r="B46" s="2" t="s">
        <v>1636</v>
      </c>
      <c r="C46" s="2" t="s">
        <v>1637</v>
      </c>
      <c r="D46" s="2" t="s">
        <v>1638</v>
      </c>
      <c r="E46" s="2" t="s">
        <v>1639</v>
      </c>
      <c r="F46" s="2" t="s">
        <v>37</v>
      </c>
      <c r="G46" s="2">
        <v>43</v>
      </c>
      <c r="H46" s="2">
        <v>36</v>
      </c>
      <c r="I46" s="2">
        <v>1</v>
      </c>
      <c r="J46" s="2">
        <v>6</v>
      </c>
      <c r="K46" s="2" t="s">
        <v>1439</v>
      </c>
      <c r="L46" s="2" t="s">
        <v>1539</v>
      </c>
      <c r="M46" s="2">
        <v>44</v>
      </c>
      <c r="N46" s="2" t="s">
        <v>1640</v>
      </c>
      <c r="O46" s="6"/>
    </row>
    <row r="47" spans="1:15">
      <c r="A47" s="7" t="s">
        <v>1434</v>
      </c>
      <c r="B47" s="8" t="s">
        <v>1641</v>
      </c>
      <c r="C47" s="8" t="s">
        <v>1642</v>
      </c>
      <c r="D47" s="8" t="s">
        <v>1643</v>
      </c>
      <c r="E47" s="8" t="s">
        <v>1644</v>
      </c>
      <c r="F47" s="8" t="s">
        <v>388</v>
      </c>
      <c r="G47" s="8">
        <v>4</v>
      </c>
      <c r="H47" s="8">
        <v>4</v>
      </c>
      <c r="I47" s="8">
        <v>0</v>
      </c>
      <c r="J47" s="8">
        <v>0</v>
      </c>
      <c r="K47" s="8" t="s">
        <v>1439</v>
      </c>
      <c r="L47" s="8" t="s">
        <v>1565</v>
      </c>
      <c r="M47" s="8">
        <v>44</v>
      </c>
      <c r="N47" s="8"/>
      <c r="O47" s="12"/>
    </row>
    <row r="48" spans="1:15">
      <c r="A48" s="1" t="s">
        <v>1434</v>
      </c>
      <c r="B48" s="2" t="s">
        <v>1645</v>
      </c>
      <c r="C48" s="2" t="s">
        <v>1646</v>
      </c>
      <c r="D48" s="2" t="s">
        <v>1647</v>
      </c>
      <c r="E48" s="2" t="s">
        <v>1648</v>
      </c>
      <c r="F48" s="2" t="s">
        <v>37</v>
      </c>
      <c r="G48" s="2">
        <v>28</v>
      </c>
      <c r="H48" s="2">
        <v>4</v>
      </c>
      <c r="I48" s="2">
        <v>1</v>
      </c>
      <c r="J48" s="2">
        <v>23</v>
      </c>
      <c r="K48" s="2" t="s">
        <v>1439</v>
      </c>
      <c r="L48" s="2" t="s">
        <v>1565</v>
      </c>
      <c r="M48" s="2">
        <v>44</v>
      </c>
      <c r="N48" s="2" t="s">
        <v>1649</v>
      </c>
      <c r="O48" s="6"/>
    </row>
    <row r="49" spans="1:15">
      <c r="A49" s="7" t="s">
        <v>1445</v>
      </c>
      <c r="B49" s="8" t="s">
        <v>1650</v>
      </c>
      <c r="C49" s="8" t="s">
        <v>1651</v>
      </c>
      <c r="D49" s="8" t="s">
        <v>1652</v>
      </c>
      <c r="E49" s="8" t="s">
        <v>1653</v>
      </c>
      <c r="F49" s="8" t="s">
        <v>37</v>
      </c>
      <c r="G49" s="8">
        <v>19</v>
      </c>
      <c r="H49" s="8">
        <v>0</v>
      </c>
      <c r="I49" s="8">
        <v>3</v>
      </c>
      <c r="J49" s="8">
        <v>11</v>
      </c>
      <c r="K49" s="8" t="s">
        <v>1654</v>
      </c>
      <c r="L49" s="8" t="s">
        <v>1539</v>
      </c>
      <c r="M49" s="8">
        <v>44</v>
      </c>
      <c r="N49" s="8" t="s">
        <v>1655</v>
      </c>
      <c r="O49" s="12"/>
    </row>
    <row r="50" spans="1:15">
      <c r="A50" s="1" t="s">
        <v>1434</v>
      </c>
      <c r="B50" s="2" t="s">
        <v>1656</v>
      </c>
      <c r="C50" s="2" t="s">
        <v>1657</v>
      </c>
      <c r="D50" s="2" t="s">
        <v>1658</v>
      </c>
      <c r="E50" s="2" t="s">
        <v>1659</v>
      </c>
      <c r="F50" s="2" t="s">
        <v>22</v>
      </c>
      <c r="G50" s="2">
        <v>24</v>
      </c>
      <c r="H50" s="2">
        <v>1</v>
      </c>
      <c r="I50" s="2">
        <v>0</v>
      </c>
      <c r="J50" s="2">
        <v>22</v>
      </c>
      <c r="K50" s="2" t="s">
        <v>1439</v>
      </c>
      <c r="L50" s="2" t="s">
        <v>1565</v>
      </c>
      <c r="M50" s="2">
        <v>44</v>
      </c>
      <c r="N50" s="2"/>
      <c r="O50" s="6"/>
    </row>
    <row r="51" spans="1:15">
      <c r="A51" s="7" t="s">
        <v>1434</v>
      </c>
      <c r="B51" s="8" t="s">
        <v>1660</v>
      </c>
      <c r="C51" s="8" t="s">
        <v>1661</v>
      </c>
      <c r="D51" s="8" t="s">
        <v>1662</v>
      </c>
      <c r="E51" s="8" t="s">
        <v>1438</v>
      </c>
      <c r="F51" s="8"/>
      <c r="G51" s="8">
        <v>23</v>
      </c>
      <c r="H51" s="8">
        <v>1</v>
      </c>
      <c r="I51" s="8">
        <v>0</v>
      </c>
      <c r="J51" s="8">
        <v>21</v>
      </c>
      <c r="K51" s="8" t="s">
        <v>1439</v>
      </c>
      <c r="L51" s="8" t="s">
        <v>1565</v>
      </c>
      <c r="M51" s="8">
        <v>44</v>
      </c>
      <c r="N51" s="8"/>
      <c r="O51" s="12"/>
    </row>
    <row r="52" spans="1:15">
      <c r="A52" s="1" t="s">
        <v>1434</v>
      </c>
      <c r="B52" s="2" t="s">
        <v>1663</v>
      </c>
      <c r="C52" s="2" t="s">
        <v>1664</v>
      </c>
      <c r="D52" s="2" t="s">
        <v>1665</v>
      </c>
      <c r="E52" s="2" t="s">
        <v>1666</v>
      </c>
      <c r="F52" s="2" t="s">
        <v>37</v>
      </c>
      <c r="G52" s="2">
        <v>21</v>
      </c>
      <c r="H52" s="2">
        <v>18</v>
      </c>
      <c r="I52" s="2">
        <v>1</v>
      </c>
      <c r="J52" s="2">
        <v>2</v>
      </c>
      <c r="K52" s="2" t="s">
        <v>1439</v>
      </c>
      <c r="L52" s="2" t="s">
        <v>1565</v>
      </c>
      <c r="M52" s="2">
        <v>44</v>
      </c>
      <c r="N52" s="2" t="s">
        <v>1566</v>
      </c>
      <c r="O52" s="6"/>
    </row>
    <row r="53" spans="1:15">
      <c r="A53" s="7" t="s">
        <v>1445</v>
      </c>
      <c r="B53" s="8" t="s">
        <v>1667</v>
      </c>
      <c r="C53" s="8" t="s">
        <v>1668</v>
      </c>
      <c r="D53" s="8" t="s">
        <v>1669</v>
      </c>
      <c r="E53" s="8" t="s">
        <v>1670</v>
      </c>
      <c r="F53" s="8" t="s">
        <v>388</v>
      </c>
      <c r="G53" s="8">
        <v>14</v>
      </c>
      <c r="H53" s="8">
        <v>14</v>
      </c>
      <c r="I53" s="8">
        <v>0</v>
      </c>
      <c r="J53" s="8">
        <v>0</v>
      </c>
      <c r="K53" s="8" t="s">
        <v>1439</v>
      </c>
      <c r="L53" s="8" t="s">
        <v>1539</v>
      </c>
      <c r="M53" s="8">
        <v>44</v>
      </c>
      <c r="N53" s="8"/>
      <c r="O53" s="12"/>
    </row>
    <row r="54" spans="1:15">
      <c r="A54" s="1" t="s">
        <v>1445</v>
      </c>
      <c r="B54" s="2" t="s">
        <v>36</v>
      </c>
      <c r="C54" s="2" t="s">
        <v>1671</v>
      </c>
      <c r="D54" s="2" t="s">
        <v>1672</v>
      </c>
      <c r="E54" s="2" t="s">
        <v>1673</v>
      </c>
      <c r="F54" s="2" t="s">
        <v>37</v>
      </c>
      <c r="G54" s="2">
        <v>48</v>
      </c>
      <c r="H54" s="2">
        <v>8</v>
      </c>
      <c r="I54" s="2">
        <v>1</v>
      </c>
      <c r="J54" s="2">
        <v>39</v>
      </c>
      <c r="K54" s="2" t="s">
        <v>1439</v>
      </c>
      <c r="L54" s="2" t="s">
        <v>1545</v>
      </c>
      <c r="M54" s="2">
        <v>44</v>
      </c>
      <c r="N54" s="2" t="s">
        <v>38</v>
      </c>
      <c r="O54" s="6" t="s">
        <v>36</v>
      </c>
    </row>
    <row r="55" spans="1:15">
      <c r="A55" s="7" t="s">
        <v>1434</v>
      </c>
      <c r="B55" s="8" t="s">
        <v>21</v>
      </c>
      <c r="C55" s="8" t="s">
        <v>1674</v>
      </c>
      <c r="D55" s="8" t="s">
        <v>1675</v>
      </c>
      <c r="E55" s="8" t="s">
        <v>1676</v>
      </c>
      <c r="F55" s="8" t="s">
        <v>22</v>
      </c>
      <c r="G55" s="8">
        <v>52</v>
      </c>
      <c r="H55" s="8">
        <v>2</v>
      </c>
      <c r="I55" s="8">
        <v>3</v>
      </c>
      <c r="J55" s="8">
        <v>46</v>
      </c>
      <c r="K55" s="8" t="s">
        <v>1677</v>
      </c>
      <c r="L55" s="8" t="s">
        <v>1545</v>
      </c>
      <c r="M55" s="8">
        <v>44</v>
      </c>
      <c r="N55" s="8"/>
      <c r="O55" s="12" t="s">
        <v>1678</v>
      </c>
    </row>
    <row r="56" spans="1:15">
      <c r="A56" s="7" t="s">
        <v>1434</v>
      </c>
      <c r="B56" s="8" t="s">
        <v>43</v>
      </c>
      <c r="C56" s="8" t="s">
        <v>1679</v>
      </c>
      <c r="D56" s="8" t="s">
        <v>1680</v>
      </c>
      <c r="E56" s="8" t="s">
        <v>1681</v>
      </c>
      <c r="F56" s="8" t="s">
        <v>37</v>
      </c>
      <c r="G56" s="8">
        <v>41</v>
      </c>
      <c r="H56" s="8">
        <v>0</v>
      </c>
      <c r="I56" s="8">
        <v>2</v>
      </c>
      <c r="J56" s="8">
        <v>39</v>
      </c>
      <c r="K56" s="8" t="s">
        <v>1682</v>
      </c>
      <c r="L56" s="8" t="s">
        <v>1545</v>
      </c>
      <c r="M56" s="8">
        <v>44</v>
      </c>
      <c r="N56" s="8" t="s">
        <v>45</v>
      </c>
      <c r="O56" s="12" t="s">
        <v>1683</v>
      </c>
    </row>
    <row r="57" spans="1:15">
      <c r="A57" s="1" t="s">
        <v>1445</v>
      </c>
      <c r="B57" s="2" t="s">
        <v>48</v>
      </c>
      <c r="C57" s="2" t="s">
        <v>1684</v>
      </c>
      <c r="D57" s="2" t="s">
        <v>1685</v>
      </c>
      <c r="E57" s="2" t="s">
        <v>1686</v>
      </c>
      <c r="F57" s="2" t="s">
        <v>37</v>
      </c>
      <c r="G57" s="2">
        <v>41</v>
      </c>
      <c r="H57" s="2">
        <v>34</v>
      </c>
      <c r="I57" s="2">
        <v>1</v>
      </c>
      <c r="J57" s="2">
        <v>6</v>
      </c>
      <c r="K57" s="2" t="s">
        <v>1439</v>
      </c>
      <c r="L57" s="2" t="s">
        <v>1545</v>
      </c>
      <c r="M57" s="2">
        <v>44</v>
      </c>
      <c r="N57" s="2" t="s">
        <v>49</v>
      </c>
      <c r="O57" s="6" t="s">
        <v>48</v>
      </c>
    </row>
    <row r="58" spans="1:15">
      <c r="A58" s="1" t="s">
        <v>1445</v>
      </c>
      <c r="B58" s="2" t="s">
        <v>51</v>
      </c>
      <c r="C58" s="2" t="s">
        <v>1687</v>
      </c>
      <c r="D58" s="2" t="s">
        <v>1688</v>
      </c>
      <c r="E58" s="2" t="s">
        <v>1689</v>
      </c>
      <c r="F58" s="2" t="s">
        <v>37</v>
      </c>
      <c r="G58" s="2">
        <v>96</v>
      </c>
      <c r="H58" s="2">
        <v>26</v>
      </c>
      <c r="I58" s="2">
        <v>1</v>
      </c>
      <c r="J58" s="2">
        <v>69</v>
      </c>
      <c r="K58" s="2" t="s">
        <v>1439</v>
      </c>
      <c r="L58" s="2" t="s">
        <v>1565</v>
      </c>
      <c r="M58" s="2">
        <v>44</v>
      </c>
      <c r="N58" s="2" t="s">
        <v>52</v>
      </c>
      <c r="O58" s="6" t="s">
        <v>51</v>
      </c>
    </row>
    <row r="59" spans="1:15">
      <c r="A59" s="7" t="s">
        <v>1434</v>
      </c>
      <c r="B59" s="8" t="s">
        <v>1690</v>
      </c>
      <c r="C59" s="8" t="s">
        <v>1691</v>
      </c>
      <c r="D59" s="8" t="s">
        <v>1692</v>
      </c>
      <c r="E59" s="8" t="s">
        <v>1693</v>
      </c>
      <c r="F59" s="8" t="s">
        <v>37</v>
      </c>
      <c r="G59" s="8">
        <v>88</v>
      </c>
      <c r="H59" s="8">
        <v>4</v>
      </c>
      <c r="I59" s="8">
        <v>1</v>
      </c>
      <c r="J59" s="8">
        <v>83</v>
      </c>
      <c r="K59" s="8" t="s">
        <v>1439</v>
      </c>
      <c r="L59" s="8" t="s">
        <v>1539</v>
      </c>
      <c r="M59" s="8">
        <v>44</v>
      </c>
      <c r="N59" s="8" t="s">
        <v>335</v>
      </c>
      <c r="O59" s="12"/>
    </row>
    <row r="60" spans="1:15">
      <c r="A60" s="7" t="s">
        <v>1445</v>
      </c>
      <c r="B60" s="8" t="s">
        <v>55</v>
      </c>
      <c r="C60" s="8" t="s">
        <v>1694</v>
      </c>
      <c r="D60" s="8" t="s">
        <v>1695</v>
      </c>
      <c r="E60" s="8" t="s">
        <v>1696</v>
      </c>
      <c r="F60" s="8" t="s">
        <v>37</v>
      </c>
      <c r="G60" s="8">
        <v>83</v>
      </c>
      <c r="H60" s="8">
        <v>0</v>
      </c>
      <c r="I60" s="8">
        <v>1</v>
      </c>
      <c r="J60" s="8">
        <v>82</v>
      </c>
      <c r="K60" s="8" t="s">
        <v>1439</v>
      </c>
      <c r="L60" s="8" t="s">
        <v>1539</v>
      </c>
      <c r="M60" s="8">
        <v>44</v>
      </c>
      <c r="N60" s="8" t="s">
        <v>56</v>
      </c>
      <c r="O60" s="12" t="s">
        <v>55</v>
      </c>
    </row>
    <row r="61" spans="1:15">
      <c r="A61" s="1" t="s">
        <v>1434</v>
      </c>
      <c r="B61" s="2" t="s">
        <v>1697</v>
      </c>
      <c r="C61" s="2" t="s">
        <v>1698</v>
      </c>
      <c r="D61" s="2" t="s">
        <v>1438</v>
      </c>
      <c r="E61" s="2" t="s">
        <v>1699</v>
      </c>
      <c r="F61" s="2" t="s">
        <v>37</v>
      </c>
      <c r="G61" s="2">
        <v>83</v>
      </c>
      <c r="H61" s="2">
        <v>0</v>
      </c>
      <c r="I61" s="2">
        <v>0</v>
      </c>
      <c r="J61" s="2">
        <v>0</v>
      </c>
      <c r="K61" s="2" t="s">
        <v>1439</v>
      </c>
      <c r="L61" s="2" t="s">
        <v>1539</v>
      </c>
      <c r="M61" s="2">
        <v>44</v>
      </c>
      <c r="N61" s="2" t="s">
        <v>1700</v>
      </c>
      <c r="O61" s="6"/>
    </row>
    <row r="62" spans="1:15">
      <c r="A62" s="7" t="s">
        <v>1434</v>
      </c>
      <c r="B62" s="8" t="s">
        <v>1701</v>
      </c>
      <c r="C62" s="8" t="s">
        <v>1702</v>
      </c>
      <c r="D62" s="8" t="s">
        <v>1438</v>
      </c>
      <c r="E62" s="8" t="s">
        <v>1703</v>
      </c>
      <c r="F62" s="8" t="s">
        <v>37</v>
      </c>
      <c r="G62" s="8">
        <v>83</v>
      </c>
      <c r="H62" s="8">
        <v>0</v>
      </c>
      <c r="I62" s="8">
        <v>0</v>
      </c>
      <c r="J62" s="8">
        <v>0</v>
      </c>
      <c r="K62" s="8" t="s">
        <v>1439</v>
      </c>
      <c r="L62" s="8" t="s">
        <v>1539</v>
      </c>
      <c r="M62" s="8">
        <v>44</v>
      </c>
      <c r="N62" s="8" t="s">
        <v>1700</v>
      </c>
      <c r="O62" s="12"/>
    </row>
    <row r="63" spans="1:15">
      <c r="A63" s="1" t="s">
        <v>1434</v>
      </c>
      <c r="B63" s="2" t="s">
        <v>59</v>
      </c>
      <c r="C63" s="2" t="s">
        <v>1704</v>
      </c>
      <c r="D63" s="2" t="s">
        <v>1705</v>
      </c>
      <c r="E63" s="2" t="s">
        <v>1706</v>
      </c>
      <c r="F63" s="2" t="s">
        <v>37</v>
      </c>
      <c r="G63" s="2">
        <v>78</v>
      </c>
      <c r="H63" s="2">
        <v>2</v>
      </c>
      <c r="I63" s="2">
        <v>1</v>
      </c>
      <c r="J63" s="2">
        <v>75</v>
      </c>
      <c r="K63" s="2" t="s">
        <v>1439</v>
      </c>
      <c r="L63" s="2" t="s">
        <v>1565</v>
      </c>
      <c r="M63" s="2">
        <v>44</v>
      </c>
      <c r="N63" s="2" t="s">
        <v>60</v>
      </c>
      <c r="O63" s="6" t="s">
        <v>59</v>
      </c>
    </row>
    <row r="64" spans="1:15">
      <c r="A64" s="7" t="s">
        <v>1434</v>
      </c>
      <c r="B64" s="8" t="s">
        <v>1707</v>
      </c>
      <c r="C64" s="8" t="s">
        <v>1708</v>
      </c>
      <c r="D64" s="8" t="s">
        <v>1709</v>
      </c>
      <c r="E64" s="8" t="s">
        <v>1710</v>
      </c>
      <c r="F64" s="8" t="s">
        <v>37</v>
      </c>
      <c r="G64" s="8">
        <v>94</v>
      </c>
      <c r="H64" s="8">
        <v>37</v>
      </c>
      <c r="I64" s="8">
        <v>3</v>
      </c>
      <c r="J64" s="8">
        <v>54</v>
      </c>
      <c r="K64" s="8" t="s">
        <v>1711</v>
      </c>
      <c r="L64" s="8" t="s">
        <v>1539</v>
      </c>
      <c r="M64" s="8">
        <v>44</v>
      </c>
      <c r="N64" s="8" t="s">
        <v>1712</v>
      </c>
      <c r="O64" s="12"/>
    </row>
    <row r="65" spans="1:15">
      <c r="A65" s="7" t="s">
        <v>1434</v>
      </c>
      <c r="B65" s="8" t="s">
        <v>1713</v>
      </c>
      <c r="C65" s="8" t="s">
        <v>1714</v>
      </c>
      <c r="D65" s="8" t="s">
        <v>1715</v>
      </c>
      <c r="E65" s="8" t="s">
        <v>1716</v>
      </c>
      <c r="F65" s="8" t="s">
        <v>37</v>
      </c>
      <c r="G65" s="8">
        <v>36</v>
      </c>
      <c r="H65" s="8">
        <v>30</v>
      </c>
      <c r="I65" s="8">
        <v>1</v>
      </c>
      <c r="J65" s="8">
        <v>5</v>
      </c>
      <c r="K65" s="8" t="s">
        <v>1439</v>
      </c>
      <c r="L65" s="8" t="s">
        <v>1539</v>
      </c>
      <c r="M65" s="8">
        <v>44</v>
      </c>
      <c r="N65" s="8" t="s">
        <v>1717</v>
      </c>
      <c r="O65" s="12"/>
    </row>
    <row r="66" spans="1:15">
      <c r="A66" s="1" t="s">
        <v>1445</v>
      </c>
      <c r="B66" s="2" t="s">
        <v>1718</v>
      </c>
      <c r="C66" s="2" t="s">
        <v>1719</v>
      </c>
      <c r="D66" s="2" t="s">
        <v>1720</v>
      </c>
      <c r="E66" s="2" t="s">
        <v>1721</v>
      </c>
      <c r="F66" s="2" t="s">
        <v>37</v>
      </c>
      <c r="G66" s="2">
        <v>97</v>
      </c>
      <c r="H66" s="2">
        <v>1</v>
      </c>
      <c r="I66" s="2">
        <v>1</v>
      </c>
      <c r="J66" s="2">
        <v>95</v>
      </c>
      <c r="K66" s="2" t="s">
        <v>1439</v>
      </c>
      <c r="L66" s="2" t="s">
        <v>1565</v>
      </c>
      <c r="M66" s="2">
        <v>44</v>
      </c>
      <c r="N66" s="2" t="s">
        <v>1722</v>
      </c>
      <c r="O66" s="6"/>
    </row>
    <row r="67" spans="1:15">
      <c r="A67" s="7" t="s">
        <v>1434</v>
      </c>
      <c r="B67" s="8" t="s">
        <v>73</v>
      </c>
      <c r="C67" s="8" t="s">
        <v>1723</v>
      </c>
      <c r="D67" s="8" t="s">
        <v>1724</v>
      </c>
      <c r="E67" s="8" t="s">
        <v>1725</v>
      </c>
      <c r="F67" s="8" t="s">
        <v>37</v>
      </c>
      <c r="G67" s="8">
        <v>97</v>
      </c>
      <c r="H67" s="8">
        <v>11</v>
      </c>
      <c r="I67" s="8">
        <v>1</v>
      </c>
      <c r="J67" s="8">
        <v>85</v>
      </c>
      <c r="K67" s="8" t="s">
        <v>1439</v>
      </c>
      <c r="L67" s="8" t="s">
        <v>1545</v>
      </c>
      <c r="M67" s="8">
        <v>44</v>
      </c>
      <c r="N67" s="8" t="s">
        <v>74</v>
      </c>
      <c r="O67" s="12" t="s">
        <v>73</v>
      </c>
    </row>
    <row r="68" spans="1:15">
      <c r="A68" s="1" t="s">
        <v>1445</v>
      </c>
      <c r="B68" s="2" t="s">
        <v>64</v>
      </c>
      <c r="C68" s="2" t="s">
        <v>1726</v>
      </c>
      <c r="D68" s="2" t="s">
        <v>1727</v>
      </c>
      <c r="E68" s="2" t="s">
        <v>1728</v>
      </c>
      <c r="F68" s="2" t="s">
        <v>37</v>
      </c>
      <c r="G68" s="2">
        <v>28</v>
      </c>
      <c r="H68" s="2">
        <v>0</v>
      </c>
      <c r="I68" s="2">
        <v>1</v>
      </c>
      <c r="J68" s="2">
        <v>27</v>
      </c>
      <c r="K68" s="2" t="s">
        <v>1439</v>
      </c>
      <c r="L68" s="2" t="s">
        <v>1539</v>
      </c>
      <c r="M68" s="2">
        <v>44</v>
      </c>
      <c r="N68" s="2" t="s">
        <v>65</v>
      </c>
      <c r="O68" s="6" t="s">
        <v>64</v>
      </c>
    </row>
    <row r="69" spans="1:15">
      <c r="A69" s="7" t="s">
        <v>1445</v>
      </c>
      <c r="B69" s="8" t="s">
        <v>67</v>
      </c>
      <c r="C69" s="8" t="s">
        <v>1729</v>
      </c>
      <c r="D69" s="8" t="s">
        <v>1730</v>
      </c>
      <c r="E69" s="8" t="s">
        <v>1731</v>
      </c>
      <c r="F69" s="8" t="s">
        <v>37</v>
      </c>
      <c r="G69" s="8">
        <v>28</v>
      </c>
      <c r="H69" s="8">
        <v>0</v>
      </c>
      <c r="I69" s="8">
        <v>1</v>
      </c>
      <c r="J69" s="8">
        <v>27</v>
      </c>
      <c r="K69" s="8" t="s">
        <v>1439</v>
      </c>
      <c r="L69" s="8" t="s">
        <v>1539</v>
      </c>
      <c r="M69" s="8">
        <v>44</v>
      </c>
      <c r="N69" s="8" t="s">
        <v>65</v>
      </c>
      <c r="O69" s="12" t="s">
        <v>67</v>
      </c>
    </row>
    <row r="70" spans="1:15">
      <c r="A70" s="1" t="s">
        <v>1445</v>
      </c>
      <c r="B70" s="15" t="s">
        <v>69</v>
      </c>
      <c r="C70" s="2" t="s">
        <v>1732</v>
      </c>
      <c r="D70" s="2" t="s">
        <v>1733</v>
      </c>
      <c r="E70" s="2" t="s">
        <v>1734</v>
      </c>
      <c r="F70" s="2" t="s">
        <v>37</v>
      </c>
      <c r="G70" s="2">
        <v>29</v>
      </c>
      <c r="H70" s="2">
        <v>0</v>
      </c>
      <c r="I70" s="2">
        <v>2</v>
      </c>
      <c r="J70" s="2">
        <v>27</v>
      </c>
      <c r="K70" s="2" t="s">
        <v>1735</v>
      </c>
      <c r="L70" s="2" t="s">
        <v>1539</v>
      </c>
      <c r="M70" s="2">
        <v>44</v>
      </c>
      <c r="N70" s="2" t="s">
        <v>65</v>
      </c>
      <c r="O70" s="37" t="s">
        <v>1736</v>
      </c>
    </row>
    <row r="71" spans="1:15">
      <c r="A71" s="1" t="s">
        <v>1445</v>
      </c>
      <c r="B71" s="2" t="s">
        <v>76</v>
      </c>
      <c r="C71" s="2" t="s">
        <v>1737</v>
      </c>
      <c r="D71" s="2" t="s">
        <v>1738</v>
      </c>
      <c r="E71" s="2" t="s">
        <v>1739</v>
      </c>
      <c r="F71" s="2" t="s">
        <v>37</v>
      </c>
      <c r="G71" s="2">
        <v>52</v>
      </c>
      <c r="H71" s="2">
        <v>2</v>
      </c>
      <c r="I71" s="2">
        <v>2</v>
      </c>
      <c r="J71" s="2">
        <v>48</v>
      </c>
      <c r="K71" s="2" t="s">
        <v>1439</v>
      </c>
      <c r="L71" s="2" t="s">
        <v>1539</v>
      </c>
      <c r="M71" s="2">
        <v>44</v>
      </c>
      <c r="N71" s="2" t="s">
        <v>77</v>
      </c>
      <c r="O71" s="6" t="s">
        <v>1740</v>
      </c>
    </row>
    <row r="72" spans="1:15">
      <c r="A72" s="1" t="s">
        <v>1445</v>
      </c>
      <c r="B72" s="2" t="s">
        <v>83</v>
      </c>
      <c r="C72" s="2" t="s">
        <v>1741</v>
      </c>
      <c r="D72" s="2" t="s">
        <v>1742</v>
      </c>
      <c r="E72" s="2" t="s">
        <v>1743</v>
      </c>
      <c r="F72" s="2" t="s">
        <v>37</v>
      </c>
      <c r="G72" s="2">
        <v>23</v>
      </c>
      <c r="H72" s="2">
        <v>2</v>
      </c>
      <c r="I72" s="2">
        <v>2</v>
      </c>
      <c r="J72" s="2">
        <v>19</v>
      </c>
      <c r="K72" s="2" t="s">
        <v>1439</v>
      </c>
      <c r="L72" s="2" t="s">
        <v>1539</v>
      </c>
      <c r="M72" s="2">
        <v>44</v>
      </c>
      <c r="N72" s="2" t="s">
        <v>84</v>
      </c>
      <c r="O72" s="6" t="s">
        <v>1744</v>
      </c>
    </row>
    <row r="73" spans="1:15">
      <c r="A73" s="7" t="s">
        <v>1434</v>
      </c>
      <c r="B73" s="8" t="s">
        <v>87</v>
      </c>
      <c r="C73" s="8" t="s">
        <v>1745</v>
      </c>
      <c r="D73" s="8" t="s">
        <v>1746</v>
      </c>
      <c r="E73" s="8" t="s">
        <v>1747</v>
      </c>
      <c r="F73" s="8" t="s">
        <v>37</v>
      </c>
      <c r="G73" s="8">
        <v>50</v>
      </c>
      <c r="H73" s="8">
        <v>16</v>
      </c>
      <c r="I73" s="8">
        <v>1</v>
      </c>
      <c r="J73" s="8">
        <v>33</v>
      </c>
      <c r="K73" s="8" t="s">
        <v>1439</v>
      </c>
      <c r="L73" s="8" t="s">
        <v>1545</v>
      </c>
      <c r="M73" s="8">
        <v>44</v>
      </c>
      <c r="N73" s="8" t="s">
        <v>88</v>
      </c>
      <c r="O73" s="12" t="s">
        <v>87</v>
      </c>
    </row>
    <row r="74" spans="1:15">
      <c r="A74" s="7" t="s">
        <v>1434</v>
      </c>
      <c r="B74" s="8" t="s">
        <v>94</v>
      </c>
      <c r="C74" s="8" t="s">
        <v>1748</v>
      </c>
      <c r="D74" s="8" t="s">
        <v>1749</v>
      </c>
      <c r="E74" s="8" t="s">
        <v>1750</v>
      </c>
      <c r="F74" s="8" t="s">
        <v>37</v>
      </c>
      <c r="G74" s="8">
        <v>13</v>
      </c>
      <c r="H74" s="8">
        <v>1</v>
      </c>
      <c r="I74" s="8">
        <v>1</v>
      </c>
      <c r="J74" s="8">
        <v>11</v>
      </c>
      <c r="K74" s="8" t="s">
        <v>1439</v>
      </c>
      <c r="L74" s="8" t="s">
        <v>1545</v>
      </c>
      <c r="M74" s="8">
        <v>44</v>
      </c>
      <c r="N74" s="8" t="s">
        <v>88</v>
      </c>
      <c r="O74" s="12" t="s">
        <v>94</v>
      </c>
    </row>
    <row r="75" spans="1:15">
      <c r="A75" s="1" t="s">
        <v>1434</v>
      </c>
      <c r="B75" s="2" t="s">
        <v>96</v>
      </c>
      <c r="C75" s="2" t="s">
        <v>1751</v>
      </c>
      <c r="D75" s="2" t="s">
        <v>1752</v>
      </c>
      <c r="E75" s="2" t="s">
        <v>1753</v>
      </c>
      <c r="F75" s="2" t="s">
        <v>37</v>
      </c>
      <c r="G75" s="2">
        <v>22</v>
      </c>
      <c r="H75" s="2">
        <v>8</v>
      </c>
      <c r="I75" s="2">
        <v>2</v>
      </c>
      <c r="J75" s="2">
        <v>12</v>
      </c>
      <c r="K75" s="2" t="s">
        <v>1439</v>
      </c>
      <c r="L75" s="2" t="s">
        <v>1545</v>
      </c>
      <c r="M75" s="2">
        <v>44</v>
      </c>
      <c r="N75" s="2" t="s">
        <v>98</v>
      </c>
      <c r="O75" s="6" t="s">
        <v>1754</v>
      </c>
    </row>
    <row r="76" spans="1:15">
      <c r="A76" s="7" t="s">
        <v>1434</v>
      </c>
      <c r="B76" s="8" t="s">
        <v>101</v>
      </c>
      <c r="C76" s="8" t="s">
        <v>1755</v>
      </c>
      <c r="D76" s="8" t="s">
        <v>1756</v>
      </c>
      <c r="E76" s="8" t="s">
        <v>1757</v>
      </c>
      <c r="F76" s="8" t="s">
        <v>37</v>
      </c>
      <c r="G76" s="8">
        <v>19</v>
      </c>
      <c r="H76" s="8">
        <v>1</v>
      </c>
      <c r="I76" s="8">
        <v>1</v>
      </c>
      <c r="J76" s="8">
        <v>17</v>
      </c>
      <c r="K76" s="8" t="s">
        <v>1439</v>
      </c>
      <c r="L76" s="8" t="s">
        <v>1545</v>
      </c>
      <c r="M76" s="8">
        <v>44</v>
      </c>
      <c r="N76" s="8" t="s">
        <v>102</v>
      </c>
      <c r="O76" s="12" t="s">
        <v>101</v>
      </c>
    </row>
    <row r="77" spans="1:15">
      <c r="A77" s="1" t="s">
        <v>1434</v>
      </c>
      <c r="B77" s="2" t="s">
        <v>105</v>
      </c>
      <c r="C77" s="2" t="s">
        <v>1758</v>
      </c>
      <c r="D77" s="2" t="s">
        <v>1759</v>
      </c>
      <c r="E77" s="2" t="s">
        <v>1760</v>
      </c>
      <c r="F77" s="2" t="s">
        <v>37</v>
      </c>
      <c r="G77" s="2">
        <v>18</v>
      </c>
      <c r="H77" s="2">
        <v>11</v>
      </c>
      <c r="I77" s="2">
        <v>1</v>
      </c>
      <c r="J77" s="2">
        <v>6</v>
      </c>
      <c r="K77" s="2" t="s">
        <v>1439</v>
      </c>
      <c r="L77" s="2" t="s">
        <v>1545</v>
      </c>
      <c r="M77" s="2">
        <v>44</v>
      </c>
      <c r="N77" s="2" t="s">
        <v>106</v>
      </c>
      <c r="O77" s="6" t="s">
        <v>105</v>
      </c>
    </row>
    <row r="78" spans="1:15">
      <c r="A78" s="7" t="s">
        <v>1434</v>
      </c>
      <c r="B78" s="8" t="s">
        <v>110</v>
      </c>
      <c r="C78" s="8" t="s">
        <v>1761</v>
      </c>
      <c r="D78" s="8" t="s">
        <v>1762</v>
      </c>
      <c r="E78" s="8" t="s">
        <v>1763</v>
      </c>
      <c r="F78" s="8" t="s">
        <v>37</v>
      </c>
      <c r="G78" s="8">
        <v>24</v>
      </c>
      <c r="H78" s="8">
        <v>12</v>
      </c>
      <c r="I78" s="8">
        <v>1</v>
      </c>
      <c r="J78" s="8">
        <v>11</v>
      </c>
      <c r="K78" s="8" t="s">
        <v>1439</v>
      </c>
      <c r="L78" s="8" t="s">
        <v>1539</v>
      </c>
      <c r="M78" s="8">
        <v>44</v>
      </c>
      <c r="N78" s="8" t="s">
        <v>111</v>
      </c>
      <c r="O78" s="12" t="s">
        <v>110</v>
      </c>
    </row>
    <row r="79" spans="1:15">
      <c r="A79" s="1" t="s">
        <v>1445</v>
      </c>
      <c r="B79" s="2" t="s">
        <v>114</v>
      </c>
      <c r="C79" s="2" t="s">
        <v>1764</v>
      </c>
      <c r="D79" s="2" t="s">
        <v>1765</v>
      </c>
      <c r="E79" s="2" t="s">
        <v>1766</v>
      </c>
      <c r="F79" s="2" t="s">
        <v>37</v>
      </c>
      <c r="G79" s="2">
        <v>91</v>
      </c>
      <c r="H79" s="2">
        <v>1</v>
      </c>
      <c r="I79" s="2">
        <v>1</v>
      </c>
      <c r="J79" s="2">
        <v>89</v>
      </c>
      <c r="K79" s="2" t="s">
        <v>1439</v>
      </c>
      <c r="L79" s="2" t="s">
        <v>1539</v>
      </c>
      <c r="M79" s="2">
        <v>44</v>
      </c>
      <c r="N79" s="2" t="s">
        <v>115</v>
      </c>
      <c r="O79" s="6" t="s">
        <v>114</v>
      </c>
    </row>
    <row r="80" spans="1:15">
      <c r="A80" s="7" t="s">
        <v>1445</v>
      </c>
      <c r="B80" s="8" t="s">
        <v>1767</v>
      </c>
      <c r="C80" s="8" t="s">
        <v>1768</v>
      </c>
      <c r="D80" s="8" t="s">
        <v>1769</v>
      </c>
      <c r="E80" s="8" t="s">
        <v>1770</v>
      </c>
      <c r="F80" s="8" t="s">
        <v>22</v>
      </c>
      <c r="G80" s="8">
        <v>90</v>
      </c>
      <c r="H80" s="8">
        <v>0</v>
      </c>
      <c r="I80" s="8">
        <v>0</v>
      </c>
      <c r="J80" s="8">
        <v>62</v>
      </c>
      <c r="K80" s="8" t="s">
        <v>1439</v>
      </c>
      <c r="L80" s="8" t="s">
        <v>1539</v>
      </c>
      <c r="M80" s="8">
        <v>44</v>
      </c>
      <c r="N80" s="8"/>
      <c r="O80" s="12"/>
    </row>
    <row r="81" spans="1:15">
      <c r="A81" s="1" t="s">
        <v>1445</v>
      </c>
      <c r="B81" s="2" t="s">
        <v>117</v>
      </c>
      <c r="C81" s="2" t="s">
        <v>1771</v>
      </c>
      <c r="D81" s="2" t="s">
        <v>1772</v>
      </c>
      <c r="E81" s="2" t="s">
        <v>1773</v>
      </c>
      <c r="F81" s="2" t="s">
        <v>37</v>
      </c>
      <c r="G81" s="2">
        <v>91</v>
      </c>
      <c r="H81" s="2">
        <v>11</v>
      </c>
      <c r="I81" s="2">
        <v>2</v>
      </c>
      <c r="J81" s="2">
        <v>78</v>
      </c>
      <c r="K81" s="2" t="s">
        <v>1774</v>
      </c>
      <c r="L81" s="2" t="s">
        <v>1539</v>
      </c>
      <c r="M81" s="2">
        <v>44</v>
      </c>
      <c r="N81" s="2" t="s">
        <v>122</v>
      </c>
      <c r="O81" s="6" t="s">
        <v>1775</v>
      </c>
    </row>
    <row r="82" spans="1:15">
      <c r="A82" s="1" t="s">
        <v>1434</v>
      </c>
      <c r="B82" s="2" t="s">
        <v>1776</v>
      </c>
      <c r="C82" s="2" t="s">
        <v>1777</v>
      </c>
      <c r="D82" s="2" t="s">
        <v>1778</v>
      </c>
      <c r="E82" s="2" t="s">
        <v>1438</v>
      </c>
      <c r="F82" s="2"/>
      <c r="G82" s="2">
        <v>5</v>
      </c>
      <c r="H82" s="2">
        <v>5</v>
      </c>
      <c r="I82" s="2">
        <v>0</v>
      </c>
      <c r="J82" s="2">
        <v>0</v>
      </c>
      <c r="K82" s="2" t="s">
        <v>1439</v>
      </c>
      <c r="L82" s="2" t="s">
        <v>1565</v>
      </c>
      <c r="M82" s="2">
        <v>44</v>
      </c>
      <c r="N82" s="2"/>
      <c r="O82" s="6"/>
    </row>
    <row r="83" spans="1:15">
      <c r="A83" s="7" t="s">
        <v>1434</v>
      </c>
      <c r="B83" s="8" t="s">
        <v>1779</v>
      </c>
      <c r="C83" s="8" t="s">
        <v>1780</v>
      </c>
      <c r="D83" s="8" t="s">
        <v>1781</v>
      </c>
      <c r="E83" s="8" t="s">
        <v>1782</v>
      </c>
      <c r="F83" s="8" t="s">
        <v>22</v>
      </c>
      <c r="G83" s="8">
        <v>5</v>
      </c>
      <c r="H83" s="8">
        <v>4</v>
      </c>
      <c r="I83" s="8">
        <v>0</v>
      </c>
      <c r="J83" s="8">
        <v>0</v>
      </c>
      <c r="K83" s="8" t="s">
        <v>1439</v>
      </c>
      <c r="L83" s="8" t="s">
        <v>1539</v>
      </c>
      <c r="M83" s="8">
        <v>44</v>
      </c>
      <c r="N83" s="8"/>
      <c r="O83" s="12"/>
    </row>
    <row r="84" spans="1:15">
      <c r="A84" s="7" t="s">
        <v>1434</v>
      </c>
      <c r="B84" s="8" t="s">
        <v>1783</v>
      </c>
      <c r="C84" s="8" t="s">
        <v>1784</v>
      </c>
      <c r="D84" s="8" t="s">
        <v>1785</v>
      </c>
      <c r="E84" s="8" t="s">
        <v>1786</v>
      </c>
      <c r="F84" s="8" t="s">
        <v>22</v>
      </c>
      <c r="G84" s="8">
        <v>76</v>
      </c>
      <c r="H84" s="8">
        <v>31</v>
      </c>
      <c r="I84" s="8">
        <v>0</v>
      </c>
      <c r="J84" s="8">
        <v>44</v>
      </c>
      <c r="K84" s="8" t="s">
        <v>1439</v>
      </c>
      <c r="L84" s="8" t="s">
        <v>1539</v>
      </c>
      <c r="M84" s="8">
        <v>44</v>
      </c>
      <c r="N84" s="8"/>
      <c r="O84" s="12"/>
    </row>
    <row r="85" spans="1:15">
      <c r="A85" s="1" t="s">
        <v>1445</v>
      </c>
      <c r="B85" s="2" t="s">
        <v>1787</v>
      </c>
      <c r="C85" s="2" t="s">
        <v>1788</v>
      </c>
      <c r="D85" s="2" t="s">
        <v>1789</v>
      </c>
      <c r="E85" s="2" t="s">
        <v>1790</v>
      </c>
      <c r="F85" s="2" t="s">
        <v>22</v>
      </c>
      <c r="G85" s="2">
        <v>80</v>
      </c>
      <c r="H85" s="2">
        <v>0</v>
      </c>
      <c r="I85" s="2">
        <v>0</v>
      </c>
      <c r="J85" s="2">
        <v>79</v>
      </c>
      <c r="K85" s="2" t="s">
        <v>1439</v>
      </c>
      <c r="L85" s="2" t="s">
        <v>1539</v>
      </c>
      <c r="M85" s="2">
        <v>44</v>
      </c>
      <c r="N85" s="2"/>
      <c r="O85" s="6"/>
    </row>
    <row r="86" spans="1:15">
      <c r="A86" s="7" t="s">
        <v>1445</v>
      </c>
      <c r="B86" s="8" t="s">
        <v>1791</v>
      </c>
      <c r="C86" s="8" t="s">
        <v>1792</v>
      </c>
      <c r="D86" s="8" t="s">
        <v>1793</v>
      </c>
      <c r="E86" s="8" t="s">
        <v>1438</v>
      </c>
      <c r="F86" s="8"/>
      <c r="G86" s="8">
        <v>3</v>
      </c>
      <c r="H86" s="8">
        <v>3</v>
      </c>
      <c r="I86" s="8">
        <v>0</v>
      </c>
      <c r="J86" s="8">
        <v>0</v>
      </c>
      <c r="K86" s="8" t="s">
        <v>1439</v>
      </c>
      <c r="L86" s="8" t="s">
        <v>1539</v>
      </c>
      <c r="M86" s="8">
        <v>44</v>
      </c>
      <c r="N86" s="8"/>
      <c r="O86" s="12"/>
    </row>
    <row r="87" spans="1:15">
      <c r="A87" s="7" t="s">
        <v>1445</v>
      </c>
      <c r="B87" s="8" t="s">
        <v>125</v>
      </c>
      <c r="C87" s="8" t="s">
        <v>1794</v>
      </c>
      <c r="D87" s="8" t="s">
        <v>1795</v>
      </c>
      <c r="E87" s="8" t="s">
        <v>1796</v>
      </c>
      <c r="F87" s="8" t="s">
        <v>37</v>
      </c>
      <c r="G87" s="8">
        <v>78</v>
      </c>
      <c r="H87" s="8">
        <v>0</v>
      </c>
      <c r="I87" s="8">
        <v>1</v>
      </c>
      <c r="J87" s="8">
        <v>77</v>
      </c>
      <c r="K87" s="8" t="s">
        <v>1439</v>
      </c>
      <c r="L87" s="8" t="s">
        <v>1539</v>
      </c>
      <c r="M87" s="8">
        <v>44</v>
      </c>
      <c r="N87" s="8" t="s">
        <v>126</v>
      </c>
      <c r="O87" s="12" t="s">
        <v>125</v>
      </c>
    </row>
    <row r="88" spans="1:15">
      <c r="A88" s="1" t="s">
        <v>1445</v>
      </c>
      <c r="B88" s="2" t="s">
        <v>1797</v>
      </c>
      <c r="C88" s="2" t="s">
        <v>1798</v>
      </c>
      <c r="D88" s="2" t="s">
        <v>1799</v>
      </c>
      <c r="E88" s="2" t="s">
        <v>1800</v>
      </c>
      <c r="F88" s="2" t="s">
        <v>22</v>
      </c>
      <c r="G88" s="2">
        <v>78</v>
      </c>
      <c r="H88" s="2">
        <v>0</v>
      </c>
      <c r="I88" s="2">
        <v>0</v>
      </c>
      <c r="J88" s="2">
        <v>59</v>
      </c>
      <c r="K88" s="2" t="s">
        <v>1439</v>
      </c>
      <c r="L88" s="2" t="s">
        <v>1539</v>
      </c>
      <c r="M88" s="2">
        <v>44</v>
      </c>
      <c r="N88" s="2"/>
      <c r="O88" s="6"/>
    </row>
    <row r="89" spans="1:15">
      <c r="A89" s="7" t="s">
        <v>1445</v>
      </c>
      <c r="B89" s="8" t="s">
        <v>1801</v>
      </c>
      <c r="C89" s="8" t="s">
        <v>1802</v>
      </c>
      <c r="D89" s="8" t="s">
        <v>1803</v>
      </c>
      <c r="E89" s="8" t="s">
        <v>1804</v>
      </c>
      <c r="F89" s="8" t="s">
        <v>22</v>
      </c>
      <c r="G89" s="8">
        <v>78</v>
      </c>
      <c r="H89" s="8">
        <v>3</v>
      </c>
      <c r="I89" s="8">
        <v>0</v>
      </c>
      <c r="J89" s="8">
        <v>74</v>
      </c>
      <c r="K89" s="8" t="s">
        <v>1439</v>
      </c>
      <c r="L89" s="8" t="s">
        <v>1539</v>
      </c>
      <c r="M89" s="8">
        <v>44</v>
      </c>
      <c r="N89" s="8"/>
      <c r="O89" s="12"/>
    </row>
    <row r="90" spans="1:15">
      <c r="A90" s="1" t="s">
        <v>1445</v>
      </c>
      <c r="B90" s="2" t="s">
        <v>1805</v>
      </c>
      <c r="C90" s="2" t="s">
        <v>1806</v>
      </c>
      <c r="D90" s="2" t="s">
        <v>1807</v>
      </c>
      <c r="E90" s="2" t="s">
        <v>1808</v>
      </c>
      <c r="F90" s="2" t="s">
        <v>22</v>
      </c>
      <c r="G90" s="2">
        <v>78</v>
      </c>
      <c r="H90" s="2">
        <v>0</v>
      </c>
      <c r="I90" s="2">
        <v>0</v>
      </c>
      <c r="J90" s="2">
        <v>77</v>
      </c>
      <c r="K90" s="2" t="s">
        <v>1439</v>
      </c>
      <c r="L90" s="2" t="s">
        <v>1539</v>
      </c>
      <c r="M90" s="2">
        <v>44</v>
      </c>
      <c r="N90" s="2"/>
      <c r="O90" s="6"/>
    </row>
    <row r="91" spans="1:15">
      <c r="A91" s="7" t="s">
        <v>1445</v>
      </c>
      <c r="B91" s="8" t="s">
        <v>129</v>
      </c>
      <c r="C91" s="8" t="s">
        <v>1809</v>
      </c>
      <c r="D91" s="8" t="s">
        <v>1810</v>
      </c>
      <c r="E91" s="8" t="s">
        <v>1811</v>
      </c>
      <c r="F91" s="8" t="s">
        <v>37</v>
      </c>
      <c r="G91" s="8">
        <v>58</v>
      </c>
      <c r="H91" s="8">
        <v>0</v>
      </c>
      <c r="I91" s="8">
        <v>1</v>
      </c>
      <c r="J91" s="8">
        <v>57</v>
      </c>
      <c r="K91" s="8" t="s">
        <v>1439</v>
      </c>
      <c r="L91" s="8" t="s">
        <v>1539</v>
      </c>
      <c r="M91" s="8">
        <v>44</v>
      </c>
      <c r="N91" s="8" t="s">
        <v>130</v>
      </c>
      <c r="O91" s="12" t="s">
        <v>129</v>
      </c>
    </row>
    <row r="92" spans="1:15">
      <c r="A92" s="1" t="s">
        <v>1445</v>
      </c>
      <c r="B92" s="2" t="s">
        <v>1812</v>
      </c>
      <c r="C92" s="2" t="s">
        <v>1813</v>
      </c>
      <c r="D92" s="2" t="s">
        <v>1438</v>
      </c>
      <c r="E92" s="2" t="s">
        <v>1814</v>
      </c>
      <c r="F92" s="2" t="s">
        <v>37</v>
      </c>
      <c r="G92" s="2">
        <v>58</v>
      </c>
      <c r="H92" s="2">
        <v>0</v>
      </c>
      <c r="I92" s="2">
        <v>0</v>
      </c>
      <c r="J92" s="2">
        <v>0</v>
      </c>
      <c r="K92" s="2" t="s">
        <v>1439</v>
      </c>
      <c r="L92" s="2" t="s">
        <v>1539</v>
      </c>
      <c r="M92" s="2">
        <v>44</v>
      </c>
      <c r="N92" s="2" t="s">
        <v>1700</v>
      </c>
      <c r="O92" s="6"/>
    </row>
    <row r="93" spans="1:15">
      <c r="A93" s="7" t="s">
        <v>1445</v>
      </c>
      <c r="B93" s="8" t="s">
        <v>132</v>
      </c>
      <c r="C93" s="8" t="s">
        <v>1815</v>
      </c>
      <c r="D93" s="8" t="s">
        <v>1816</v>
      </c>
      <c r="E93" s="8" t="s">
        <v>1817</v>
      </c>
      <c r="F93" s="8" t="s">
        <v>37</v>
      </c>
      <c r="G93" s="8">
        <v>58</v>
      </c>
      <c r="H93" s="8">
        <v>0</v>
      </c>
      <c r="I93" s="8">
        <v>1</v>
      </c>
      <c r="J93" s="8">
        <v>57</v>
      </c>
      <c r="K93" s="8" t="s">
        <v>1439</v>
      </c>
      <c r="L93" s="8" t="s">
        <v>1539</v>
      </c>
      <c r="M93" s="8">
        <v>44</v>
      </c>
      <c r="N93" s="8" t="s">
        <v>130</v>
      </c>
      <c r="O93" s="12" t="s">
        <v>132</v>
      </c>
    </row>
    <row r="94" spans="1:15">
      <c r="A94" s="1" t="s">
        <v>1445</v>
      </c>
      <c r="B94" s="2" t="s">
        <v>134</v>
      </c>
      <c r="C94" s="2" t="s">
        <v>1818</v>
      </c>
      <c r="D94" s="2" t="s">
        <v>1819</v>
      </c>
      <c r="E94" s="2" t="s">
        <v>1820</v>
      </c>
      <c r="F94" s="2" t="s">
        <v>37</v>
      </c>
      <c r="G94" s="2">
        <v>54</v>
      </c>
      <c r="H94" s="2">
        <v>1</v>
      </c>
      <c r="I94" s="2">
        <v>1</v>
      </c>
      <c r="J94" s="2">
        <v>52</v>
      </c>
      <c r="K94" s="2" t="s">
        <v>1439</v>
      </c>
      <c r="L94" s="2" t="s">
        <v>1539</v>
      </c>
      <c r="M94" s="2">
        <v>44</v>
      </c>
      <c r="N94" s="2" t="s">
        <v>135</v>
      </c>
      <c r="O94" s="6" t="s">
        <v>134</v>
      </c>
    </row>
    <row r="95" spans="1:15">
      <c r="A95" s="7" t="s">
        <v>1434</v>
      </c>
      <c r="B95" s="8" t="s">
        <v>140</v>
      </c>
      <c r="C95" s="8" t="s">
        <v>1821</v>
      </c>
      <c r="D95" s="8" t="s">
        <v>1822</v>
      </c>
      <c r="E95" s="8" t="s">
        <v>1823</v>
      </c>
      <c r="F95" s="8" t="s">
        <v>22</v>
      </c>
      <c r="G95" s="8">
        <v>98</v>
      </c>
      <c r="H95" s="8">
        <v>72</v>
      </c>
      <c r="I95" s="8">
        <v>1</v>
      </c>
      <c r="J95" s="8">
        <v>24</v>
      </c>
      <c r="K95" s="8" t="s">
        <v>1824</v>
      </c>
      <c r="L95" s="8" t="s">
        <v>1539</v>
      </c>
      <c r="M95" s="8">
        <v>44</v>
      </c>
      <c r="N95" s="8"/>
      <c r="O95" s="12" t="s">
        <v>140</v>
      </c>
    </row>
    <row r="96" spans="1:15">
      <c r="A96" s="1" t="s">
        <v>1445</v>
      </c>
      <c r="B96" s="2" t="s">
        <v>137</v>
      </c>
      <c r="C96" s="2" t="s">
        <v>1825</v>
      </c>
      <c r="D96" s="2" t="s">
        <v>1826</v>
      </c>
      <c r="E96" s="2" t="s">
        <v>1827</v>
      </c>
      <c r="F96" s="2" t="s">
        <v>37</v>
      </c>
      <c r="G96" s="2">
        <v>49</v>
      </c>
      <c r="H96" s="2">
        <v>19</v>
      </c>
      <c r="I96" s="2">
        <v>1</v>
      </c>
      <c r="J96" s="2">
        <v>29</v>
      </c>
      <c r="K96" s="2" t="s">
        <v>1439</v>
      </c>
      <c r="L96" s="2" t="s">
        <v>1545</v>
      </c>
      <c r="M96" s="2">
        <v>44</v>
      </c>
      <c r="N96" s="2" t="s">
        <v>138</v>
      </c>
      <c r="O96" s="6" t="s">
        <v>137</v>
      </c>
    </row>
    <row r="97" spans="1:15">
      <c r="A97" s="1" t="s">
        <v>1434</v>
      </c>
      <c r="B97" s="2" t="s">
        <v>801</v>
      </c>
      <c r="C97" s="2" t="s">
        <v>1828</v>
      </c>
      <c r="D97" s="2" t="s">
        <v>1829</v>
      </c>
      <c r="E97" s="2" t="s">
        <v>1830</v>
      </c>
      <c r="F97" s="2" t="s">
        <v>37</v>
      </c>
      <c r="G97" s="2">
        <v>26</v>
      </c>
      <c r="H97" s="2">
        <v>0</v>
      </c>
      <c r="I97" s="2">
        <v>1</v>
      </c>
      <c r="J97" s="2">
        <v>25</v>
      </c>
      <c r="K97" s="2" t="s">
        <v>1439</v>
      </c>
      <c r="L97" s="2" t="s">
        <v>1539</v>
      </c>
      <c r="M97" s="2">
        <v>44</v>
      </c>
      <c r="N97" s="2" t="s">
        <v>1831</v>
      </c>
      <c r="O97" s="6"/>
    </row>
    <row r="98" spans="1:15">
      <c r="A98" s="7" t="s">
        <v>1434</v>
      </c>
      <c r="B98" s="8" t="s">
        <v>804</v>
      </c>
      <c r="C98" s="8" t="s">
        <v>1832</v>
      </c>
      <c r="D98" s="8" t="s">
        <v>1833</v>
      </c>
      <c r="E98" s="8" t="s">
        <v>1834</v>
      </c>
      <c r="F98" s="8" t="s">
        <v>22</v>
      </c>
      <c r="G98" s="8">
        <v>13</v>
      </c>
      <c r="H98" s="8">
        <v>7</v>
      </c>
      <c r="I98" s="8">
        <v>1</v>
      </c>
      <c r="J98" s="8">
        <v>4</v>
      </c>
      <c r="K98" s="8" t="s">
        <v>1835</v>
      </c>
      <c r="L98" s="8" t="s">
        <v>1539</v>
      </c>
      <c r="M98" s="8">
        <v>44</v>
      </c>
      <c r="N98" s="8"/>
      <c r="O98" s="12"/>
    </row>
    <row r="99" spans="1:15">
      <c r="A99" s="1" t="s">
        <v>1434</v>
      </c>
      <c r="B99" s="2" t="s">
        <v>809</v>
      </c>
      <c r="C99" s="2" t="s">
        <v>1836</v>
      </c>
      <c r="D99" s="2" t="s">
        <v>1837</v>
      </c>
      <c r="E99" s="2" t="s">
        <v>1838</v>
      </c>
      <c r="F99" s="2" t="s">
        <v>37</v>
      </c>
      <c r="G99" s="2">
        <v>49</v>
      </c>
      <c r="H99" s="2">
        <v>0</v>
      </c>
      <c r="I99" s="2">
        <v>2</v>
      </c>
      <c r="J99" s="2">
        <v>47</v>
      </c>
      <c r="K99" s="2" t="s">
        <v>1439</v>
      </c>
      <c r="L99" s="2" t="s">
        <v>1545</v>
      </c>
      <c r="M99" s="2">
        <v>44</v>
      </c>
      <c r="N99" s="2" t="s">
        <v>1839</v>
      </c>
      <c r="O99" s="6"/>
    </row>
    <row r="100" spans="1:15">
      <c r="A100" s="7" t="s">
        <v>1445</v>
      </c>
      <c r="B100" s="8" t="s">
        <v>142</v>
      </c>
      <c r="C100" s="8" t="s">
        <v>1840</v>
      </c>
      <c r="D100" s="8" t="s">
        <v>1841</v>
      </c>
      <c r="E100" s="8" t="s">
        <v>1842</v>
      </c>
      <c r="F100" s="8" t="s">
        <v>22</v>
      </c>
      <c r="G100" s="8">
        <v>10</v>
      </c>
      <c r="H100" s="8">
        <v>1</v>
      </c>
      <c r="I100" s="8">
        <v>1</v>
      </c>
      <c r="J100" s="8">
        <v>7</v>
      </c>
      <c r="K100" s="8" t="s">
        <v>1843</v>
      </c>
      <c r="L100" s="8" t="s">
        <v>1545</v>
      </c>
      <c r="M100" s="8">
        <v>44</v>
      </c>
      <c r="N100" s="8"/>
      <c r="O100" s="12" t="s">
        <v>142</v>
      </c>
    </row>
    <row r="101" spans="1:15">
      <c r="A101" s="1" t="s">
        <v>1434</v>
      </c>
      <c r="B101" s="2" t="s">
        <v>819</v>
      </c>
      <c r="C101" s="2" t="s">
        <v>1844</v>
      </c>
      <c r="D101" s="2" t="s">
        <v>1845</v>
      </c>
      <c r="E101" s="2" t="s">
        <v>1846</v>
      </c>
      <c r="F101" s="2" t="s">
        <v>37</v>
      </c>
      <c r="G101" s="2">
        <v>49</v>
      </c>
      <c r="H101" s="2">
        <v>1</v>
      </c>
      <c r="I101" s="2">
        <v>2</v>
      </c>
      <c r="J101" s="2">
        <v>46</v>
      </c>
      <c r="K101" s="2" t="s">
        <v>1847</v>
      </c>
      <c r="L101" s="2" t="s">
        <v>1545</v>
      </c>
      <c r="M101" s="2">
        <v>44</v>
      </c>
      <c r="N101" s="2" t="s">
        <v>1848</v>
      </c>
      <c r="O101" s="6"/>
    </row>
    <row r="102" spans="1:15">
      <c r="A102" s="7" t="s">
        <v>1445</v>
      </c>
      <c r="B102" s="8" t="s">
        <v>1849</v>
      </c>
      <c r="C102" s="8" t="s">
        <v>1850</v>
      </c>
      <c r="D102" s="8" t="s">
        <v>1851</v>
      </c>
      <c r="E102" s="8" t="s">
        <v>1852</v>
      </c>
      <c r="F102" s="8" t="s">
        <v>22</v>
      </c>
      <c r="G102" s="8">
        <v>25</v>
      </c>
      <c r="H102" s="8">
        <v>5</v>
      </c>
      <c r="I102" s="8">
        <v>0</v>
      </c>
      <c r="J102" s="8">
        <v>19</v>
      </c>
      <c r="K102" s="8" t="s">
        <v>1439</v>
      </c>
      <c r="L102" s="8" t="s">
        <v>1545</v>
      </c>
      <c r="M102" s="8">
        <v>44</v>
      </c>
      <c r="N102" s="8"/>
      <c r="O102" s="12"/>
    </row>
    <row r="103" spans="1:15">
      <c r="A103" s="1" t="s">
        <v>1445</v>
      </c>
      <c r="B103" s="2" t="s">
        <v>1853</v>
      </c>
      <c r="C103" s="2" t="s">
        <v>1854</v>
      </c>
      <c r="D103" s="2" t="s">
        <v>1855</v>
      </c>
      <c r="E103" s="2" t="s">
        <v>1438</v>
      </c>
      <c r="F103" s="2"/>
      <c r="G103" s="2">
        <v>1</v>
      </c>
      <c r="H103" s="2">
        <v>1</v>
      </c>
      <c r="I103" s="2">
        <v>0</v>
      </c>
      <c r="J103" s="2">
        <v>0</v>
      </c>
      <c r="K103" s="2" t="s">
        <v>1439</v>
      </c>
      <c r="L103" s="2" t="s">
        <v>1545</v>
      </c>
      <c r="M103" s="2">
        <v>44</v>
      </c>
      <c r="N103" s="2"/>
      <c r="O103" s="6"/>
    </row>
    <row r="104" spans="1:15">
      <c r="A104" s="7" t="s">
        <v>1445</v>
      </c>
      <c r="B104" s="8" t="s">
        <v>1856</v>
      </c>
      <c r="C104" s="8" t="s">
        <v>1857</v>
      </c>
      <c r="D104" s="8" t="s">
        <v>1858</v>
      </c>
      <c r="E104" s="8" t="s">
        <v>1438</v>
      </c>
      <c r="F104" s="8"/>
      <c r="G104" s="8">
        <v>22</v>
      </c>
      <c r="H104" s="8">
        <v>12</v>
      </c>
      <c r="I104" s="8">
        <v>0</v>
      </c>
      <c r="J104" s="8">
        <v>9</v>
      </c>
      <c r="K104" s="8" t="s">
        <v>1439</v>
      </c>
      <c r="L104" s="8" t="s">
        <v>1545</v>
      </c>
      <c r="M104" s="8">
        <v>44</v>
      </c>
      <c r="N104" s="8"/>
      <c r="O104" s="12"/>
    </row>
    <row r="105" spans="1:15">
      <c r="A105" s="1" t="s">
        <v>1445</v>
      </c>
      <c r="B105" s="2" t="s">
        <v>144</v>
      </c>
      <c r="C105" s="2" t="s">
        <v>1859</v>
      </c>
      <c r="D105" s="2" t="s">
        <v>1860</v>
      </c>
      <c r="E105" s="2" t="s">
        <v>1861</v>
      </c>
      <c r="F105" s="2" t="s">
        <v>37</v>
      </c>
      <c r="G105" s="2">
        <v>16</v>
      </c>
      <c r="H105" s="2">
        <v>1</v>
      </c>
      <c r="I105" s="2">
        <v>1</v>
      </c>
      <c r="J105" s="2">
        <v>14</v>
      </c>
      <c r="K105" s="2" t="s">
        <v>1439</v>
      </c>
      <c r="L105" s="2" t="s">
        <v>1545</v>
      </c>
      <c r="M105" s="2">
        <v>44</v>
      </c>
      <c r="N105" s="2" t="s">
        <v>145</v>
      </c>
      <c r="O105" s="6" t="s">
        <v>144</v>
      </c>
    </row>
    <row r="106" spans="1:15">
      <c r="A106" s="7" t="s">
        <v>1445</v>
      </c>
      <c r="B106" s="8" t="s">
        <v>1862</v>
      </c>
      <c r="C106" s="8" t="s">
        <v>1863</v>
      </c>
      <c r="D106" s="8" t="s">
        <v>1864</v>
      </c>
      <c r="E106" s="8" t="s">
        <v>1865</v>
      </c>
      <c r="F106" s="8" t="s">
        <v>22</v>
      </c>
      <c r="G106" s="8">
        <v>16</v>
      </c>
      <c r="H106" s="8">
        <v>1</v>
      </c>
      <c r="I106" s="8">
        <v>0</v>
      </c>
      <c r="J106" s="8">
        <v>14</v>
      </c>
      <c r="K106" s="8" t="s">
        <v>1439</v>
      </c>
      <c r="L106" s="8" t="s">
        <v>1545</v>
      </c>
      <c r="M106" s="8">
        <v>44</v>
      </c>
      <c r="N106" s="8"/>
      <c r="O106" s="12"/>
    </row>
    <row r="107" spans="1:15">
      <c r="A107" s="1" t="s">
        <v>1445</v>
      </c>
      <c r="B107" s="2" t="s">
        <v>147</v>
      </c>
      <c r="C107" s="2" t="s">
        <v>1866</v>
      </c>
      <c r="D107" s="2" t="s">
        <v>1867</v>
      </c>
      <c r="E107" s="2" t="s">
        <v>1868</v>
      </c>
      <c r="F107" s="2" t="s">
        <v>37</v>
      </c>
      <c r="G107" s="2">
        <v>16</v>
      </c>
      <c r="H107" s="2">
        <v>15</v>
      </c>
      <c r="I107" s="2">
        <v>1</v>
      </c>
      <c r="J107" s="2">
        <v>0</v>
      </c>
      <c r="K107" s="2" t="s">
        <v>1439</v>
      </c>
      <c r="L107" s="2" t="s">
        <v>1545</v>
      </c>
      <c r="M107" s="2">
        <v>44</v>
      </c>
      <c r="N107" s="2" t="s">
        <v>148</v>
      </c>
      <c r="O107" s="6" t="s">
        <v>147</v>
      </c>
    </row>
    <row r="108" spans="1:15">
      <c r="A108" s="7" t="s">
        <v>1434</v>
      </c>
      <c r="B108" s="8" t="s">
        <v>1869</v>
      </c>
      <c r="C108" s="8" t="s">
        <v>1870</v>
      </c>
      <c r="D108" s="8" t="s">
        <v>1871</v>
      </c>
      <c r="E108" s="8" t="s">
        <v>1872</v>
      </c>
      <c r="F108" s="8" t="s">
        <v>22</v>
      </c>
      <c r="G108" s="8">
        <v>77</v>
      </c>
      <c r="H108" s="8">
        <v>0</v>
      </c>
      <c r="I108" s="8">
        <v>0</v>
      </c>
      <c r="J108" s="8">
        <v>76</v>
      </c>
      <c r="K108" s="8" t="s">
        <v>1439</v>
      </c>
      <c r="L108" s="8" t="s">
        <v>1873</v>
      </c>
      <c r="M108" s="8">
        <v>44</v>
      </c>
      <c r="N108" s="8"/>
      <c r="O108" s="12"/>
    </row>
    <row r="109" spans="1:15">
      <c r="A109" s="1" t="s">
        <v>1434</v>
      </c>
      <c r="B109" s="2" t="s">
        <v>1874</v>
      </c>
      <c r="C109" s="2" t="s">
        <v>1875</v>
      </c>
      <c r="D109" s="2" t="s">
        <v>1876</v>
      </c>
      <c r="E109" s="2" t="s">
        <v>1877</v>
      </c>
      <c r="F109" s="2" t="s">
        <v>22</v>
      </c>
      <c r="G109" s="2">
        <v>35</v>
      </c>
      <c r="H109" s="2">
        <v>0</v>
      </c>
      <c r="I109" s="2">
        <v>0</v>
      </c>
      <c r="J109" s="2">
        <v>34</v>
      </c>
      <c r="K109" s="2" t="s">
        <v>1439</v>
      </c>
      <c r="L109" s="2" t="s">
        <v>1873</v>
      </c>
      <c r="M109" s="2">
        <v>44</v>
      </c>
      <c r="N109" s="2"/>
      <c r="O109" s="6"/>
    </row>
    <row r="110" spans="1:15">
      <c r="A110" s="1" t="s">
        <v>1434</v>
      </c>
      <c r="B110" s="2" t="s">
        <v>1878</v>
      </c>
      <c r="C110" s="2" t="s">
        <v>1879</v>
      </c>
      <c r="D110" s="2" t="s">
        <v>1880</v>
      </c>
      <c r="E110" s="2" t="s">
        <v>1881</v>
      </c>
      <c r="F110" s="2" t="s">
        <v>388</v>
      </c>
      <c r="G110" s="2">
        <v>35</v>
      </c>
      <c r="H110" s="2">
        <v>35</v>
      </c>
      <c r="I110" s="2">
        <v>0</v>
      </c>
      <c r="J110" s="2">
        <v>0</v>
      </c>
      <c r="K110" s="2" t="s">
        <v>1439</v>
      </c>
      <c r="L110" s="2" t="s">
        <v>1873</v>
      </c>
      <c r="M110" s="2">
        <v>44</v>
      </c>
      <c r="N110" s="2"/>
      <c r="O110" s="6"/>
    </row>
    <row r="111" spans="1:15">
      <c r="A111" s="7" t="s">
        <v>1445</v>
      </c>
      <c r="B111" s="8" t="s">
        <v>1882</v>
      </c>
      <c r="C111" s="8" t="s">
        <v>1883</v>
      </c>
      <c r="D111" s="8" t="s">
        <v>1884</v>
      </c>
      <c r="E111" s="8" t="s">
        <v>1885</v>
      </c>
      <c r="F111" s="8" t="s">
        <v>22</v>
      </c>
      <c r="G111" s="8">
        <v>42</v>
      </c>
      <c r="H111" s="8">
        <v>0</v>
      </c>
      <c r="I111" s="8">
        <v>0</v>
      </c>
      <c r="J111" s="8">
        <v>41</v>
      </c>
      <c r="K111" s="8" t="s">
        <v>1439</v>
      </c>
      <c r="L111" s="8" t="s">
        <v>1873</v>
      </c>
      <c r="M111" s="8">
        <v>44</v>
      </c>
      <c r="N111" s="8"/>
      <c r="O111" s="12"/>
    </row>
    <row r="112" spans="1:15">
      <c r="A112" s="7" t="s">
        <v>1445</v>
      </c>
      <c r="B112" s="8" t="s">
        <v>1886</v>
      </c>
      <c r="C112" s="8" t="s">
        <v>1887</v>
      </c>
      <c r="D112" s="8" t="s">
        <v>1888</v>
      </c>
      <c r="E112" s="8" t="s">
        <v>1889</v>
      </c>
      <c r="F112" s="8" t="s">
        <v>388</v>
      </c>
      <c r="G112" s="8">
        <v>39</v>
      </c>
      <c r="H112" s="8">
        <v>39</v>
      </c>
      <c r="I112" s="8">
        <v>0</v>
      </c>
      <c r="J112" s="8">
        <v>0</v>
      </c>
      <c r="K112" s="8" t="s">
        <v>1439</v>
      </c>
      <c r="L112" s="8" t="s">
        <v>1873</v>
      </c>
      <c r="M112" s="8">
        <v>44</v>
      </c>
      <c r="N112" s="8"/>
      <c r="O112" s="12"/>
    </row>
    <row r="113" spans="1:15">
      <c r="A113" s="1" t="s">
        <v>1445</v>
      </c>
      <c r="B113" s="2" t="s">
        <v>119</v>
      </c>
      <c r="C113" s="2" t="s">
        <v>1890</v>
      </c>
      <c r="D113" s="2" t="s">
        <v>1891</v>
      </c>
      <c r="E113" s="2" t="s">
        <v>1892</v>
      </c>
      <c r="F113" s="2" t="s">
        <v>37</v>
      </c>
      <c r="G113" s="2">
        <v>15</v>
      </c>
      <c r="H113" s="2">
        <v>1</v>
      </c>
      <c r="I113" s="2">
        <v>1</v>
      </c>
      <c r="J113" s="2">
        <v>13</v>
      </c>
      <c r="K113" s="2" t="s">
        <v>1439</v>
      </c>
      <c r="L113" s="2" t="s">
        <v>1893</v>
      </c>
      <c r="M113" s="2">
        <v>43</v>
      </c>
      <c r="N113" s="2" t="s">
        <v>120</v>
      </c>
      <c r="O113" s="6" t="s">
        <v>119</v>
      </c>
    </row>
    <row r="114" spans="1:15">
      <c r="A114" s="7" t="s">
        <v>1445</v>
      </c>
      <c r="B114" s="8" t="s">
        <v>150</v>
      </c>
      <c r="C114" s="8" t="s">
        <v>1894</v>
      </c>
      <c r="D114" s="8" t="s">
        <v>1895</v>
      </c>
      <c r="E114" s="8" t="s">
        <v>1896</v>
      </c>
      <c r="F114" s="8" t="s">
        <v>37</v>
      </c>
      <c r="G114" s="8">
        <v>14</v>
      </c>
      <c r="H114" s="8">
        <v>1</v>
      </c>
      <c r="I114" s="8">
        <v>1</v>
      </c>
      <c r="J114" s="8">
        <v>12</v>
      </c>
      <c r="K114" s="8" t="s">
        <v>1439</v>
      </c>
      <c r="L114" s="8" t="s">
        <v>1893</v>
      </c>
      <c r="M114" s="8">
        <v>43</v>
      </c>
      <c r="N114" s="8" t="s">
        <v>120</v>
      </c>
      <c r="O114" s="12" t="s">
        <v>150</v>
      </c>
    </row>
    <row r="115" spans="1:15">
      <c r="A115" s="1" t="s">
        <v>1445</v>
      </c>
      <c r="B115" s="2" t="s">
        <v>1897</v>
      </c>
      <c r="C115" s="2" t="s">
        <v>1898</v>
      </c>
      <c r="D115" s="2" t="s">
        <v>1899</v>
      </c>
      <c r="E115" s="2" t="s">
        <v>1900</v>
      </c>
      <c r="F115" s="2" t="s">
        <v>22</v>
      </c>
      <c r="G115" s="2">
        <v>31</v>
      </c>
      <c r="H115" s="2">
        <v>2</v>
      </c>
      <c r="I115" s="2">
        <v>0</v>
      </c>
      <c r="J115" s="2">
        <v>28</v>
      </c>
      <c r="K115" s="2" t="s">
        <v>1439</v>
      </c>
      <c r="L115" s="2" t="s">
        <v>1893</v>
      </c>
      <c r="M115" s="2">
        <v>43</v>
      </c>
      <c r="N115" s="2"/>
      <c r="O115" s="6"/>
    </row>
    <row r="116" spans="1:15">
      <c r="A116" s="1" t="s">
        <v>1445</v>
      </c>
      <c r="B116" s="2" t="s">
        <v>1901</v>
      </c>
      <c r="C116" s="2" t="s">
        <v>1902</v>
      </c>
      <c r="D116" s="2" t="s">
        <v>1903</v>
      </c>
      <c r="E116" s="2" t="s">
        <v>1438</v>
      </c>
      <c r="F116" s="2"/>
      <c r="G116" s="2">
        <v>1</v>
      </c>
      <c r="H116" s="2">
        <v>1</v>
      </c>
      <c r="I116" s="2">
        <v>0</v>
      </c>
      <c r="J116" s="2">
        <v>0</v>
      </c>
      <c r="K116" s="2" t="s">
        <v>1439</v>
      </c>
      <c r="L116" s="2" t="s">
        <v>1893</v>
      </c>
      <c r="M116" s="2">
        <v>43</v>
      </c>
      <c r="N116" s="2"/>
      <c r="O116" s="6"/>
    </row>
    <row r="117" spans="1:15">
      <c r="A117" s="7" t="s">
        <v>1445</v>
      </c>
      <c r="B117" s="8" t="s">
        <v>153</v>
      </c>
      <c r="C117" s="8" t="s">
        <v>1904</v>
      </c>
      <c r="D117" s="8" t="s">
        <v>1905</v>
      </c>
      <c r="E117" s="8" t="s">
        <v>1906</v>
      </c>
      <c r="F117" s="8" t="s">
        <v>37</v>
      </c>
      <c r="G117" s="8">
        <v>36</v>
      </c>
      <c r="H117" s="8">
        <v>7</v>
      </c>
      <c r="I117" s="8">
        <v>1</v>
      </c>
      <c r="J117" s="8">
        <v>28</v>
      </c>
      <c r="K117" s="8" t="s">
        <v>1439</v>
      </c>
      <c r="L117" s="8" t="s">
        <v>1893</v>
      </c>
      <c r="M117" s="8">
        <v>43</v>
      </c>
      <c r="N117" s="8" t="s">
        <v>154</v>
      </c>
      <c r="O117" s="12" t="s">
        <v>153</v>
      </c>
    </row>
    <row r="118" spans="1:15">
      <c r="A118" s="7" t="s">
        <v>1434</v>
      </c>
      <c r="B118" s="8" t="s">
        <v>1907</v>
      </c>
      <c r="C118" s="8" t="s">
        <v>1908</v>
      </c>
      <c r="D118" s="8" t="s">
        <v>1909</v>
      </c>
      <c r="E118" s="8" t="s">
        <v>1910</v>
      </c>
      <c r="F118" s="8" t="s">
        <v>388</v>
      </c>
      <c r="G118" s="8">
        <v>69</v>
      </c>
      <c r="H118" s="8">
        <v>69</v>
      </c>
      <c r="I118" s="8">
        <v>0</v>
      </c>
      <c r="J118" s="8">
        <v>0</v>
      </c>
      <c r="K118" s="8" t="s">
        <v>1439</v>
      </c>
      <c r="L118" s="8" t="s">
        <v>1893</v>
      </c>
      <c r="M118" s="8">
        <v>44</v>
      </c>
      <c r="N118" s="8"/>
      <c r="O118" s="12"/>
    </row>
    <row r="119" spans="1:15">
      <c r="A119" s="1" t="s">
        <v>1445</v>
      </c>
      <c r="B119" s="2" t="s">
        <v>157</v>
      </c>
      <c r="C119" s="2" t="s">
        <v>1911</v>
      </c>
      <c r="D119" s="2" t="s">
        <v>1912</v>
      </c>
      <c r="E119" s="2" t="s">
        <v>1913</v>
      </c>
      <c r="F119" s="2" t="s">
        <v>37</v>
      </c>
      <c r="G119" s="2">
        <v>57</v>
      </c>
      <c r="H119" s="2">
        <v>1</v>
      </c>
      <c r="I119" s="2">
        <v>1</v>
      </c>
      <c r="J119" s="2">
        <v>55</v>
      </c>
      <c r="K119" s="2" t="s">
        <v>1439</v>
      </c>
      <c r="L119" s="2" t="s">
        <v>1893</v>
      </c>
      <c r="M119" s="2">
        <v>43</v>
      </c>
      <c r="N119" s="2" t="s">
        <v>158</v>
      </c>
      <c r="O119" s="6" t="s">
        <v>157</v>
      </c>
    </row>
    <row r="120" spans="1:15">
      <c r="A120" s="1" t="s">
        <v>1445</v>
      </c>
      <c r="B120" s="2" t="s">
        <v>1914</v>
      </c>
      <c r="C120" s="2" t="s">
        <v>1915</v>
      </c>
      <c r="D120" s="2" t="s">
        <v>1916</v>
      </c>
      <c r="E120" s="2" t="s">
        <v>1917</v>
      </c>
      <c r="F120" s="2" t="s">
        <v>22</v>
      </c>
      <c r="G120" s="2">
        <v>77</v>
      </c>
      <c r="H120" s="2">
        <v>69</v>
      </c>
      <c r="I120" s="2">
        <v>0</v>
      </c>
      <c r="J120" s="2">
        <v>7</v>
      </c>
      <c r="K120" s="2" t="s">
        <v>1439</v>
      </c>
      <c r="L120" s="2" t="s">
        <v>1893</v>
      </c>
      <c r="M120" s="2">
        <v>44</v>
      </c>
      <c r="N120" s="2"/>
      <c r="O120" s="6"/>
    </row>
    <row r="121" spans="1:15">
      <c r="A121" s="1" t="s">
        <v>1434</v>
      </c>
      <c r="B121" s="2" t="s">
        <v>160</v>
      </c>
      <c r="C121" s="2" t="s">
        <v>1918</v>
      </c>
      <c r="D121" s="2" t="s">
        <v>1919</v>
      </c>
      <c r="E121" s="2" t="s">
        <v>1920</v>
      </c>
      <c r="F121" s="2" t="s">
        <v>37</v>
      </c>
      <c r="G121" s="2">
        <v>69</v>
      </c>
      <c r="H121" s="2">
        <v>0</v>
      </c>
      <c r="I121" s="2">
        <v>1</v>
      </c>
      <c r="J121" s="2">
        <v>68</v>
      </c>
      <c r="K121" s="2" t="s">
        <v>1439</v>
      </c>
      <c r="L121" s="2" t="s">
        <v>1893</v>
      </c>
      <c r="M121" s="2">
        <v>44</v>
      </c>
      <c r="N121" s="2" t="s">
        <v>161</v>
      </c>
      <c r="O121" s="37" t="s">
        <v>160</v>
      </c>
    </row>
    <row r="122" spans="1:15">
      <c r="A122" s="7" t="s">
        <v>1434</v>
      </c>
      <c r="B122" s="8" t="s">
        <v>1921</v>
      </c>
      <c r="C122" s="8" t="s">
        <v>1922</v>
      </c>
      <c r="D122" s="8" t="s">
        <v>1923</v>
      </c>
      <c r="E122" s="8" t="s">
        <v>1924</v>
      </c>
      <c r="F122" s="8" t="s">
        <v>37</v>
      </c>
      <c r="G122" s="8">
        <v>69</v>
      </c>
      <c r="H122" s="8">
        <v>0</v>
      </c>
      <c r="I122" s="8">
        <v>1</v>
      </c>
      <c r="J122" s="8">
        <v>68</v>
      </c>
      <c r="K122" s="8" t="s">
        <v>1439</v>
      </c>
      <c r="L122" s="8" t="s">
        <v>1893</v>
      </c>
      <c r="M122" s="8">
        <v>44</v>
      </c>
      <c r="N122" s="8" t="s">
        <v>161</v>
      </c>
      <c r="O122" s="12"/>
    </row>
    <row r="123" spans="1:15">
      <c r="A123" s="1" t="s">
        <v>1434</v>
      </c>
      <c r="B123" s="2" t="s">
        <v>1925</v>
      </c>
      <c r="C123" s="2" t="s">
        <v>1926</v>
      </c>
      <c r="D123" s="2" t="s">
        <v>1927</v>
      </c>
      <c r="E123" s="2" t="s">
        <v>1928</v>
      </c>
      <c r="F123" s="2" t="s">
        <v>37</v>
      </c>
      <c r="G123" s="2">
        <v>69</v>
      </c>
      <c r="H123" s="2">
        <v>1</v>
      </c>
      <c r="I123" s="2">
        <v>2</v>
      </c>
      <c r="J123" s="2">
        <v>66</v>
      </c>
      <c r="K123" s="2" t="s">
        <v>1439</v>
      </c>
      <c r="L123" s="2" t="s">
        <v>1893</v>
      </c>
      <c r="M123" s="2">
        <v>44</v>
      </c>
      <c r="N123" s="2" t="s">
        <v>1929</v>
      </c>
      <c r="O123" s="6"/>
    </row>
    <row r="124" spans="1:15">
      <c r="A124" s="7" t="s">
        <v>1434</v>
      </c>
      <c r="B124" s="8" t="s">
        <v>1930</v>
      </c>
      <c r="C124" s="8" t="s">
        <v>1931</v>
      </c>
      <c r="D124" s="8" t="s">
        <v>1932</v>
      </c>
      <c r="E124" s="8" t="s">
        <v>1933</v>
      </c>
      <c r="F124" s="8" t="s">
        <v>37</v>
      </c>
      <c r="G124" s="8">
        <v>69</v>
      </c>
      <c r="H124" s="8">
        <v>1</v>
      </c>
      <c r="I124" s="8">
        <v>2</v>
      </c>
      <c r="J124" s="8">
        <v>66</v>
      </c>
      <c r="K124" s="8" t="s">
        <v>1439</v>
      </c>
      <c r="L124" s="8" t="s">
        <v>1893</v>
      </c>
      <c r="M124" s="8">
        <v>44</v>
      </c>
      <c r="N124" s="8" t="s">
        <v>1929</v>
      </c>
      <c r="O124" s="12"/>
    </row>
    <row r="125" spans="1:15">
      <c r="A125" s="7" t="s">
        <v>1434</v>
      </c>
      <c r="B125" s="8" t="s">
        <v>1934</v>
      </c>
      <c r="C125" s="8" t="s">
        <v>1935</v>
      </c>
      <c r="D125" s="8" t="s">
        <v>1936</v>
      </c>
      <c r="E125" s="8" t="s">
        <v>1937</v>
      </c>
      <c r="F125" s="8" t="s">
        <v>37</v>
      </c>
      <c r="G125" s="8">
        <v>69</v>
      </c>
      <c r="H125" s="8">
        <v>0</v>
      </c>
      <c r="I125" s="8">
        <v>1</v>
      </c>
      <c r="J125" s="8">
        <v>68</v>
      </c>
      <c r="K125" s="8" t="s">
        <v>1439</v>
      </c>
      <c r="L125" s="8" t="s">
        <v>1893</v>
      </c>
      <c r="M125" s="8">
        <v>44</v>
      </c>
      <c r="N125" s="8" t="s">
        <v>161</v>
      </c>
      <c r="O125" s="12"/>
    </row>
    <row r="126" spans="1:15">
      <c r="A126" s="1" t="s">
        <v>1445</v>
      </c>
      <c r="B126" s="2" t="s">
        <v>163</v>
      </c>
      <c r="C126" s="2" t="s">
        <v>1938</v>
      </c>
      <c r="D126" s="2" t="s">
        <v>1939</v>
      </c>
      <c r="E126" s="2" t="s">
        <v>1940</v>
      </c>
      <c r="F126" s="2" t="s">
        <v>37</v>
      </c>
      <c r="G126" s="2">
        <v>77</v>
      </c>
      <c r="H126" s="2">
        <v>32</v>
      </c>
      <c r="I126" s="2">
        <v>1</v>
      </c>
      <c r="J126" s="2">
        <v>44</v>
      </c>
      <c r="K126" s="2" t="s">
        <v>1439</v>
      </c>
      <c r="L126" s="2" t="s">
        <v>1893</v>
      </c>
      <c r="M126" s="2">
        <v>44</v>
      </c>
      <c r="N126" s="2" t="s">
        <v>164</v>
      </c>
      <c r="O126" s="6" t="s">
        <v>163</v>
      </c>
    </row>
    <row r="127" spans="1:15">
      <c r="A127" s="7" t="s">
        <v>1434</v>
      </c>
      <c r="B127" s="8" t="s">
        <v>1941</v>
      </c>
      <c r="C127" s="8" t="s">
        <v>1942</v>
      </c>
      <c r="D127" s="8" t="s">
        <v>1943</v>
      </c>
      <c r="E127" s="8" t="s">
        <v>1944</v>
      </c>
      <c r="F127" s="8" t="s">
        <v>388</v>
      </c>
      <c r="G127" s="8">
        <v>69</v>
      </c>
      <c r="H127" s="8">
        <v>69</v>
      </c>
      <c r="I127" s="8">
        <v>0</v>
      </c>
      <c r="J127" s="8">
        <v>0</v>
      </c>
      <c r="K127" s="8" t="s">
        <v>1439</v>
      </c>
      <c r="L127" s="8" t="s">
        <v>1893</v>
      </c>
      <c r="M127" s="8">
        <v>44</v>
      </c>
      <c r="N127" s="8"/>
      <c r="O127" s="12"/>
    </row>
    <row r="128" spans="1:15">
      <c r="A128" s="7" t="s">
        <v>1434</v>
      </c>
      <c r="B128" s="8" t="s">
        <v>1945</v>
      </c>
      <c r="C128" s="8" t="s">
        <v>1946</v>
      </c>
      <c r="D128" s="8" t="s">
        <v>1947</v>
      </c>
      <c r="E128" s="8" t="s">
        <v>1438</v>
      </c>
      <c r="F128" s="8"/>
      <c r="G128" s="8">
        <v>5</v>
      </c>
      <c r="H128" s="8">
        <v>5</v>
      </c>
      <c r="I128" s="8">
        <v>0</v>
      </c>
      <c r="J128" s="8">
        <v>0</v>
      </c>
      <c r="K128" s="8" t="s">
        <v>1439</v>
      </c>
      <c r="L128" s="8" t="s">
        <v>1893</v>
      </c>
      <c r="M128" s="8">
        <v>43</v>
      </c>
      <c r="N128" s="8"/>
      <c r="O128" s="12"/>
    </row>
    <row r="129" spans="1:15">
      <c r="A129" s="1" t="s">
        <v>1434</v>
      </c>
      <c r="B129" s="2" t="s">
        <v>166</v>
      </c>
      <c r="C129" s="2" t="s">
        <v>1948</v>
      </c>
      <c r="D129" s="2" t="s">
        <v>1949</v>
      </c>
      <c r="E129" s="2" t="s">
        <v>1950</v>
      </c>
      <c r="F129" s="2" t="s">
        <v>37</v>
      </c>
      <c r="G129" s="2">
        <v>21</v>
      </c>
      <c r="H129" s="2">
        <v>0</v>
      </c>
      <c r="I129" s="2">
        <v>1</v>
      </c>
      <c r="J129" s="2">
        <v>20</v>
      </c>
      <c r="K129" s="2" t="s">
        <v>1439</v>
      </c>
      <c r="L129" s="2" t="s">
        <v>1893</v>
      </c>
      <c r="M129" s="2">
        <v>43</v>
      </c>
      <c r="N129" s="2" t="s">
        <v>158</v>
      </c>
      <c r="O129" s="6" t="s">
        <v>166</v>
      </c>
    </row>
    <row r="130" spans="1:15">
      <c r="A130" s="7" t="s">
        <v>1434</v>
      </c>
      <c r="B130" s="8" t="s">
        <v>1951</v>
      </c>
      <c r="C130" s="8" t="s">
        <v>1952</v>
      </c>
      <c r="D130" s="8" t="s">
        <v>1953</v>
      </c>
      <c r="E130" s="8" t="s">
        <v>1954</v>
      </c>
      <c r="F130" s="8" t="s">
        <v>22</v>
      </c>
      <c r="G130" s="8">
        <v>27</v>
      </c>
      <c r="H130" s="8">
        <v>2</v>
      </c>
      <c r="I130" s="8">
        <v>0</v>
      </c>
      <c r="J130" s="8">
        <v>24</v>
      </c>
      <c r="K130" s="8" t="s">
        <v>1439</v>
      </c>
      <c r="L130" s="8" t="s">
        <v>1893</v>
      </c>
      <c r="M130" s="8">
        <v>43</v>
      </c>
      <c r="N130" s="8"/>
      <c r="O130" s="12"/>
    </row>
    <row r="131" spans="1:15">
      <c r="A131" s="1" t="s">
        <v>1434</v>
      </c>
      <c r="B131" s="2" t="s">
        <v>169</v>
      </c>
      <c r="C131" s="2" t="s">
        <v>1955</v>
      </c>
      <c r="D131" s="2" t="s">
        <v>1956</v>
      </c>
      <c r="E131" s="2" t="s">
        <v>1957</v>
      </c>
      <c r="F131" s="2" t="s">
        <v>37</v>
      </c>
      <c r="G131" s="2">
        <v>21</v>
      </c>
      <c r="H131" s="2">
        <v>0</v>
      </c>
      <c r="I131" s="2">
        <v>1</v>
      </c>
      <c r="J131" s="2">
        <v>20</v>
      </c>
      <c r="K131" s="2" t="s">
        <v>1439</v>
      </c>
      <c r="L131" s="2" t="s">
        <v>1893</v>
      </c>
      <c r="M131" s="2">
        <v>43</v>
      </c>
      <c r="N131" s="2" t="s">
        <v>158</v>
      </c>
      <c r="O131" s="6" t="s">
        <v>169</v>
      </c>
    </row>
    <row r="132" spans="1:15">
      <c r="A132" s="1" t="s">
        <v>1434</v>
      </c>
      <c r="B132" s="2" t="s">
        <v>1958</v>
      </c>
      <c r="C132" s="2" t="s">
        <v>1959</v>
      </c>
      <c r="D132" s="2" t="s">
        <v>1960</v>
      </c>
      <c r="E132" s="2" t="s">
        <v>1438</v>
      </c>
      <c r="F132" s="2"/>
      <c r="G132" s="2">
        <v>32</v>
      </c>
      <c r="H132" s="2">
        <v>10</v>
      </c>
      <c r="I132" s="2">
        <v>0</v>
      </c>
      <c r="J132" s="2">
        <v>21</v>
      </c>
      <c r="K132" s="2" t="s">
        <v>1961</v>
      </c>
      <c r="L132" s="2" t="s">
        <v>1893</v>
      </c>
      <c r="M132" s="2">
        <v>43</v>
      </c>
      <c r="N132" s="2"/>
      <c r="O132" s="6"/>
    </row>
    <row r="133" spans="1:15">
      <c r="A133" s="7" t="s">
        <v>1434</v>
      </c>
      <c r="B133" s="8" t="s">
        <v>1962</v>
      </c>
      <c r="C133" s="8" t="s">
        <v>1963</v>
      </c>
      <c r="D133" s="8" t="s">
        <v>1964</v>
      </c>
      <c r="E133" s="8" t="s">
        <v>1965</v>
      </c>
      <c r="F133" s="8" t="s">
        <v>22</v>
      </c>
      <c r="G133" s="8">
        <v>69</v>
      </c>
      <c r="H133" s="8">
        <v>0</v>
      </c>
      <c r="I133" s="8">
        <v>0</v>
      </c>
      <c r="J133" s="8">
        <v>68</v>
      </c>
      <c r="K133" s="8" t="s">
        <v>1439</v>
      </c>
      <c r="L133" s="8" t="s">
        <v>1873</v>
      </c>
      <c r="M133" s="8">
        <v>44</v>
      </c>
      <c r="N133" s="8"/>
      <c r="O133" s="12"/>
    </row>
    <row r="134" spans="1:15">
      <c r="A134" s="7" t="s">
        <v>1434</v>
      </c>
      <c r="B134" s="8" t="s">
        <v>1966</v>
      </c>
      <c r="C134" s="8" t="s">
        <v>1967</v>
      </c>
      <c r="D134" s="8" t="s">
        <v>1968</v>
      </c>
      <c r="E134" s="8" t="s">
        <v>1438</v>
      </c>
      <c r="F134" s="8"/>
      <c r="G134" s="8">
        <v>14</v>
      </c>
      <c r="H134" s="8">
        <v>14</v>
      </c>
      <c r="I134" s="8">
        <v>0</v>
      </c>
      <c r="J134" s="8">
        <v>0</v>
      </c>
      <c r="K134" s="8" t="s">
        <v>1439</v>
      </c>
      <c r="L134" s="8" t="s">
        <v>1873</v>
      </c>
      <c r="M134" s="8">
        <v>44</v>
      </c>
      <c r="N134" s="8"/>
      <c r="O134" s="12"/>
    </row>
    <row r="135" spans="1:15">
      <c r="A135" s="1" t="s">
        <v>1445</v>
      </c>
      <c r="B135" s="2" t="s">
        <v>1969</v>
      </c>
      <c r="C135" s="2" t="s">
        <v>1970</v>
      </c>
      <c r="D135" s="2" t="s">
        <v>1971</v>
      </c>
      <c r="E135" s="2" t="s">
        <v>1438</v>
      </c>
      <c r="F135" s="2"/>
      <c r="G135" s="2">
        <v>10</v>
      </c>
      <c r="H135" s="2">
        <v>10</v>
      </c>
      <c r="I135" s="2">
        <v>0</v>
      </c>
      <c r="J135" s="2">
        <v>0</v>
      </c>
      <c r="K135" s="2" t="s">
        <v>1439</v>
      </c>
      <c r="L135" s="2" t="s">
        <v>1873</v>
      </c>
      <c r="M135" s="2">
        <v>44</v>
      </c>
      <c r="N135" s="2"/>
      <c r="O135" s="6"/>
    </row>
    <row r="136" spans="1:15">
      <c r="A136" s="1" t="s">
        <v>1445</v>
      </c>
      <c r="B136" s="2" t="s">
        <v>1972</v>
      </c>
      <c r="C136" s="2" t="s">
        <v>1973</v>
      </c>
      <c r="D136" s="2" t="s">
        <v>1974</v>
      </c>
      <c r="E136" s="2" t="s">
        <v>1975</v>
      </c>
      <c r="F136" s="2" t="s">
        <v>22</v>
      </c>
      <c r="G136" s="2">
        <v>144</v>
      </c>
      <c r="H136" s="2">
        <v>0</v>
      </c>
      <c r="I136" s="2">
        <v>0</v>
      </c>
      <c r="J136" s="2">
        <v>52</v>
      </c>
      <c r="K136" s="2" t="s">
        <v>1439</v>
      </c>
      <c r="L136" s="2" t="s">
        <v>1893</v>
      </c>
      <c r="M136" s="2">
        <v>44</v>
      </c>
      <c r="N136" s="2"/>
      <c r="O136" s="6"/>
    </row>
    <row r="137" spans="1:15">
      <c r="A137" s="7" t="s">
        <v>1445</v>
      </c>
      <c r="B137" s="8" t="s">
        <v>1976</v>
      </c>
      <c r="C137" s="8" t="s">
        <v>1977</v>
      </c>
      <c r="D137" s="8" t="s">
        <v>1978</v>
      </c>
      <c r="E137" s="8" t="s">
        <v>1979</v>
      </c>
      <c r="F137" s="8" t="s">
        <v>22</v>
      </c>
      <c r="G137" s="8">
        <v>145</v>
      </c>
      <c r="H137" s="8">
        <v>0</v>
      </c>
      <c r="I137" s="8">
        <v>0</v>
      </c>
      <c r="J137" s="8">
        <v>144</v>
      </c>
      <c r="K137" s="8" t="s">
        <v>1439</v>
      </c>
      <c r="L137" s="8" t="s">
        <v>1893</v>
      </c>
      <c r="M137" s="8">
        <v>44</v>
      </c>
      <c r="N137" s="8"/>
      <c r="O137" s="12"/>
    </row>
    <row r="138" spans="1:15">
      <c r="A138" s="1" t="s">
        <v>1434</v>
      </c>
      <c r="B138" s="2" t="s">
        <v>171</v>
      </c>
      <c r="C138" s="2" t="s">
        <v>1980</v>
      </c>
      <c r="D138" s="2" t="s">
        <v>1981</v>
      </c>
      <c r="E138" s="2" t="s">
        <v>1982</v>
      </c>
      <c r="F138" s="2" t="s">
        <v>37</v>
      </c>
      <c r="G138" s="2">
        <v>139</v>
      </c>
      <c r="H138" s="2">
        <v>22</v>
      </c>
      <c r="I138" s="2">
        <v>1</v>
      </c>
      <c r="J138" s="2">
        <v>116</v>
      </c>
      <c r="K138" s="2" t="s">
        <v>1439</v>
      </c>
      <c r="L138" s="2" t="s">
        <v>1873</v>
      </c>
      <c r="M138" s="2">
        <v>43</v>
      </c>
      <c r="N138" s="2" t="s">
        <v>172</v>
      </c>
      <c r="O138" s="6" t="s">
        <v>171</v>
      </c>
    </row>
    <row r="139" spans="1:15">
      <c r="A139" s="1" t="s">
        <v>1445</v>
      </c>
      <c r="B139" s="2" t="s">
        <v>1983</v>
      </c>
      <c r="C139" s="2" t="s">
        <v>1984</v>
      </c>
      <c r="D139" s="2" t="s">
        <v>1985</v>
      </c>
      <c r="E139" s="2" t="s">
        <v>1986</v>
      </c>
      <c r="F139" s="2" t="s">
        <v>22</v>
      </c>
      <c r="G139" s="2">
        <v>145</v>
      </c>
      <c r="H139" s="2">
        <v>1</v>
      </c>
      <c r="I139" s="2">
        <v>0</v>
      </c>
      <c r="J139" s="2">
        <v>143</v>
      </c>
      <c r="K139" s="2" t="s">
        <v>1439</v>
      </c>
      <c r="L139" s="2" t="s">
        <v>1893</v>
      </c>
      <c r="M139" s="2">
        <v>44</v>
      </c>
      <c r="N139" s="2"/>
      <c r="O139" s="6"/>
    </row>
    <row r="140" spans="1:15">
      <c r="A140" s="7" t="s">
        <v>1445</v>
      </c>
      <c r="B140" s="8" t="s">
        <v>1987</v>
      </c>
      <c r="C140" s="8" t="s">
        <v>1988</v>
      </c>
      <c r="D140" s="8" t="s">
        <v>1989</v>
      </c>
      <c r="E140" s="8" t="s">
        <v>1990</v>
      </c>
      <c r="F140" s="8" t="s">
        <v>22</v>
      </c>
      <c r="G140" s="8">
        <v>144</v>
      </c>
      <c r="H140" s="8">
        <v>8</v>
      </c>
      <c r="I140" s="8">
        <v>0</v>
      </c>
      <c r="J140" s="8">
        <v>135</v>
      </c>
      <c r="K140" s="8" t="s">
        <v>1439</v>
      </c>
      <c r="L140" s="8" t="s">
        <v>1893</v>
      </c>
      <c r="M140" s="8">
        <v>44</v>
      </c>
      <c r="N140" s="8"/>
      <c r="O140" s="12"/>
    </row>
    <row r="141" spans="1:15">
      <c r="A141" s="7" t="s">
        <v>1445</v>
      </c>
      <c r="B141" s="8" t="s">
        <v>1991</v>
      </c>
      <c r="C141" s="8" t="s">
        <v>1992</v>
      </c>
      <c r="D141" s="8" t="s">
        <v>1993</v>
      </c>
      <c r="E141" s="8" t="s">
        <v>1994</v>
      </c>
      <c r="F141" s="8" t="s">
        <v>388</v>
      </c>
      <c r="G141" s="8">
        <v>136</v>
      </c>
      <c r="H141" s="8">
        <v>136</v>
      </c>
      <c r="I141" s="8">
        <v>0</v>
      </c>
      <c r="J141" s="8">
        <v>0</v>
      </c>
      <c r="K141" s="8" t="s">
        <v>1439</v>
      </c>
      <c r="L141" s="8" t="s">
        <v>1893</v>
      </c>
      <c r="M141" s="8">
        <v>44</v>
      </c>
      <c r="N141" s="8"/>
      <c r="O141" s="12"/>
    </row>
    <row r="142" spans="1:15">
      <c r="A142" s="7" t="s">
        <v>1434</v>
      </c>
      <c r="B142" s="8" t="s">
        <v>180</v>
      </c>
      <c r="C142" s="8" t="s">
        <v>1995</v>
      </c>
      <c r="D142" s="8" t="s">
        <v>1996</v>
      </c>
      <c r="E142" s="8" t="s">
        <v>1997</v>
      </c>
      <c r="F142" s="8" t="s">
        <v>37</v>
      </c>
      <c r="G142" s="8">
        <v>99</v>
      </c>
      <c r="H142" s="8">
        <v>45</v>
      </c>
      <c r="I142" s="8">
        <v>1</v>
      </c>
      <c r="J142" s="8">
        <v>53</v>
      </c>
      <c r="K142" s="8" t="s">
        <v>1439</v>
      </c>
      <c r="L142" s="8" t="s">
        <v>1893</v>
      </c>
      <c r="M142" s="8">
        <v>44</v>
      </c>
      <c r="N142" s="8" t="s">
        <v>181</v>
      </c>
      <c r="O142" s="38" t="s">
        <v>180</v>
      </c>
    </row>
    <row r="143" spans="1:15">
      <c r="A143" s="1" t="s">
        <v>1445</v>
      </c>
      <c r="B143" s="2" t="s">
        <v>175</v>
      </c>
      <c r="C143" s="2" t="s">
        <v>1998</v>
      </c>
      <c r="D143" s="2" t="s">
        <v>1999</v>
      </c>
      <c r="E143" s="2" t="s">
        <v>2000</v>
      </c>
      <c r="F143" s="2" t="s">
        <v>37</v>
      </c>
      <c r="G143" s="2">
        <v>140</v>
      </c>
      <c r="H143" s="2">
        <v>25</v>
      </c>
      <c r="I143" s="2">
        <v>1</v>
      </c>
      <c r="J143" s="2">
        <v>114</v>
      </c>
      <c r="K143" s="2" t="s">
        <v>1439</v>
      </c>
      <c r="L143" s="2" t="s">
        <v>1873</v>
      </c>
      <c r="M143" s="2">
        <v>44</v>
      </c>
      <c r="N143" s="2" t="s">
        <v>176</v>
      </c>
      <c r="O143" s="6" t="s">
        <v>175</v>
      </c>
    </row>
    <row r="144" spans="1:15">
      <c r="A144" s="7" t="s">
        <v>1445</v>
      </c>
      <c r="B144" s="8" t="s">
        <v>187</v>
      </c>
      <c r="C144" s="8" t="s">
        <v>2001</v>
      </c>
      <c r="D144" s="8" t="s">
        <v>2002</v>
      </c>
      <c r="E144" s="8" t="s">
        <v>2003</v>
      </c>
      <c r="F144" s="8" t="s">
        <v>37</v>
      </c>
      <c r="G144" s="8">
        <v>119</v>
      </c>
      <c r="H144" s="8">
        <v>70</v>
      </c>
      <c r="I144" s="8">
        <v>1</v>
      </c>
      <c r="J144" s="8">
        <v>48</v>
      </c>
      <c r="K144" s="8" t="s">
        <v>1439</v>
      </c>
      <c r="L144" s="8" t="s">
        <v>1873</v>
      </c>
      <c r="M144" s="8">
        <v>44</v>
      </c>
      <c r="N144" s="8" t="s">
        <v>188</v>
      </c>
      <c r="O144" s="12" t="s">
        <v>187</v>
      </c>
    </row>
    <row r="145" spans="1:15">
      <c r="A145" s="1" t="s">
        <v>1434</v>
      </c>
      <c r="B145" s="2" t="s">
        <v>184</v>
      </c>
      <c r="C145" s="2" t="s">
        <v>2004</v>
      </c>
      <c r="D145" s="2" t="s">
        <v>2005</v>
      </c>
      <c r="E145" s="2" t="s">
        <v>2006</v>
      </c>
      <c r="F145" s="2" t="s">
        <v>37</v>
      </c>
      <c r="G145" s="2">
        <v>54</v>
      </c>
      <c r="H145" s="2">
        <v>7</v>
      </c>
      <c r="I145" s="2">
        <v>1</v>
      </c>
      <c r="J145" s="2">
        <v>46</v>
      </c>
      <c r="K145" s="2" t="s">
        <v>1439</v>
      </c>
      <c r="L145" s="2" t="s">
        <v>1893</v>
      </c>
      <c r="M145" s="2">
        <v>44</v>
      </c>
      <c r="N145" s="2" t="s">
        <v>185</v>
      </c>
      <c r="O145" s="6" t="s">
        <v>184</v>
      </c>
    </row>
    <row r="146" spans="1:15">
      <c r="A146" s="1" t="s">
        <v>1434</v>
      </c>
      <c r="B146" s="2" t="s">
        <v>190</v>
      </c>
      <c r="C146" s="2" t="s">
        <v>2007</v>
      </c>
      <c r="D146" s="2" t="s">
        <v>2008</v>
      </c>
      <c r="E146" s="2" t="s">
        <v>2009</v>
      </c>
      <c r="F146" s="2" t="s">
        <v>37</v>
      </c>
      <c r="G146" s="2">
        <v>67</v>
      </c>
      <c r="H146" s="2">
        <v>30</v>
      </c>
      <c r="I146" s="2">
        <v>1</v>
      </c>
      <c r="J146" s="2">
        <v>36</v>
      </c>
      <c r="K146" s="2" t="s">
        <v>1439</v>
      </c>
      <c r="L146" s="2" t="s">
        <v>1893</v>
      </c>
      <c r="M146" s="2">
        <v>44</v>
      </c>
      <c r="N146" s="2" t="s">
        <v>191</v>
      </c>
      <c r="O146" s="6" t="s">
        <v>190</v>
      </c>
    </row>
    <row r="147" spans="1:15">
      <c r="A147" s="7" t="s">
        <v>1445</v>
      </c>
      <c r="B147" s="8" t="s">
        <v>2010</v>
      </c>
      <c r="C147" s="8" t="s">
        <v>2011</v>
      </c>
      <c r="D147" s="8" t="s">
        <v>2012</v>
      </c>
      <c r="E147" s="8" t="s">
        <v>2013</v>
      </c>
      <c r="F147" s="8" t="s">
        <v>388</v>
      </c>
      <c r="G147" s="8">
        <v>49</v>
      </c>
      <c r="H147" s="8">
        <v>49</v>
      </c>
      <c r="I147" s="8">
        <v>0</v>
      </c>
      <c r="J147" s="8">
        <v>0</v>
      </c>
      <c r="K147" s="8" t="s">
        <v>1439</v>
      </c>
      <c r="L147" s="8" t="s">
        <v>1873</v>
      </c>
      <c r="M147" s="8">
        <v>44</v>
      </c>
      <c r="N147" s="8"/>
      <c r="O147" s="12"/>
    </row>
    <row r="148" spans="1:15">
      <c r="A148" s="1" t="s">
        <v>1434</v>
      </c>
      <c r="B148" s="2" t="s">
        <v>2014</v>
      </c>
      <c r="C148" s="2" t="s">
        <v>2015</v>
      </c>
      <c r="D148" s="2" t="s">
        <v>2016</v>
      </c>
      <c r="E148" s="2" t="s">
        <v>2017</v>
      </c>
      <c r="F148" s="2" t="s">
        <v>37</v>
      </c>
      <c r="G148" s="2">
        <v>78</v>
      </c>
      <c r="H148" s="2">
        <v>1</v>
      </c>
      <c r="I148" s="2">
        <v>1</v>
      </c>
      <c r="J148" s="2">
        <v>76</v>
      </c>
      <c r="K148" s="2" t="s">
        <v>1439</v>
      </c>
      <c r="L148" s="2" t="s">
        <v>1873</v>
      </c>
      <c r="M148" s="2">
        <v>44</v>
      </c>
      <c r="N148" s="2" t="s">
        <v>2018</v>
      </c>
      <c r="O148" s="6"/>
    </row>
    <row r="149" spans="1:15">
      <c r="A149" s="7" t="s">
        <v>1434</v>
      </c>
      <c r="B149" s="8" t="s">
        <v>2019</v>
      </c>
      <c r="C149" s="8" t="s">
        <v>2020</v>
      </c>
      <c r="D149" s="8" t="s">
        <v>2021</v>
      </c>
      <c r="E149" s="8" t="s">
        <v>2022</v>
      </c>
      <c r="F149" s="8" t="s">
        <v>37</v>
      </c>
      <c r="G149" s="8">
        <v>76</v>
      </c>
      <c r="H149" s="8">
        <v>1</v>
      </c>
      <c r="I149" s="8">
        <v>1</v>
      </c>
      <c r="J149" s="8">
        <v>74</v>
      </c>
      <c r="K149" s="8" t="s">
        <v>1439</v>
      </c>
      <c r="L149" s="8" t="s">
        <v>1873</v>
      </c>
      <c r="M149" s="8">
        <v>44</v>
      </c>
      <c r="N149" s="8" t="s">
        <v>1722</v>
      </c>
      <c r="O149" s="12"/>
    </row>
    <row r="150" spans="1:15">
      <c r="A150" s="7" t="s">
        <v>1445</v>
      </c>
      <c r="B150" s="8" t="s">
        <v>2023</v>
      </c>
      <c r="C150" s="8" t="s">
        <v>2024</v>
      </c>
      <c r="D150" s="8" t="s">
        <v>2025</v>
      </c>
      <c r="E150" s="8" t="s">
        <v>2026</v>
      </c>
      <c r="F150" s="8" t="s">
        <v>388</v>
      </c>
      <c r="G150" s="8">
        <v>77</v>
      </c>
      <c r="H150" s="8">
        <v>77</v>
      </c>
      <c r="I150" s="8">
        <v>0</v>
      </c>
      <c r="J150" s="8">
        <v>0</v>
      </c>
      <c r="K150" s="8" t="s">
        <v>1439</v>
      </c>
      <c r="L150" s="8" t="s">
        <v>1893</v>
      </c>
      <c r="M150" s="8">
        <v>44</v>
      </c>
      <c r="N150" s="8"/>
      <c r="O150" s="12"/>
    </row>
    <row r="151" spans="1:15">
      <c r="A151" s="1" t="s">
        <v>1434</v>
      </c>
      <c r="B151" s="2" t="s">
        <v>195</v>
      </c>
      <c r="C151" s="2" t="s">
        <v>2027</v>
      </c>
      <c r="D151" s="2" t="s">
        <v>2028</v>
      </c>
      <c r="E151" s="2" t="s">
        <v>2029</v>
      </c>
      <c r="F151" s="2" t="s">
        <v>37</v>
      </c>
      <c r="G151" s="2">
        <v>68</v>
      </c>
      <c r="H151" s="2">
        <v>44</v>
      </c>
      <c r="I151" s="2">
        <v>2</v>
      </c>
      <c r="J151" s="2">
        <v>22</v>
      </c>
      <c r="K151" s="2" t="s">
        <v>2030</v>
      </c>
      <c r="L151" s="2" t="s">
        <v>1873</v>
      </c>
      <c r="M151" s="2">
        <v>44</v>
      </c>
      <c r="N151" s="2" t="s">
        <v>196</v>
      </c>
      <c r="O151" s="6" t="s">
        <v>2031</v>
      </c>
    </row>
    <row r="152" spans="1:15">
      <c r="A152" s="1" t="s">
        <v>1434</v>
      </c>
      <c r="B152" s="15" t="s">
        <v>2032</v>
      </c>
      <c r="C152" s="2" t="s">
        <v>2033</v>
      </c>
      <c r="D152" s="2" t="s">
        <v>2034</v>
      </c>
      <c r="E152" s="2" t="s">
        <v>2035</v>
      </c>
      <c r="F152" s="2" t="s">
        <v>388</v>
      </c>
      <c r="G152" s="2">
        <v>3</v>
      </c>
      <c r="H152" s="2">
        <v>3</v>
      </c>
      <c r="I152" s="2">
        <v>0</v>
      </c>
      <c r="J152" s="2">
        <v>0</v>
      </c>
      <c r="K152" s="2" t="s">
        <v>1439</v>
      </c>
      <c r="L152" s="2" t="s">
        <v>1873</v>
      </c>
      <c r="M152" s="2">
        <v>44</v>
      </c>
      <c r="N152" s="2"/>
      <c r="O152" s="6"/>
    </row>
    <row r="153" spans="1:15">
      <c r="A153" s="1" t="s">
        <v>35</v>
      </c>
      <c r="B153" s="2" t="s">
        <v>891</v>
      </c>
      <c r="C153" s="2" t="s">
        <v>892</v>
      </c>
      <c r="D153" s="2" t="s">
        <v>2036</v>
      </c>
      <c r="E153" s="2" t="s">
        <v>2037</v>
      </c>
      <c r="F153" s="2" t="s">
        <v>388</v>
      </c>
      <c r="G153" s="2">
        <v>2</v>
      </c>
      <c r="H153" s="2">
        <v>2</v>
      </c>
      <c r="I153" s="2">
        <v>0</v>
      </c>
      <c r="J153" s="2">
        <v>0</v>
      </c>
      <c r="K153" s="2" t="s">
        <v>1439</v>
      </c>
      <c r="L153" s="2"/>
      <c r="M153" s="2">
        <v>31</v>
      </c>
      <c r="N153" s="2"/>
      <c r="O153" s="6"/>
    </row>
    <row r="154" spans="1:15">
      <c r="A154" s="7" t="s">
        <v>1445</v>
      </c>
      <c r="B154" s="8" t="s">
        <v>201</v>
      </c>
      <c r="C154" s="8" t="s">
        <v>2038</v>
      </c>
      <c r="D154" s="8" t="s">
        <v>2039</v>
      </c>
      <c r="E154" s="8" t="s">
        <v>2040</v>
      </c>
      <c r="F154" s="8" t="s">
        <v>37</v>
      </c>
      <c r="G154" s="8">
        <v>76</v>
      </c>
      <c r="H154" s="8">
        <v>64</v>
      </c>
      <c r="I154" s="8">
        <v>1</v>
      </c>
      <c r="J154" s="8">
        <v>11</v>
      </c>
      <c r="K154" s="8" t="s">
        <v>1439</v>
      </c>
      <c r="L154" s="8" t="s">
        <v>1873</v>
      </c>
      <c r="M154" s="8">
        <v>44</v>
      </c>
      <c r="N154" s="8" t="s">
        <v>202</v>
      </c>
      <c r="O154" s="12" t="s">
        <v>201</v>
      </c>
    </row>
    <row r="155" spans="1:15">
      <c r="A155" s="7" t="s">
        <v>1434</v>
      </c>
      <c r="B155" s="8" t="s">
        <v>208</v>
      </c>
      <c r="C155" s="8" t="s">
        <v>2041</v>
      </c>
      <c r="D155" s="8" t="s">
        <v>2042</v>
      </c>
      <c r="E155" s="8" t="s">
        <v>2043</v>
      </c>
      <c r="F155" s="8" t="s">
        <v>37</v>
      </c>
      <c r="G155" s="8">
        <v>145</v>
      </c>
      <c r="H155" s="8">
        <v>87</v>
      </c>
      <c r="I155" s="8">
        <v>1</v>
      </c>
      <c r="J155" s="8">
        <v>57</v>
      </c>
      <c r="K155" s="8" t="s">
        <v>1439</v>
      </c>
      <c r="L155" s="8" t="s">
        <v>1873</v>
      </c>
      <c r="M155" s="8">
        <v>44</v>
      </c>
      <c r="N155" s="8" t="s">
        <v>209</v>
      </c>
      <c r="O155" s="12" t="s">
        <v>208</v>
      </c>
    </row>
    <row r="156" spans="1:15">
      <c r="A156" s="1" t="s">
        <v>1445</v>
      </c>
      <c r="B156" s="2" t="s">
        <v>2044</v>
      </c>
      <c r="C156" s="2" t="s">
        <v>2045</v>
      </c>
      <c r="D156" s="2" t="s">
        <v>1438</v>
      </c>
      <c r="E156" s="2" t="s">
        <v>2046</v>
      </c>
      <c r="F156" s="2" t="s">
        <v>37</v>
      </c>
      <c r="G156" s="2">
        <v>139</v>
      </c>
      <c r="H156" s="2">
        <v>0</v>
      </c>
      <c r="I156" s="2">
        <v>0</v>
      </c>
      <c r="J156" s="2">
        <v>0</v>
      </c>
      <c r="K156" s="2" t="s">
        <v>1439</v>
      </c>
      <c r="L156" s="2" t="s">
        <v>1873</v>
      </c>
      <c r="M156" s="2">
        <v>43</v>
      </c>
      <c r="N156" s="2" t="s">
        <v>1700</v>
      </c>
      <c r="O156" s="6"/>
    </row>
    <row r="157" spans="1:15">
      <c r="A157" s="7" t="s">
        <v>1445</v>
      </c>
      <c r="B157" s="8" t="s">
        <v>2047</v>
      </c>
      <c r="C157" s="8" t="s">
        <v>2048</v>
      </c>
      <c r="D157" s="8" t="s">
        <v>1438</v>
      </c>
      <c r="E157" s="8" t="s">
        <v>2049</v>
      </c>
      <c r="F157" s="8" t="s">
        <v>37</v>
      </c>
      <c r="G157" s="8">
        <v>139</v>
      </c>
      <c r="H157" s="8">
        <v>0</v>
      </c>
      <c r="I157" s="8">
        <v>0</v>
      </c>
      <c r="J157" s="8">
        <v>0</v>
      </c>
      <c r="K157" s="8" t="s">
        <v>1439</v>
      </c>
      <c r="L157" s="8" t="s">
        <v>1873</v>
      </c>
      <c r="M157" s="8">
        <v>43</v>
      </c>
      <c r="N157" s="8" t="s">
        <v>1700</v>
      </c>
      <c r="O157" s="12"/>
    </row>
    <row r="158" spans="1:15">
      <c r="A158" s="1" t="s">
        <v>1445</v>
      </c>
      <c r="B158" s="2" t="s">
        <v>2050</v>
      </c>
      <c r="C158" s="2" t="s">
        <v>2051</v>
      </c>
      <c r="D158" s="2" t="s">
        <v>1438</v>
      </c>
      <c r="E158" s="2" t="s">
        <v>2052</v>
      </c>
      <c r="F158" s="2" t="s">
        <v>37</v>
      </c>
      <c r="G158" s="2">
        <v>138</v>
      </c>
      <c r="H158" s="2">
        <v>0</v>
      </c>
      <c r="I158" s="2">
        <v>0</v>
      </c>
      <c r="J158" s="2">
        <v>0</v>
      </c>
      <c r="K158" s="2" t="s">
        <v>1439</v>
      </c>
      <c r="L158" s="2" t="s">
        <v>1873</v>
      </c>
      <c r="M158" s="2">
        <v>43</v>
      </c>
      <c r="N158" s="2" t="s">
        <v>1700</v>
      </c>
      <c r="O158" s="6"/>
    </row>
    <row r="159" spans="1:15">
      <c r="A159" s="7" t="s">
        <v>1445</v>
      </c>
      <c r="B159" s="8" t="s">
        <v>2053</v>
      </c>
      <c r="C159" s="8" t="s">
        <v>2054</v>
      </c>
      <c r="D159" s="8" t="s">
        <v>1438</v>
      </c>
      <c r="E159" s="8" t="s">
        <v>2055</v>
      </c>
      <c r="F159" s="8" t="s">
        <v>37</v>
      </c>
      <c r="G159" s="8">
        <v>89</v>
      </c>
      <c r="H159" s="8">
        <v>0</v>
      </c>
      <c r="I159" s="8">
        <v>0</v>
      </c>
      <c r="J159" s="8">
        <v>0</v>
      </c>
      <c r="K159" s="8" t="s">
        <v>1439</v>
      </c>
      <c r="L159" s="8" t="s">
        <v>1873</v>
      </c>
      <c r="M159" s="8">
        <v>43</v>
      </c>
      <c r="N159" s="8" t="s">
        <v>1700</v>
      </c>
      <c r="O159" s="12"/>
    </row>
    <row r="160" spans="1:15">
      <c r="A160" s="1" t="s">
        <v>1445</v>
      </c>
      <c r="B160" s="2" t="s">
        <v>204</v>
      </c>
      <c r="C160" s="2" t="s">
        <v>2056</v>
      </c>
      <c r="D160" s="2" t="s">
        <v>2057</v>
      </c>
      <c r="E160" s="2" t="s">
        <v>2058</v>
      </c>
      <c r="F160" s="2" t="s">
        <v>37</v>
      </c>
      <c r="G160" s="2">
        <v>139</v>
      </c>
      <c r="H160" s="2">
        <v>81</v>
      </c>
      <c r="I160" s="2">
        <v>1</v>
      </c>
      <c r="J160" s="2">
        <v>57</v>
      </c>
      <c r="K160" s="2" t="s">
        <v>1439</v>
      </c>
      <c r="L160" s="2" t="s">
        <v>1873</v>
      </c>
      <c r="M160" s="2">
        <v>43</v>
      </c>
      <c r="N160" s="2" t="s">
        <v>205</v>
      </c>
      <c r="O160" s="6" t="s">
        <v>204</v>
      </c>
    </row>
    <row r="161" spans="1:15">
      <c r="A161" s="1" t="s">
        <v>356</v>
      </c>
      <c r="B161" s="2" t="s">
        <v>2059</v>
      </c>
      <c r="C161" s="2" t="s">
        <v>2060</v>
      </c>
      <c r="D161" s="2" t="s">
        <v>2061</v>
      </c>
      <c r="E161" s="2" t="s">
        <v>2062</v>
      </c>
      <c r="F161" s="2" t="s">
        <v>388</v>
      </c>
      <c r="G161" s="2">
        <v>10</v>
      </c>
      <c r="H161" s="2">
        <v>10</v>
      </c>
      <c r="I161" s="2">
        <v>0</v>
      </c>
      <c r="J161" s="2">
        <v>0</v>
      </c>
      <c r="K161" s="2" t="s">
        <v>2063</v>
      </c>
      <c r="L161" s="2" t="s">
        <v>2064</v>
      </c>
      <c r="M161" s="2">
        <v>36</v>
      </c>
      <c r="N161" s="2"/>
      <c r="O161" s="6"/>
    </row>
    <row r="162" spans="1:15">
      <c r="A162" s="7" t="s">
        <v>356</v>
      </c>
      <c r="B162" s="8" t="s">
        <v>910</v>
      </c>
      <c r="C162" s="8" t="s">
        <v>2065</v>
      </c>
      <c r="D162" s="8" t="s">
        <v>2066</v>
      </c>
      <c r="E162" s="8" t="s">
        <v>2067</v>
      </c>
      <c r="F162" s="8" t="s">
        <v>388</v>
      </c>
      <c r="G162" s="8">
        <v>9</v>
      </c>
      <c r="H162" s="8">
        <v>9</v>
      </c>
      <c r="I162" s="8">
        <v>0</v>
      </c>
      <c r="J162" s="8">
        <v>0</v>
      </c>
      <c r="K162" s="8" t="s">
        <v>1439</v>
      </c>
      <c r="L162" s="8" t="s">
        <v>2064</v>
      </c>
      <c r="M162" s="8">
        <v>36</v>
      </c>
      <c r="N162" s="8"/>
      <c r="O162" s="12"/>
    </row>
    <row r="163" spans="1:15">
      <c r="A163" s="1" t="s">
        <v>356</v>
      </c>
      <c r="B163" s="2" t="s">
        <v>2068</v>
      </c>
      <c r="C163" s="2" t="s">
        <v>2069</v>
      </c>
      <c r="D163" s="2" t="s">
        <v>2070</v>
      </c>
      <c r="E163" s="2" t="s">
        <v>2071</v>
      </c>
      <c r="F163" s="2" t="s">
        <v>37</v>
      </c>
      <c r="G163" s="2">
        <v>22</v>
      </c>
      <c r="H163" s="2">
        <v>9</v>
      </c>
      <c r="I163" s="2">
        <v>5</v>
      </c>
      <c r="J163" s="2">
        <v>8</v>
      </c>
      <c r="K163" s="2" t="s">
        <v>2072</v>
      </c>
      <c r="L163" s="2" t="s">
        <v>2064</v>
      </c>
      <c r="M163" s="2">
        <v>36</v>
      </c>
      <c r="N163" s="2" t="s">
        <v>2073</v>
      </c>
      <c r="O163" s="6"/>
    </row>
    <row r="164" spans="1:15">
      <c r="A164" s="7" t="s">
        <v>356</v>
      </c>
      <c r="B164" s="8" t="s">
        <v>2074</v>
      </c>
      <c r="C164" s="8" t="s">
        <v>2075</v>
      </c>
      <c r="D164" s="8" t="s">
        <v>2076</v>
      </c>
      <c r="E164" s="8" t="s">
        <v>2077</v>
      </c>
      <c r="F164" s="8" t="s">
        <v>37</v>
      </c>
      <c r="G164" s="8">
        <v>10</v>
      </c>
      <c r="H164" s="8">
        <v>0</v>
      </c>
      <c r="I164" s="8">
        <v>2</v>
      </c>
      <c r="J164" s="8">
        <v>8</v>
      </c>
      <c r="K164" s="8" t="s">
        <v>2063</v>
      </c>
      <c r="L164" s="8" t="s">
        <v>2064</v>
      </c>
      <c r="M164" s="8">
        <v>36</v>
      </c>
      <c r="N164" s="8" t="s">
        <v>2073</v>
      </c>
      <c r="O164" s="12"/>
    </row>
    <row r="165" spans="1:15">
      <c r="A165" s="1" t="s">
        <v>356</v>
      </c>
      <c r="B165" s="2" t="s">
        <v>2078</v>
      </c>
      <c r="C165" s="2" t="s">
        <v>2079</v>
      </c>
      <c r="D165" s="2" t="s">
        <v>2080</v>
      </c>
      <c r="E165" s="2" t="s">
        <v>2081</v>
      </c>
      <c r="F165" s="2" t="s">
        <v>37</v>
      </c>
      <c r="G165" s="2">
        <v>9</v>
      </c>
      <c r="H165" s="2">
        <v>0</v>
      </c>
      <c r="I165" s="2">
        <v>1</v>
      </c>
      <c r="J165" s="2">
        <v>8</v>
      </c>
      <c r="K165" s="2" t="s">
        <v>1439</v>
      </c>
      <c r="L165" s="2" t="s">
        <v>2064</v>
      </c>
      <c r="M165" s="2">
        <v>36</v>
      </c>
      <c r="N165" s="2" t="s">
        <v>2073</v>
      </c>
      <c r="O165" s="6"/>
    </row>
    <row r="166" spans="1:15">
      <c r="A166" s="7" t="s">
        <v>356</v>
      </c>
      <c r="B166" s="8" t="s">
        <v>2082</v>
      </c>
      <c r="C166" s="8" t="s">
        <v>2083</v>
      </c>
      <c r="D166" s="8" t="s">
        <v>2084</v>
      </c>
      <c r="E166" s="8" t="s">
        <v>2085</v>
      </c>
      <c r="F166" s="8" t="s">
        <v>37</v>
      </c>
      <c r="G166" s="8">
        <v>9</v>
      </c>
      <c r="H166" s="8">
        <v>0</v>
      </c>
      <c r="I166" s="8">
        <v>1</v>
      </c>
      <c r="J166" s="8">
        <v>8</v>
      </c>
      <c r="K166" s="8" t="s">
        <v>1439</v>
      </c>
      <c r="L166" s="8" t="s">
        <v>2064</v>
      </c>
      <c r="M166" s="8">
        <v>36</v>
      </c>
      <c r="N166" s="8" t="s">
        <v>2073</v>
      </c>
      <c r="O166" s="12"/>
    </row>
    <row r="167" spans="1:15">
      <c r="A167" s="1" t="s">
        <v>356</v>
      </c>
      <c r="B167" s="2" t="s">
        <v>2086</v>
      </c>
      <c r="C167" s="2" t="s">
        <v>2087</v>
      </c>
      <c r="D167" s="2" t="s">
        <v>2088</v>
      </c>
      <c r="E167" s="2" t="s">
        <v>2089</v>
      </c>
      <c r="F167" s="2" t="s">
        <v>37</v>
      </c>
      <c r="G167" s="2">
        <v>9</v>
      </c>
      <c r="H167" s="2">
        <v>0</v>
      </c>
      <c r="I167" s="2">
        <v>1</v>
      </c>
      <c r="J167" s="2">
        <v>8</v>
      </c>
      <c r="K167" s="2" t="s">
        <v>1439</v>
      </c>
      <c r="L167" s="2" t="s">
        <v>2064</v>
      </c>
      <c r="M167" s="2">
        <v>36</v>
      </c>
      <c r="N167" s="2" t="s">
        <v>2073</v>
      </c>
      <c r="O167" s="6"/>
    </row>
    <row r="168" spans="1:15">
      <c r="A168" s="7" t="s">
        <v>356</v>
      </c>
      <c r="B168" s="8" t="s">
        <v>913</v>
      </c>
      <c r="C168" s="8" t="s">
        <v>2090</v>
      </c>
      <c r="D168" s="8" t="s">
        <v>2091</v>
      </c>
      <c r="E168" s="8" t="s">
        <v>2092</v>
      </c>
      <c r="F168" s="8" t="s">
        <v>37</v>
      </c>
      <c r="G168" s="8">
        <v>9</v>
      </c>
      <c r="H168" s="8">
        <v>0</v>
      </c>
      <c r="I168" s="8">
        <v>1</v>
      </c>
      <c r="J168" s="8">
        <v>8</v>
      </c>
      <c r="K168" s="8" t="s">
        <v>1439</v>
      </c>
      <c r="L168" s="8" t="s">
        <v>2064</v>
      </c>
      <c r="M168" s="8">
        <v>36</v>
      </c>
      <c r="N168" s="8" t="s">
        <v>2073</v>
      </c>
      <c r="O168" s="12"/>
    </row>
    <row r="169" spans="1:15">
      <c r="A169" s="1" t="s">
        <v>356</v>
      </c>
      <c r="B169" s="2" t="s">
        <v>2093</v>
      </c>
      <c r="C169" s="2" t="s">
        <v>2094</v>
      </c>
      <c r="D169" s="2" t="s">
        <v>2095</v>
      </c>
      <c r="E169" s="2" t="s">
        <v>2096</v>
      </c>
      <c r="F169" s="2" t="s">
        <v>388</v>
      </c>
      <c r="G169" s="2">
        <v>13</v>
      </c>
      <c r="H169" s="2">
        <v>12</v>
      </c>
      <c r="I169" s="2">
        <v>1</v>
      </c>
      <c r="J169" s="2">
        <v>0</v>
      </c>
      <c r="K169" s="2" t="s">
        <v>2072</v>
      </c>
      <c r="L169" s="2" t="s">
        <v>2064</v>
      </c>
      <c r="M169" s="2">
        <v>36</v>
      </c>
      <c r="N169" s="2"/>
      <c r="O169" s="6"/>
    </row>
    <row r="170" spans="1:15">
      <c r="A170" s="1" t="s">
        <v>356</v>
      </c>
      <c r="B170" s="2" t="s">
        <v>2097</v>
      </c>
      <c r="C170" s="2" t="s">
        <v>2098</v>
      </c>
      <c r="D170" s="2" t="s">
        <v>2099</v>
      </c>
      <c r="E170" s="2" t="s">
        <v>2100</v>
      </c>
      <c r="F170" s="2" t="s">
        <v>388</v>
      </c>
      <c r="G170" s="2">
        <v>9</v>
      </c>
      <c r="H170" s="2">
        <v>9</v>
      </c>
      <c r="I170" s="2">
        <v>0</v>
      </c>
      <c r="J170" s="2">
        <v>0</v>
      </c>
      <c r="K170" s="2" t="s">
        <v>1439</v>
      </c>
      <c r="L170" s="2" t="s">
        <v>2064</v>
      </c>
      <c r="M170" s="2">
        <v>36</v>
      </c>
      <c r="N170" s="2"/>
      <c r="O170" s="6"/>
    </row>
    <row r="171" spans="1:15">
      <c r="A171" s="7" t="s">
        <v>1434</v>
      </c>
      <c r="B171" s="8" t="s">
        <v>212</v>
      </c>
      <c r="C171" s="8" t="s">
        <v>2101</v>
      </c>
      <c r="D171" s="8" t="s">
        <v>2102</v>
      </c>
      <c r="E171" s="8" t="s">
        <v>2103</v>
      </c>
      <c r="F171" s="8" t="s">
        <v>37</v>
      </c>
      <c r="G171" s="8">
        <v>3</v>
      </c>
      <c r="H171" s="8">
        <v>0</v>
      </c>
      <c r="I171" s="8">
        <v>1</v>
      </c>
      <c r="J171" s="8">
        <v>2</v>
      </c>
      <c r="K171" s="8" t="s">
        <v>1439</v>
      </c>
      <c r="L171" s="8" t="s">
        <v>2104</v>
      </c>
      <c r="M171" s="8">
        <v>43</v>
      </c>
      <c r="N171" s="8" t="s">
        <v>213</v>
      </c>
      <c r="O171" s="12" t="s">
        <v>212</v>
      </c>
    </row>
    <row r="172" spans="1:15">
      <c r="A172" s="7" t="s">
        <v>1434</v>
      </c>
      <c r="B172" s="8" t="s">
        <v>215</v>
      </c>
      <c r="C172" s="8" t="s">
        <v>2105</v>
      </c>
      <c r="D172" s="8" t="s">
        <v>2106</v>
      </c>
      <c r="E172" s="8" t="s">
        <v>2107</v>
      </c>
      <c r="F172" s="8" t="s">
        <v>37</v>
      </c>
      <c r="G172" s="8">
        <v>3</v>
      </c>
      <c r="H172" s="8">
        <v>0</v>
      </c>
      <c r="I172" s="8">
        <v>1</v>
      </c>
      <c r="J172" s="8">
        <v>2</v>
      </c>
      <c r="K172" s="8" t="s">
        <v>1439</v>
      </c>
      <c r="L172" s="8" t="s">
        <v>2104</v>
      </c>
      <c r="M172" s="8">
        <v>43</v>
      </c>
      <c r="N172" s="8" t="s">
        <v>213</v>
      </c>
      <c r="O172" s="12" t="s">
        <v>215</v>
      </c>
    </row>
    <row r="173" spans="1:15">
      <c r="A173" s="1" t="s">
        <v>356</v>
      </c>
      <c r="B173" s="2" t="s">
        <v>2108</v>
      </c>
      <c r="C173" s="2" t="s">
        <v>2109</v>
      </c>
      <c r="D173" s="2" t="s">
        <v>2110</v>
      </c>
      <c r="E173" s="2" t="s">
        <v>2111</v>
      </c>
      <c r="F173" s="2" t="s">
        <v>388</v>
      </c>
      <c r="G173" s="2">
        <v>9</v>
      </c>
      <c r="H173" s="2">
        <v>9</v>
      </c>
      <c r="I173" s="2">
        <v>0</v>
      </c>
      <c r="J173" s="2">
        <v>0</v>
      </c>
      <c r="K173" s="2" t="s">
        <v>1439</v>
      </c>
      <c r="L173" s="2" t="s">
        <v>2064</v>
      </c>
      <c r="M173" s="2">
        <v>36</v>
      </c>
      <c r="N173" s="2"/>
      <c r="O173" s="6"/>
    </row>
    <row r="174" spans="1:15">
      <c r="A174" s="7" t="s">
        <v>1434</v>
      </c>
      <c r="B174" s="8" t="s">
        <v>218</v>
      </c>
      <c r="C174" s="8" t="s">
        <v>2112</v>
      </c>
      <c r="D174" s="8" t="s">
        <v>2113</v>
      </c>
      <c r="E174" s="8" t="s">
        <v>2114</v>
      </c>
      <c r="F174" s="8" t="s">
        <v>37</v>
      </c>
      <c r="G174" s="8">
        <v>4</v>
      </c>
      <c r="H174" s="8">
        <v>0</v>
      </c>
      <c r="I174" s="8">
        <v>1</v>
      </c>
      <c r="J174" s="8">
        <v>3</v>
      </c>
      <c r="K174" s="8" t="s">
        <v>1439</v>
      </c>
      <c r="L174" s="8" t="s">
        <v>2104</v>
      </c>
      <c r="M174" s="8">
        <v>43</v>
      </c>
      <c r="N174" s="8" t="s">
        <v>213</v>
      </c>
      <c r="O174" s="12" t="s">
        <v>218</v>
      </c>
    </row>
    <row r="175" spans="1:15">
      <c r="A175" s="1" t="s">
        <v>1434</v>
      </c>
      <c r="B175" s="2" t="s">
        <v>220</v>
      </c>
      <c r="C175" s="2" t="s">
        <v>2115</v>
      </c>
      <c r="D175" s="2" t="s">
        <v>2116</v>
      </c>
      <c r="E175" s="2" t="s">
        <v>2117</v>
      </c>
      <c r="F175" s="2" t="s">
        <v>37</v>
      </c>
      <c r="G175" s="2">
        <v>5</v>
      </c>
      <c r="H175" s="2">
        <v>0</v>
      </c>
      <c r="I175" s="2">
        <v>1</v>
      </c>
      <c r="J175" s="2">
        <v>4</v>
      </c>
      <c r="K175" s="2" t="s">
        <v>1439</v>
      </c>
      <c r="L175" s="2" t="s">
        <v>2104</v>
      </c>
      <c r="M175" s="2">
        <v>43</v>
      </c>
      <c r="N175" s="2" t="s">
        <v>213</v>
      </c>
      <c r="O175" s="6" t="s">
        <v>220</v>
      </c>
    </row>
    <row r="176" spans="1:15">
      <c r="A176" s="7" t="s">
        <v>1434</v>
      </c>
      <c r="B176" s="16" t="s">
        <v>222</v>
      </c>
      <c r="C176" s="8" t="s">
        <v>2118</v>
      </c>
      <c r="D176" s="8" t="s">
        <v>2119</v>
      </c>
      <c r="E176" s="8" t="s">
        <v>2120</v>
      </c>
      <c r="F176" s="8" t="s">
        <v>37</v>
      </c>
      <c r="G176" s="8">
        <v>4</v>
      </c>
      <c r="H176" s="8">
        <v>0</v>
      </c>
      <c r="I176" s="8">
        <v>1</v>
      </c>
      <c r="J176" s="8">
        <v>3</v>
      </c>
      <c r="K176" s="8" t="s">
        <v>1439</v>
      </c>
      <c r="L176" s="8" t="s">
        <v>2104</v>
      </c>
      <c r="M176" s="8">
        <v>43</v>
      </c>
      <c r="N176" s="8" t="s">
        <v>213</v>
      </c>
      <c r="O176" s="38" t="s">
        <v>222</v>
      </c>
    </row>
    <row r="177" spans="1:15">
      <c r="A177" s="7" t="s">
        <v>1434</v>
      </c>
      <c r="B177" s="8" t="s">
        <v>2121</v>
      </c>
      <c r="C177" s="8" t="s">
        <v>2122</v>
      </c>
      <c r="D177" s="8" t="s">
        <v>2123</v>
      </c>
      <c r="E177" s="8" t="s">
        <v>2124</v>
      </c>
      <c r="F177" s="8" t="s">
        <v>22</v>
      </c>
      <c r="G177" s="8">
        <v>18</v>
      </c>
      <c r="H177" s="8">
        <v>1</v>
      </c>
      <c r="I177" s="8">
        <v>0</v>
      </c>
      <c r="J177" s="8">
        <v>16</v>
      </c>
      <c r="K177" s="8" t="s">
        <v>1439</v>
      </c>
      <c r="L177" s="8" t="s">
        <v>2104</v>
      </c>
      <c r="M177" s="8">
        <v>43</v>
      </c>
      <c r="N177" s="8"/>
      <c r="O177" s="12"/>
    </row>
    <row r="178" spans="1:15">
      <c r="A178" s="1" t="s">
        <v>1445</v>
      </c>
      <c r="B178" s="2" t="s">
        <v>224</v>
      </c>
      <c r="C178" s="2" t="s">
        <v>2125</v>
      </c>
      <c r="D178" s="2" t="s">
        <v>2126</v>
      </c>
      <c r="E178" s="2" t="s">
        <v>2127</v>
      </c>
      <c r="F178" s="2" t="s">
        <v>37</v>
      </c>
      <c r="G178" s="2">
        <v>36</v>
      </c>
      <c r="H178" s="2">
        <v>0</v>
      </c>
      <c r="I178" s="2">
        <v>1</v>
      </c>
      <c r="J178" s="2">
        <v>35</v>
      </c>
      <c r="K178" s="2" t="s">
        <v>1439</v>
      </c>
      <c r="L178" s="2" t="s">
        <v>2104</v>
      </c>
      <c r="M178" s="2">
        <v>43</v>
      </c>
      <c r="N178" s="2" t="s">
        <v>213</v>
      </c>
      <c r="O178" s="6" t="s">
        <v>224</v>
      </c>
    </row>
    <row r="179" spans="1:15">
      <c r="A179" s="1" t="s">
        <v>1445</v>
      </c>
      <c r="B179" s="2" t="s">
        <v>226</v>
      </c>
      <c r="C179" s="2" t="s">
        <v>2128</v>
      </c>
      <c r="D179" s="2" t="s">
        <v>2129</v>
      </c>
      <c r="E179" s="2" t="s">
        <v>2130</v>
      </c>
      <c r="F179" s="2" t="s">
        <v>37</v>
      </c>
      <c r="G179" s="2">
        <v>25</v>
      </c>
      <c r="H179" s="2">
        <v>0</v>
      </c>
      <c r="I179" s="2">
        <v>1</v>
      </c>
      <c r="J179" s="2">
        <v>24</v>
      </c>
      <c r="K179" s="2" t="s">
        <v>1439</v>
      </c>
      <c r="L179" s="2" t="s">
        <v>2104</v>
      </c>
      <c r="M179" s="2">
        <v>43</v>
      </c>
      <c r="N179" s="2" t="s">
        <v>213</v>
      </c>
      <c r="O179" s="6" t="s">
        <v>226</v>
      </c>
    </row>
    <row r="180" spans="1:15">
      <c r="A180" s="7" t="s">
        <v>1445</v>
      </c>
      <c r="B180" s="8" t="s">
        <v>2131</v>
      </c>
      <c r="C180" s="8" t="s">
        <v>2132</v>
      </c>
      <c r="D180" s="8" t="s">
        <v>2133</v>
      </c>
      <c r="E180" s="8" t="s">
        <v>2134</v>
      </c>
      <c r="F180" s="8" t="s">
        <v>22</v>
      </c>
      <c r="G180" s="8">
        <v>20</v>
      </c>
      <c r="H180" s="8">
        <v>1</v>
      </c>
      <c r="I180" s="8">
        <v>0</v>
      </c>
      <c r="J180" s="8">
        <v>18</v>
      </c>
      <c r="K180" s="8" t="s">
        <v>1439</v>
      </c>
      <c r="L180" s="8" t="s">
        <v>2104</v>
      </c>
      <c r="M180" s="8">
        <v>43</v>
      </c>
      <c r="N180" s="8"/>
      <c r="O180" s="12"/>
    </row>
    <row r="181" spans="1:15">
      <c r="A181" s="1" t="s">
        <v>1445</v>
      </c>
      <c r="B181" s="2" t="s">
        <v>229</v>
      </c>
      <c r="C181" s="2" t="s">
        <v>2135</v>
      </c>
      <c r="D181" s="2" t="s">
        <v>2136</v>
      </c>
      <c r="E181" s="2" t="s">
        <v>2137</v>
      </c>
      <c r="F181" s="2" t="s">
        <v>37</v>
      </c>
      <c r="G181" s="2">
        <v>7</v>
      </c>
      <c r="H181" s="2">
        <v>0</v>
      </c>
      <c r="I181" s="2">
        <v>2</v>
      </c>
      <c r="J181" s="2">
        <v>5</v>
      </c>
      <c r="K181" s="2" t="s">
        <v>1439</v>
      </c>
      <c r="L181" s="2" t="s">
        <v>2104</v>
      </c>
      <c r="M181" s="2">
        <v>43</v>
      </c>
      <c r="N181" s="2" t="s">
        <v>231</v>
      </c>
      <c r="O181" s="6" t="s">
        <v>2138</v>
      </c>
    </row>
    <row r="182" spans="1:15">
      <c r="A182" s="7" t="s">
        <v>1445</v>
      </c>
      <c r="B182" s="8" t="s">
        <v>2139</v>
      </c>
      <c r="C182" s="8" t="s">
        <v>2140</v>
      </c>
      <c r="D182" s="8" t="s">
        <v>2141</v>
      </c>
      <c r="E182" s="8" t="s">
        <v>2142</v>
      </c>
      <c r="F182" s="8" t="s">
        <v>22</v>
      </c>
      <c r="G182" s="8">
        <v>5</v>
      </c>
      <c r="H182" s="8">
        <v>1</v>
      </c>
      <c r="I182" s="8">
        <v>0</v>
      </c>
      <c r="J182" s="8">
        <v>3</v>
      </c>
      <c r="K182" s="8" t="s">
        <v>1439</v>
      </c>
      <c r="L182" s="8" t="s">
        <v>2104</v>
      </c>
      <c r="M182" s="8">
        <v>43</v>
      </c>
      <c r="N182" s="8"/>
      <c r="O182" s="12"/>
    </row>
    <row r="183" spans="1:15">
      <c r="A183" s="1" t="s">
        <v>1445</v>
      </c>
      <c r="B183" s="2" t="s">
        <v>233</v>
      </c>
      <c r="C183" s="2" t="s">
        <v>2143</v>
      </c>
      <c r="D183" s="2" t="s">
        <v>2144</v>
      </c>
      <c r="E183" s="2" t="s">
        <v>2145</v>
      </c>
      <c r="F183" s="2" t="s">
        <v>37</v>
      </c>
      <c r="G183" s="2">
        <v>152</v>
      </c>
      <c r="H183" s="2">
        <v>11</v>
      </c>
      <c r="I183" s="2">
        <v>1</v>
      </c>
      <c r="J183" s="2">
        <v>140</v>
      </c>
      <c r="K183" s="2" t="s">
        <v>1439</v>
      </c>
      <c r="L183" s="2" t="s">
        <v>2104</v>
      </c>
      <c r="M183" s="2">
        <v>43</v>
      </c>
      <c r="N183" s="2" t="s">
        <v>234</v>
      </c>
      <c r="O183" s="6" t="s">
        <v>233</v>
      </c>
    </row>
    <row r="184" spans="1:15">
      <c r="A184" s="1" t="s">
        <v>1434</v>
      </c>
      <c r="B184" s="2" t="s">
        <v>2146</v>
      </c>
      <c r="C184" s="2" t="s">
        <v>2147</v>
      </c>
      <c r="D184" s="2" t="s">
        <v>2148</v>
      </c>
      <c r="E184" s="2" t="s">
        <v>2149</v>
      </c>
      <c r="F184" s="2" t="s">
        <v>388</v>
      </c>
      <c r="G184" s="2">
        <v>146</v>
      </c>
      <c r="H184" s="2">
        <v>146</v>
      </c>
      <c r="I184" s="2">
        <v>0</v>
      </c>
      <c r="J184" s="2">
        <v>0</v>
      </c>
      <c r="K184" s="2" t="s">
        <v>1439</v>
      </c>
      <c r="L184" s="2" t="s">
        <v>1893</v>
      </c>
      <c r="M184" s="2">
        <v>44</v>
      </c>
      <c r="N184" s="2"/>
      <c r="O184" s="6"/>
    </row>
    <row r="185" spans="1:15">
      <c r="A185" s="7" t="s">
        <v>1445</v>
      </c>
      <c r="B185" s="8" t="s">
        <v>236</v>
      </c>
      <c r="C185" s="8" t="s">
        <v>2150</v>
      </c>
      <c r="D185" s="8" t="s">
        <v>2151</v>
      </c>
      <c r="E185" s="8" t="s">
        <v>2152</v>
      </c>
      <c r="F185" s="8" t="s">
        <v>37</v>
      </c>
      <c r="G185" s="8">
        <v>152</v>
      </c>
      <c r="H185" s="8">
        <v>50</v>
      </c>
      <c r="I185" s="8">
        <v>3</v>
      </c>
      <c r="J185" s="8">
        <v>99</v>
      </c>
      <c r="K185" s="8" t="s">
        <v>2153</v>
      </c>
      <c r="L185" s="8" t="s">
        <v>2104</v>
      </c>
      <c r="M185" s="8">
        <v>43</v>
      </c>
      <c r="N185" s="8" t="s">
        <v>240</v>
      </c>
      <c r="O185" s="12" t="s">
        <v>2154</v>
      </c>
    </row>
    <row r="186" spans="1:15">
      <c r="A186" s="7" t="s">
        <v>273</v>
      </c>
      <c r="B186" s="8" t="s">
        <v>2155</v>
      </c>
      <c r="C186" s="8" t="s">
        <v>2156</v>
      </c>
      <c r="D186" s="8" t="s">
        <v>2157</v>
      </c>
      <c r="E186" s="8" t="s">
        <v>2158</v>
      </c>
      <c r="F186" s="8" t="s">
        <v>37</v>
      </c>
      <c r="G186" s="8">
        <v>9</v>
      </c>
      <c r="H186" s="8">
        <v>0</v>
      </c>
      <c r="I186" s="8">
        <v>1</v>
      </c>
      <c r="J186" s="8">
        <v>8</v>
      </c>
      <c r="K186" s="8" t="s">
        <v>1439</v>
      </c>
      <c r="L186" s="8" t="s">
        <v>2064</v>
      </c>
      <c r="M186" s="8">
        <v>36</v>
      </c>
      <c r="N186" s="8" t="s">
        <v>2073</v>
      </c>
      <c r="O186" s="12"/>
    </row>
    <row r="187" spans="1:15">
      <c r="A187" s="1" t="s">
        <v>273</v>
      </c>
      <c r="B187" s="2" t="s">
        <v>965</v>
      </c>
      <c r="C187" s="2" t="s">
        <v>2159</v>
      </c>
      <c r="D187" s="2" t="s">
        <v>2160</v>
      </c>
      <c r="E187" s="2" t="s">
        <v>2161</v>
      </c>
      <c r="F187" s="2" t="s">
        <v>37</v>
      </c>
      <c r="G187" s="2">
        <v>9</v>
      </c>
      <c r="H187" s="2">
        <v>2</v>
      </c>
      <c r="I187" s="2">
        <v>1</v>
      </c>
      <c r="J187" s="2">
        <v>6</v>
      </c>
      <c r="K187" s="2" t="s">
        <v>1439</v>
      </c>
      <c r="L187" s="2" t="s">
        <v>2064</v>
      </c>
      <c r="M187" s="2">
        <v>36</v>
      </c>
      <c r="N187" s="2" t="s">
        <v>2162</v>
      </c>
      <c r="O187" s="6"/>
    </row>
    <row r="188" spans="1:15">
      <c r="A188" s="7" t="s">
        <v>356</v>
      </c>
      <c r="B188" s="8" t="s">
        <v>968</v>
      </c>
      <c r="C188" s="8" t="s">
        <v>2163</v>
      </c>
      <c r="D188" s="8" t="s">
        <v>2164</v>
      </c>
      <c r="E188" s="8" t="s">
        <v>2165</v>
      </c>
      <c r="F188" s="8" t="s">
        <v>37</v>
      </c>
      <c r="G188" s="8">
        <v>6</v>
      </c>
      <c r="H188" s="8">
        <v>0</v>
      </c>
      <c r="I188" s="8">
        <v>1</v>
      </c>
      <c r="J188" s="8">
        <v>5</v>
      </c>
      <c r="K188" s="8" t="s">
        <v>1439</v>
      </c>
      <c r="L188" s="8" t="s">
        <v>2166</v>
      </c>
      <c r="M188" s="8">
        <v>48</v>
      </c>
      <c r="N188" s="8" t="s">
        <v>2167</v>
      </c>
      <c r="O188" s="12"/>
    </row>
    <row r="189" spans="1:15">
      <c r="A189" s="1" t="s">
        <v>356</v>
      </c>
      <c r="B189" s="2" t="s">
        <v>971</v>
      </c>
      <c r="C189" s="2" t="s">
        <v>2168</v>
      </c>
      <c r="D189" s="2" t="s">
        <v>2169</v>
      </c>
      <c r="E189" s="2" t="s">
        <v>2170</v>
      </c>
      <c r="F189" s="2" t="s">
        <v>37</v>
      </c>
      <c r="G189" s="2">
        <v>6</v>
      </c>
      <c r="H189" s="2">
        <v>0</v>
      </c>
      <c r="I189" s="2">
        <v>1</v>
      </c>
      <c r="J189" s="2">
        <v>5</v>
      </c>
      <c r="K189" s="2" t="s">
        <v>1439</v>
      </c>
      <c r="L189" s="2" t="s">
        <v>2171</v>
      </c>
      <c r="M189" s="2">
        <v>47</v>
      </c>
      <c r="N189" s="2" t="s">
        <v>2172</v>
      </c>
      <c r="O189" s="6"/>
    </row>
    <row r="190" spans="1:15">
      <c r="A190" s="7" t="s">
        <v>273</v>
      </c>
      <c r="B190" s="8" t="s">
        <v>2173</v>
      </c>
      <c r="C190" s="8" t="s">
        <v>2174</v>
      </c>
      <c r="D190" s="8" t="s">
        <v>1438</v>
      </c>
      <c r="E190" s="8" t="s">
        <v>2175</v>
      </c>
      <c r="F190" s="8" t="s">
        <v>37</v>
      </c>
      <c r="G190" s="8">
        <v>4</v>
      </c>
      <c r="H190" s="8">
        <v>0</v>
      </c>
      <c r="I190" s="8">
        <v>0</v>
      </c>
      <c r="J190" s="8">
        <v>0</v>
      </c>
      <c r="K190" s="8" t="s">
        <v>1439</v>
      </c>
      <c r="L190" s="8" t="s">
        <v>2171</v>
      </c>
      <c r="M190" s="8">
        <v>48</v>
      </c>
      <c r="N190" s="8" t="s">
        <v>1700</v>
      </c>
      <c r="O190" s="12"/>
    </row>
    <row r="191" spans="1:15">
      <c r="A191" s="1" t="s">
        <v>273</v>
      </c>
      <c r="B191" s="2" t="s">
        <v>2176</v>
      </c>
      <c r="C191" s="2" t="s">
        <v>2177</v>
      </c>
      <c r="D191" s="2" t="s">
        <v>1438</v>
      </c>
      <c r="E191" s="2" t="s">
        <v>2178</v>
      </c>
      <c r="F191" s="2" t="s">
        <v>37</v>
      </c>
      <c r="G191" s="2">
        <v>4</v>
      </c>
      <c r="H191" s="2">
        <v>0</v>
      </c>
      <c r="I191" s="2">
        <v>0</v>
      </c>
      <c r="J191" s="2">
        <v>0</v>
      </c>
      <c r="K191" s="2" t="s">
        <v>1439</v>
      </c>
      <c r="L191" s="2" t="s">
        <v>2166</v>
      </c>
      <c r="M191" s="2">
        <v>48</v>
      </c>
      <c r="N191" s="2" t="s">
        <v>1700</v>
      </c>
      <c r="O191" s="6"/>
    </row>
    <row r="192" spans="1:15">
      <c r="A192" s="7" t="s">
        <v>273</v>
      </c>
      <c r="B192" s="8" t="s">
        <v>976</v>
      </c>
      <c r="C192" s="8" t="s">
        <v>2179</v>
      </c>
      <c r="D192" s="8" t="s">
        <v>2180</v>
      </c>
      <c r="E192" s="8" t="s">
        <v>2181</v>
      </c>
      <c r="F192" s="8" t="s">
        <v>37</v>
      </c>
      <c r="G192" s="8">
        <v>4</v>
      </c>
      <c r="H192" s="8">
        <v>0</v>
      </c>
      <c r="I192" s="8">
        <v>1</v>
      </c>
      <c r="J192" s="8">
        <v>3</v>
      </c>
      <c r="K192" s="8" t="s">
        <v>1439</v>
      </c>
      <c r="L192" s="8" t="s">
        <v>2166</v>
      </c>
      <c r="M192" s="8">
        <v>47</v>
      </c>
      <c r="N192" s="8" t="s">
        <v>2182</v>
      </c>
      <c r="O192" s="12"/>
    </row>
    <row r="193" spans="1:15">
      <c r="A193" s="1" t="s">
        <v>356</v>
      </c>
      <c r="B193" s="2" t="s">
        <v>979</v>
      </c>
      <c r="C193" s="2" t="s">
        <v>2183</v>
      </c>
      <c r="D193" s="2" t="s">
        <v>2184</v>
      </c>
      <c r="E193" s="2" t="s">
        <v>2185</v>
      </c>
      <c r="F193" s="2" t="s">
        <v>37</v>
      </c>
      <c r="G193" s="2">
        <v>4</v>
      </c>
      <c r="H193" s="2">
        <v>0</v>
      </c>
      <c r="I193" s="2">
        <v>1</v>
      </c>
      <c r="J193" s="2">
        <v>3</v>
      </c>
      <c r="K193" s="2" t="s">
        <v>1439</v>
      </c>
      <c r="L193" s="2" t="s">
        <v>2171</v>
      </c>
      <c r="M193" s="2">
        <v>47</v>
      </c>
      <c r="N193" s="2" t="s">
        <v>2186</v>
      </c>
      <c r="O193" s="6"/>
    </row>
    <row r="194" spans="1:15">
      <c r="A194" s="7" t="s">
        <v>356</v>
      </c>
      <c r="B194" s="8" t="s">
        <v>982</v>
      </c>
      <c r="C194" s="8" t="s">
        <v>2187</v>
      </c>
      <c r="D194" s="8" t="s">
        <v>2188</v>
      </c>
      <c r="E194" s="8" t="s">
        <v>2189</v>
      </c>
      <c r="F194" s="8" t="s">
        <v>37</v>
      </c>
      <c r="G194" s="8">
        <v>5</v>
      </c>
      <c r="H194" s="8">
        <v>0</v>
      </c>
      <c r="I194" s="8">
        <v>1</v>
      </c>
      <c r="J194" s="8">
        <v>4</v>
      </c>
      <c r="K194" s="8" t="s">
        <v>1439</v>
      </c>
      <c r="L194" s="8" t="s">
        <v>2190</v>
      </c>
      <c r="M194" s="8">
        <v>47</v>
      </c>
      <c r="N194" s="8" t="s">
        <v>2186</v>
      </c>
      <c r="O194" s="12"/>
    </row>
    <row r="195" spans="1:15">
      <c r="A195" s="1" t="s">
        <v>273</v>
      </c>
      <c r="B195" s="2" t="s">
        <v>985</v>
      </c>
      <c r="C195" s="2" t="s">
        <v>2191</v>
      </c>
      <c r="D195" s="2" t="s">
        <v>2192</v>
      </c>
      <c r="E195" s="2" t="s">
        <v>2193</v>
      </c>
      <c r="F195" s="2" t="s">
        <v>22</v>
      </c>
      <c r="G195" s="2">
        <v>7</v>
      </c>
      <c r="H195" s="2">
        <v>0</v>
      </c>
      <c r="I195" s="2">
        <v>2</v>
      </c>
      <c r="J195" s="2">
        <v>4</v>
      </c>
      <c r="K195" s="2" t="s">
        <v>2194</v>
      </c>
      <c r="L195" s="2" t="s">
        <v>2171</v>
      </c>
      <c r="M195" s="2">
        <v>47</v>
      </c>
      <c r="N195" s="2"/>
      <c r="O195" s="6"/>
    </row>
    <row r="196" spans="1:15">
      <c r="A196" s="7" t="s">
        <v>273</v>
      </c>
      <c r="B196" s="8" t="s">
        <v>2195</v>
      </c>
      <c r="C196" s="8" t="s">
        <v>2196</v>
      </c>
      <c r="D196" s="8" t="s">
        <v>2197</v>
      </c>
      <c r="E196" s="8" t="s">
        <v>2198</v>
      </c>
      <c r="F196" s="8" t="s">
        <v>22</v>
      </c>
      <c r="G196" s="8">
        <v>3</v>
      </c>
      <c r="H196" s="8">
        <v>0</v>
      </c>
      <c r="I196" s="8">
        <v>0</v>
      </c>
      <c r="J196" s="8">
        <v>2</v>
      </c>
      <c r="K196" s="8" t="s">
        <v>1439</v>
      </c>
      <c r="L196" s="8" t="s">
        <v>2171</v>
      </c>
      <c r="M196" s="8">
        <v>48</v>
      </c>
      <c r="N196" s="8"/>
      <c r="O196" s="12"/>
    </row>
    <row r="197" spans="1:15">
      <c r="A197" s="1" t="s">
        <v>273</v>
      </c>
      <c r="B197" s="2" t="s">
        <v>990</v>
      </c>
      <c r="C197" s="2" t="s">
        <v>2199</v>
      </c>
      <c r="D197" s="2" t="s">
        <v>2200</v>
      </c>
      <c r="E197" s="2" t="s">
        <v>2201</v>
      </c>
      <c r="F197" s="2" t="s">
        <v>37</v>
      </c>
      <c r="G197" s="2">
        <v>4</v>
      </c>
      <c r="H197" s="2">
        <v>0</v>
      </c>
      <c r="I197" s="2">
        <v>1</v>
      </c>
      <c r="J197" s="2">
        <v>3</v>
      </c>
      <c r="K197" s="2" t="s">
        <v>1439</v>
      </c>
      <c r="L197" s="2" t="s">
        <v>2166</v>
      </c>
      <c r="M197" s="2">
        <v>48</v>
      </c>
      <c r="N197" s="2" t="s">
        <v>2202</v>
      </c>
      <c r="O197" s="6"/>
    </row>
    <row r="198" spans="1:15">
      <c r="A198" s="7" t="s">
        <v>356</v>
      </c>
      <c r="B198" s="8" t="s">
        <v>2203</v>
      </c>
      <c r="C198" s="8" t="s">
        <v>2204</v>
      </c>
      <c r="D198" s="8" t="s">
        <v>2205</v>
      </c>
      <c r="E198" s="8" t="s">
        <v>2206</v>
      </c>
      <c r="F198" s="8" t="s">
        <v>22</v>
      </c>
      <c r="G198" s="8">
        <v>4</v>
      </c>
      <c r="H198" s="8">
        <v>0</v>
      </c>
      <c r="I198" s="8">
        <v>0</v>
      </c>
      <c r="J198" s="8">
        <v>3</v>
      </c>
      <c r="K198" s="8" t="s">
        <v>1439</v>
      </c>
      <c r="L198" s="8" t="s">
        <v>2171</v>
      </c>
      <c r="M198" s="8">
        <v>47</v>
      </c>
      <c r="N198" s="8"/>
      <c r="O198" s="12"/>
    </row>
    <row r="199" spans="1:15">
      <c r="A199" s="1" t="s">
        <v>356</v>
      </c>
      <c r="B199" s="2" t="s">
        <v>993</v>
      </c>
      <c r="C199" s="2" t="s">
        <v>2207</v>
      </c>
      <c r="D199" s="2" t="s">
        <v>2208</v>
      </c>
      <c r="E199" s="2" t="s">
        <v>2209</v>
      </c>
      <c r="F199" s="2" t="s">
        <v>37</v>
      </c>
      <c r="G199" s="2">
        <v>2</v>
      </c>
      <c r="H199" s="2">
        <v>0</v>
      </c>
      <c r="I199" s="2">
        <v>1</v>
      </c>
      <c r="J199" s="2">
        <v>1</v>
      </c>
      <c r="K199" s="2" t="s">
        <v>1439</v>
      </c>
      <c r="L199" s="2" t="s">
        <v>2166</v>
      </c>
      <c r="M199" s="2">
        <v>47</v>
      </c>
      <c r="N199" s="2" t="s">
        <v>2210</v>
      </c>
      <c r="O199" s="6"/>
    </row>
    <row r="200" spans="1:15">
      <c r="A200" s="7" t="s">
        <v>273</v>
      </c>
      <c r="B200" s="8" t="s">
        <v>996</v>
      </c>
      <c r="C200" s="8" t="s">
        <v>2211</v>
      </c>
      <c r="D200" s="8" t="s">
        <v>2212</v>
      </c>
      <c r="E200" s="8" t="s">
        <v>2213</v>
      </c>
      <c r="F200" s="8" t="s">
        <v>37</v>
      </c>
      <c r="G200" s="8">
        <v>11</v>
      </c>
      <c r="H200" s="8">
        <v>0</v>
      </c>
      <c r="I200" s="8">
        <v>1</v>
      </c>
      <c r="J200" s="8">
        <v>10</v>
      </c>
      <c r="K200" s="8" t="s">
        <v>1439</v>
      </c>
      <c r="L200" s="8" t="s">
        <v>2064</v>
      </c>
      <c r="M200" s="8">
        <v>36</v>
      </c>
      <c r="N200" s="8" t="s">
        <v>2073</v>
      </c>
      <c r="O200" s="12"/>
    </row>
    <row r="201" spans="1:15">
      <c r="A201" s="1" t="s">
        <v>273</v>
      </c>
      <c r="B201" s="2" t="s">
        <v>2214</v>
      </c>
      <c r="C201" s="2" t="s">
        <v>2215</v>
      </c>
      <c r="D201" s="2" t="s">
        <v>2216</v>
      </c>
      <c r="E201" s="2" t="s">
        <v>2217</v>
      </c>
      <c r="F201" s="2" t="s">
        <v>22</v>
      </c>
      <c r="G201" s="2">
        <v>11</v>
      </c>
      <c r="H201" s="2">
        <v>0</v>
      </c>
      <c r="I201" s="2">
        <v>0</v>
      </c>
      <c r="J201" s="2">
        <v>10</v>
      </c>
      <c r="K201" s="2" t="s">
        <v>1439</v>
      </c>
      <c r="L201" s="2" t="s">
        <v>2064</v>
      </c>
      <c r="M201" s="2">
        <v>36</v>
      </c>
      <c r="N201" s="2"/>
      <c r="O201" s="6"/>
    </row>
    <row r="202" spans="1:15">
      <c r="A202" s="7" t="s">
        <v>273</v>
      </c>
      <c r="B202" s="8" t="s">
        <v>2218</v>
      </c>
      <c r="C202" s="8" t="s">
        <v>2219</v>
      </c>
      <c r="D202" s="8" t="s">
        <v>2220</v>
      </c>
      <c r="E202" s="8" t="s">
        <v>2221</v>
      </c>
      <c r="F202" s="8" t="s">
        <v>388</v>
      </c>
      <c r="G202" s="8">
        <v>11</v>
      </c>
      <c r="H202" s="8">
        <v>11</v>
      </c>
      <c r="I202" s="8">
        <v>0</v>
      </c>
      <c r="J202" s="8">
        <v>0</v>
      </c>
      <c r="K202" s="8" t="s">
        <v>1439</v>
      </c>
      <c r="L202" s="8" t="s">
        <v>2064</v>
      </c>
      <c r="M202" s="8">
        <v>36</v>
      </c>
      <c r="N202" s="8"/>
      <c r="O202" s="12"/>
    </row>
    <row r="203" spans="1:15">
      <c r="A203" s="1" t="s">
        <v>273</v>
      </c>
      <c r="B203" s="2" t="s">
        <v>2222</v>
      </c>
      <c r="C203" s="2" t="s">
        <v>2223</v>
      </c>
      <c r="D203" s="2" t="s">
        <v>2224</v>
      </c>
      <c r="E203" s="2" t="s">
        <v>2225</v>
      </c>
      <c r="F203" s="2" t="s">
        <v>22</v>
      </c>
      <c r="G203" s="2">
        <v>11</v>
      </c>
      <c r="H203" s="2">
        <v>0</v>
      </c>
      <c r="I203" s="2">
        <v>0</v>
      </c>
      <c r="J203" s="2">
        <v>10</v>
      </c>
      <c r="K203" s="2" t="s">
        <v>1439</v>
      </c>
      <c r="L203" s="2" t="s">
        <v>2064</v>
      </c>
      <c r="M203" s="2">
        <v>36</v>
      </c>
      <c r="N203" s="2"/>
      <c r="O203" s="6"/>
    </row>
    <row r="204" spans="1:15">
      <c r="A204" s="7" t="s">
        <v>356</v>
      </c>
      <c r="B204" s="8" t="s">
        <v>999</v>
      </c>
      <c r="C204" s="8" t="s">
        <v>2226</v>
      </c>
      <c r="D204" s="8" t="s">
        <v>2227</v>
      </c>
      <c r="E204" s="8" t="s">
        <v>2228</v>
      </c>
      <c r="F204" s="8" t="s">
        <v>37</v>
      </c>
      <c r="G204" s="8">
        <v>11</v>
      </c>
      <c r="H204" s="8">
        <v>0</v>
      </c>
      <c r="I204" s="8">
        <v>1</v>
      </c>
      <c r="J204" s="8">
        <v>10</v>
      </c>
      <c r="K204" s="8" t="s">
        <v>1439</v>
      </c>
      <c r="L204" s="8" t="s">
        <v>2064</v>
      </c>
      <c r="M204" s="8">
        <v>36</v>
      </c>
      <c r="N204" s="8" t="s">
        <v>2073</v>
      </c>
      <c r="O204" s="12"/>
    </row>
    <row r="205" spans="1:15">
      <c r="A205" s="1" t="s">
        <v>356</v>
      </c>
      <c r="B205" s="2" t="s">
        <v>1002</v>
      </c>
      <c r="C205" s="2" t="s">
        <v>2229</v>
      </c>
      <c r="D205" s="2" t="s">
        <v>2230</v>
      </c>
      <c r="E205" s="2" t="s">
        <v>2231</v>
      </c>
      <c r="F205" s="2" t="s">
        <v>37</v>
      </c>
      <c r="G205" s="2">
        <v>17</v>
      </c>
      <c r="H205" s="2">
        <v>5</v>
      </c>
      <c r="I205" s="2">
        <v>2</v>
      </c>
      <c r="J205" s="2">
        <v>10</v>
      </c>
      <c r="K205" s="2" t="s">
        <v>2063</v>
      </c>
      <c r="L205" s="2" t="s">
        <v>2064</v>
      </c>
      <c r="M205" s="2">
        <v>36</v>
      </c>
      <c r="N205" s="2" t="s">
        <v>2073</v>
      </c>
      <c r="O205" s="6"/>
    </row>
    <row r="206" spans="1:15">
      <c r="A206" s="7" t="s">
        <v>356</v>
      </c>
      <c r="B206" s="8" t="s">
        <v>2232</v>
      </c>
      <c r="C206" s="8" t="s">
        <v>2233</v>
      </c>
      <c r="D206" s="8" t="s">
        <v>2234</v>
      </c>
      <c r="E206" s="8" t="s">
        <v>2235</v>
      </c>
      <c r="F206" s="8" t="s">
        <v>22</v>
      </c>
      <c r="G206" s="8">
        <v>11</v>
      </c>
      <c r="H206" s="8">
        <v>0</v>
      </c>
      <c r="I206" s="8">
        <v>0</v>
      </c>
      <c r="J206" s="8">
        <v>10</v>
      </c>
      <c r="K206" s="8" t="s">
        <v>1439</v>
      </c>
      <c r="L206" s="8" t="s">
        <v>2064</v>
      </c>
      <c r="M206" s="8">
        <v>36</v>
      </c>
      <c r="N206" s="8"/>
      <c r="O206" s="12"/>
    </row>
    <row r="207" spans="1:15">
      <c r="A207" s="1" t="s">
        <v>356</v>
      </c>
      <c r="B207" s="2" t="s">
        <v>2236</v>
      </c>
      <c r="C207" s="2" t="s">
        <v>2237</v>
      </c>
      <c r="D207" s="2" t="s">
        <v>2238</v>
      </c>
      <c r="E207" s="2" t="s">
        <v>2239</v>
      </c>
      <c r="F207" s="2" t="s">
        <v>388</v>
      </c>
      <c r="G207" s="2">
        <v>11</v>
      </c>
      <c r="H207" s="2">
        <v>11</v>
      </c>
      <c r="I207" s="2">
        <v>0</v>
      </c>
      <c r="J207" s="2">
        <v>0</v>
      </c>
      <c r="K207" s="2" t="s">
        <v>1439</v>
      </c>
      <c r="L207" s="2" t="s">
        <v>2064</v>
      </c>
      <c r="M207" s="2">
        <v>36</v>
      </c>
      <c r="N207" s="2"/>
      <c r="O207" s="6"/>
    </row>
    <row r="208" spans="1:15">
      <c r="A208" s="7" t="s">
        <v>1445</v>
      </c>
      <c r="B208" s="8" t="s">
        <v>247</v>
      </c>
      <c r="C208" s="8" t="s">
        <v>2240</v>
      </c>
      <c r="D208" s="8" t="s">
        <v>2241</v>
      </c>
      <c r="E208" s="8" t="s">
        <v>2242</v>
      </c>
      <c r="F208" s="8" t="s">
        <v>37</v>
      </c>
      <c r="G208" s="8">
        <v>138</v>
      </c>
      <c r="H208" s="8">
        <v>137</v>
      </c>
      <c r="I208" s="8">
        <v>1</v>
      </c>
      <c r="J208" s="8">
        <v>0</v>
      </c>
      <c r="K208" s="8" t="s">
        <v>1439</v>
      </c>
      <c r="L208" s="8" t="s">
        <v>1873</v>
      </c>
      <c r="M208" s="8">
        <v>43</v>
      </c>
      <c r="N208" s="8" t="s">
        <v>248</v>
      </c>
      <c r="O208" s="12" t="s">
        <v>247</v>
      </c>
    </row>
    <row r="209" spans="1:15">
      <c r="A209" s="7" t="s">
        <v>1434</v>
      </c>
      <c r="B209" s="8" t="s">
        <v>2243</v>
      </c>
      <c r="C209" s="8" t="s">
        <v>2244</v>
      </c>
      <c r="D209" s="8" t="s">
        <v>2245</v>
      </c>
      <c r="E209" s="8" t="s">
        <v>2246</v>
      </c>
      <c r="F209" s="8" t="s">
        <v>22</v>
      </c>
      <c r="G209" s="8">
        <v>152</v>
      </c>
      <c r="H209" s="8">
        <v>0</v>
      </c>
      <c r="I209" s="8">
        <v>0</v>
      </c>
      <c r="J209" s="8">
        <v>151</v>
      </c>
      <c r="K209" s="8" t="s">
        <v>1439</v>
      </c>
      <c r="L209" s="8" t="s">
        <v>1893</v>
      </c>
      <c r="M209" s="8">
        <v>43</v>
      </c>
      <c r="N209" s="8"/>
      <c r="O209" s="12"/>
    </row>
    <row r="210" spans="1:15">
      <c r="A210" s="1" t="s">
        <v>1434</v>
      </c>
      <c r="B210" s="2" t="s">
        <v>243</v>
      </c>
      <c r="C210" s="2" t="s">
        <v>2247</v>
      </c>
      <c r="D210" s="2" t="s">
        <v>2248</v>
      </c>
      <c r="E210" s="2" t="s">
        <v>2249</v>
      </c>
      <c r="F210" s="2" t="s">
        <v>37</v>
      </c>
      <c r="G210" s="2">
        <v>152</v>
      </c>
      <c r="H210" s="2">
        <v>28</v>
      </c>
      <c r="I210" s="2">
        <v>2</v>
      </c>
      <c r="J210" s="2">
        <v>122</v>
      </c>
      <c r="K210" s="2" t="s">
        <v>1439</v>
      </c>
      <c r="L210" s="2" t="s">
        <v>1893</v>
      </c>
      <c r="M210" s="2">
        <v>43</v>
      </c>
      <c r="N210" s="2" t="s">
        <v>245</v>
      </c>
      <c r="O210" s="6" t="s">
        <v>2250</v>
      </c>
    </row>
    <row r="211" spans="1:15">
      <c r="A211" s="7" t="s">
        <v>1434</v>
      </c>
      <c r="B211" s="8" t="s">
        <v>2251</v>
      </c>
      <c r="C211" s="8" t="s">
        <v>2252</v>
      </c>
      <c r="D211" s="8" t="s">
        <v>2253</v>
      </c>
      <c r="E211" s="8" t="s">
        <v>2254</v>
      </c>
      <c r="F211" s="8" t="s">
        <v>388</v>
      </c>
      <c r="G211" s="8">
        <v>13</v>
      </c>
      <c r="H211" s="8">
        <v>13</v>
      </c>
      <c r="I211" s="8">
        <v>0</v>
      </c>
      <c r="J211" s="8">
        <v>0</v>
      </c>
      <c r="K211" s="8" t="s">
        <v>1439</v>
      </c>
      <c r="L211" s="8" t="s">
        <v>1893</v>
      </c>
      <c r="M211" s="8">
        <v>43</v>
      </c>
      <c r="N211" s="8"/>
      <c r="O211" s="12"/>
    </row>
    <row r="212" spans="1:15">
      <c r="A212" s="1" t="s">
        <v>1445</v>
      </c>
      <c r="B212" s="2" t="s">
        <v>250</v>
      </c>
      <c r="C212" s="2" t="s">
        <v>2255</v>
      </c>
      <c r="D212" s="2" t="s">
        <v>2256</v>
      </c>
      <c r="E212" s="2" t="s">
        <v>2257</v>
      </c>
      <c r="F212" s="2" t="s">
        <v>37</v>
      </c>
      <c r="G212" s="2">
        <v>2</v>
      </c>
      <c r="H212" s="2">
        <v>0</v>
      </c>
      <c r="I212" s="2">
        <v>1</v>
      </c>
      <c r="J212" s="2">
        <v>1</v>
      </c>
      <c r="K212" s="2" t="s">
        <v>1439</v>
      </c>
      <c r="L212" s="2" t="s">
        <v>1873</v>
      </c>
      <c r="M212" s="2">
        <v>43</v>
      </c>
      <c r="N212" s="2" t="s">
        <v>251</v>
      </c>
      <c r="O212" s="6" t="s">
        <v>250</v>
      </c>
    </row>
    <row r="213" spans="1:15">
      <c r="A213" s="7" t="s">
        <v>1445</v>
      </c>
      <c r="B213" s="8" t="s">
        <v>254</v>
      </c>
      <c r="C213" s="8" t="s">
        <v>2258</v>
      </c>
      <c r="D213" s="8" t="s">
        <v>2259</v>
      </c>
      <c r="E213" s="8" t="s">
        <v>2260</v>
      </c>
      <c r="F213" s="8" t="s">
        <v>37</v>
      </c>
      <c r="G213" s="8">
        <v>2</v>
      </c>
      <c r="H213" s="8">
        <v>0</v>
      </c>
      <c r="I213" s="8">
        <v>1</v>
      </c>
      <c r="J213" s="8">
        <v>1</v>
      </c>
      <c r="K213" s="8" t="s">
        <v>1439</v>
      </c>
      <c r="L213" s="8" t="s">
        <v>1873</v>
      </c>
      <c r="M213" s="8">
        <v>43</v>
      </c>
      <c r="N213" s="8" t="s">
        <v>251</v>
      </c>
      <c r="O213" s="12" t="s">
        <v>254</v>
      </c>
    </row>
    <row r="214" spans="1:15">
      <c r="A214" s="1" t="s">
        <v>1445</v>
      </c>
      <c r="B214" s="2" t="s">
        <v>256</v>
      </c>
      <c r="C214" s="2" t="s">
        <v>2261</v>
      </c>
      <c r="D214" s="2" t="s">
        <v>2262</v>
      </c>
      <c r="E214" s="2" t="s">
        <v>2263</v>
      </c>
      <c r="F214" s="2" t="s">
        <v>37</v>
      </c>
      <c r="G214" s="2">
        <v>3</v>
      </c>
      <c r="H214" s="2">
        <v>0</v>
      </c>
      <c r="I214" s="2">
        <v>1</v>
      </c>
      <c r="J214" s="2">
        <v>2</v>
      </c>
      <c r="K214" s="2" t="s">
        <v>1439</v>
      </c>
      <c r="L214" s="2" t="s">
        <v>1873</v>
      </c>
      <c r="M214" s="2">
        <v>43</v>
      </c>
      <c r="N214" s="2" t="s">
        <v>251</v>
      </c>
      <c r="O214" s="6" t="s">
        <v>256</v>
      </c>
    </row>
    <row r="215" spans="1:15">
      <c r="A215" s="1" t="s">
        <v>1434</v>
      </c>
      <c r="B215" s="2" t="s">
        <v>258</v>
      </c>
      <c r="C215" s="2" t="s">
        <v>2264</v>
      </c>
      <c r="D215" s="2" t="s">
        <v>2265</v>
      </c>
      <c r="E215" s="2" t="s">
        <v>2266</v>
      </c>
      <c r="F215" s="2" t="s">
        <v>37</v>
      </c>
      <c r="G215" s="2">
        <v>165</v>
      </c>
      <c r="H215" s="2">
        <v>1</v>
      </c>
      <c r="I215" s="2">
        <v>1</v>
      </c>
      <c r="J215" s="2">
        <v>163</v>
      </c>
      <c r="K215" s="2" t="s">
        <v>1439</v>
      </c>
      <c r="L215" s="2" t="s">
        <v>1893</v>
      </c>
      <c r="M215" s="2">
        <v>43</v>
      </c>
      <c r="N215" s="2" t="s">
        <v>259</v>
      </c>
      <c r="O215" s="6" t="s">
        <v>258</v>
      </c>
    </row>
    <row r="216" spans="1:15">
      <c r="A216" s="7" t="s">
        <v>273</v>
      </c>
      <c r="B216" s="8" t="s">
        <v>1037</v>
      </c>
      <c r="C216" s="8" t="s">
        <v>2267</v>
      </c>
      <c r="D216" s="8" t="s">
        <v>2268</v>
      </c>
      <c r="E216" s="8" t="s">
        <v>2269</v>
      </c>
      <c r="F216" s="8" t="s">
        <v>37</v>
      </c>
      <c r="G216" s="8">
        <v>100</v>
      </c>
      <c r="H216" s="8">
        <v>1</v>
      </c>
      <c r="I216" s="8">
        <v>1</v>
      </c>
      <c r="J216" s="8">
        <v>98</v>
      </c>
      <c r="K216" s="8" t="s">
        <v>1439</v>
      </c>
      <c r="L216" s="8" t="s">
        <v>2166</v>
      </c>
      <c r="M216" s="8">
        <v>48</v>
      </c>
      <c r="N216" s="8" t="s">
        <v>2270</v>
      </c>
      <c r="O216" s="12"/>
    </row>
    <row r="217" spans="1:15">
      <c r="A217" s="1" t="s">
        <v>273</v>
      </c>
      <c r="B217" s="2" t="s">
        <v>2271</v>
      </c>
      <c r="C217" s="2" t="s">
        <v>2272</v>
      </c>
      <c r="D217" s="2" t="s">
        <v>2273</v>
      </c>
      <c r="E217" s="2" t="s">
        <v>2274</v>
      </c>
      <c r="F217" s="2" t="s">
        <v>22</v>
      </c>
      <c r="G217" s="2">
        <v>15</v>
      </c>
      <c r="H217" s="2">
        <v>0</v>
      </c>
      <c r="I217" s="2">
        <v>0</v>
      </c>
      <c r="J217" s="2">
        <v>14</v>
      </c>
      <c r="K217" s="2" t="s">
        <v>1439</v>
      </c>
      <c r="L217" s="2" t="s">
        <v>2166</v>
      </c>
      <c r="M217" s="2">
        <v>48</v>
      </c>
      <c r="N217" s="2"/>
      <c r="O217" s="6"/>
    </row>
    <row r="218" spans="1:15">
      <c r="A218" s="7" t="s">
        <v>273</v>
      </c>
      <c r="B218" s="8" t="s">
        <v>1040</v>
      </c>
      <c r="C218" s="8" t="s">
        <v>2275</v>
      </c>
      <c r="D218" s="8" t="s">
        <v>2276</v>
      </c>
      <c r="E218" s="8" t="s">
        <v>2277</v>
      </c>
      <c r="F218" s="8" t="s">
        <v>37</v>
      </c>
      <c r="G218" s="8">
        <v>15</v>
      </c>
      <c r="H218" s="8">
        <v>7</v>
      </c>
      <c r="I218" s="8">
        <v>1</v>
      </c>
      <c r="J218" s="8">
        <v>7</v>
      </c>
      <c r="K218" s="8" t="s">
        <v>1439</v>
      </c>
      <c r="L218" s="8" t="s">
        <v>2166</v>
      </c>
      <c r="M218" s="8">
        <v>48</v>
      </c>
      <c r="N218" s="8" t="s">
        <v>2278</v>
      </c>
      <c r="O218" s="12"/>
    </row>
    <row r="219" spans="1:15">
      <c r="A219" s="1" t="s">
        <v>356</v>
      </c>
      <c r="B219" s="2" t="s">
        <v>2279</v>
      </c>
      <c r="C219" s="2" t="s">
        <v>2280</v>
      </c>
      <c r="D219" s="2" t="s">
        <v>1438</v>
      </c>
      <c r="E219" s="2" t="s">
        <v>2281</v>
      </c>
      <c r="F219" s="2" t="s">
        <v>37</v>
      </c>
      <c r="G219" s="2">
        <v>56</v>
      </c>
      <c r="H219" s="2">
        <v>0</v>
      </c>
      <c r="I219" s="2">
        <v>0</v>
      </c>
      <c r="J219" s="2">
        <v>0</v>
      </c>
      <c r="K219" s="2" t="s">
        <v>1439</v>
      </c>
      <c r="L219" s="2" t="s">
        <v>2166</v>
      </c>
      <c r="M219" s="2">
        <v>48</v>
      </c>
      <c r="N219" s="2" t="s">
        <v>1700</v>
      </c>
      <c r="O219" s="6"/>
    </row>
    <row r="220" spans="1:15">
      <c r="A220" s="7" t="s">
        <v>273</v>
      </c>
      <c r="B220" s="8" t="s">
        <v>2282</v>
      </c>
      <c r="C220" s="8" t="s">
        <v>2283</v>
      </c>
      <c r="D220" s="8" t="s">
        <v>2284</v>
      </c>
      <c r="E220" s="8" t="s">
        <v>2285</v>
      </c>
      <c r="F220" s="8" t="s">
        <v>388</v>
      </c>
      <c r="G220" s="8">
        <v>6</v>
      </c>
      <c r="H220" s="8">
        <v>6</v>
      </c>
      <c r="I220" s="8">
        <v>0</v>
      </c>
      <c r="J220" s="8">
        <v>0</v>
      </c>
      <c r="K220" s="8" t="s">
        <v>1439</v>
      </c>
      <c r="L220" s="8" t="s">
        <v>2166</v>
      </c>
      <c r="M220" s="8">
        <v>48</v>
      </c>
      <c r="N220" s="8"/>
      <c r="O220" s="12"/>
    </row>
    <row r="221" spans="1:15">
      <c r="A221" s="1" t="s">
        <v>356</v>
      </c>
      <c r="B221" s="2" t="s">
        <v>1045</v>
      </c>
      <c r="C221" s="2" t="s">
        <v>2286</v>
      </c>
      <c r="D221" s="2" t="s">
        <v>2287</v>
      </c>
      <c r="E221" s="2" t="s">
        <v>2288</v>
      </c>
      <c r="F221" s="2" t="s">
        <v>37</v>
      </c>
      <c r="G221" s="2">
        <v>55</v>
      </c>
      <c r="H221" s="2">
        <v>2</v>
      </c>
      <c r="I221" s="2">
        <v>1</v>
      </c>
      <c r="J221" s="2">
        <v>52</v>
      </c>
      <c r="K221" s="2" t="s">
        <v>1439</v>
      </c>
      <c r="L221" s="2" t="s">
        <v>2166</v>
      </c>
      <c r="M221" s="2">
        <v>48</v>
      </c>
      <c r="N221" s="2" t="s">
        <v>2289</v>
      </c>
      <c r="O221" s="6"/>
    </row>
    <row r="222" spans="1:15">
      <c r="A222" s="7" t="s">
        <v>356</v>
      </c>
      <c r="B222" s="8" t="s">
        <v>2290</v>
      </c>
      <c r="C222" s="8" t="s">
        <v>2291</v>
      </c>
      <c r="D222" s="8" t="s">
        <v>2292</v>
      </c>
      <c r="E222" s="8" t="s">
        <v>2293</v>
      </c>
      <c r="F222" s="8" t="s">
        <v>37</v>
      </c>
      <c r="G222" s="8">
        <v>46</v>
      </c>
      <c r="H222" s="8">
        <v>0</v>
      </c>
      <c r="I222" s="8">
        <v>1</v>
      </c>
      <c r="J222" s="8">
        <v>45</v>
      </c>
      <c r="K222" s="8" t="s">
        <v>1439</v>
      </c>
      <c r="L222" s="8" t="s">
        <v>2166</v>
      </c>
      <c r="M222" s="8">
        <v>48</v>
      </c>
      <c r="N222" s="8" t="s">
        <v>2294</v>
      </c>
      <c r="O222" s="12"/>
    </row>
    <row r="223" spans="1:15">
      <c r="A223" s="1" t="s">
        <v>356</v>
      </c>
      <c r="B223" s="2" t="s">
        <v>1048</v>
      </c>
      <c r="C223" s="2" t="s">
        <v>2295</v>
      </c>
      <c r="D223" s="2" t="s">
        <v>2296</v>
      </c>
      <c r="E223" s="2" t="s">
        <v>2297</v>
      </c>
      <c r="F223" s="2" t="s">
        <v>37</v>
      </c>
      <c r="G223" s="2">
        <v>46</v>
      </c>
      <c r="H223" s="2">
        <v>2</v>
      </c>
      <c r="I223" s="2">
        <v>1</v>
      </c>
      <c r="J223" s="2">
        <v>43</v>
      </c>
      <c r="K223" s="2" t="s">
        <v>1439</v>
      </c>
      <c r="L223" s="2" t="s">
        <v>2166</v>
      </c>
      <c r="M223" s="2">
        <v>48</v>
      </c>
      <c r="N223" s="2" t="s">
        <v>2298</v>
      </c>
      <c r="O223" s="6"/>
    </row>
    <row r="224" spans="1:15">
      <c r="A224" s="1" t="s">
        <v>273</v>
      </c>
      <c r="B224" s="2" t="s">
        <v>2299</v>
      </c>
      <c r="C224" s="2" t="s">
        <v>2300</v>
      </c>
      <c r="D224" s="2" t="s">
        <v>2301</v>
      </c>
      <c r="E224" s="2" t="s">
        <v>2302</v>
      </c>
      <c r="F224" s="2" t="s">
        <v>37</v>
      </c>
      <c r="G224" s="2">
        <v>89</v>
      </c>
      <c r="H224" s="2">
        <v>30</v>
      </c>
      <c r="I224" s="2">
        <v>1</v>
      </c>
      <c r="J224" s="2">
        <v>58</v>
      </c>
      <c r="K224" s="2" t="s">
        <v>1439</v>
      </c>
      <c r="L224" s="2" t="s">
        <v>2171</v>
      </c>
      <c r="M224" s="2">
        <v>48</v>
      </c>
      <c r="N224" s="2" t="s">
        <v>2303</v>
      </c>
      <c r="O224" s="6"/>
    </row>
    <row r="225" spans="1:15">
      <c r="A225" s="1" t="s">
        <v>356</v>
      </c>
      <c r="B225" s="2" t="s">
        <v>1059</v>
      </c>
      <c r="C225" s="2" t="s">
        <v>2304</v>
      </c>
      <c r="D225" s="2" t="s">
        <v>2305</v>
      </c>
      <c r="E225" s="2" t="s">
        <v>2306</v>
      </c>
      <c r="F225" s="2" t="s">
        <v>37</v>
      </c>
      <c r="G225" s="2">
        <v>45</v>
      </c>
      <c r="H225" s="2">
        <v>44</v>
      </c>
      <c r="I225" s="2">
        <v>1</v>
      </c>
      <c r="J225" s="2">
        <v>0</v>
      </c>
      <c r="K225" s="2" t="s">
        <v>1439</v>
      </c>
      <c r="L225" s="2" t="s">
        <v>2166</v>
      </c>
      <c r="M225" s="2">
        <v>48</v>
      </c>
      <c r="N225" s="2" t="s">
        <v>2307</v>
      </c>
      <c r="O225" s="6"/>
    </row>
    <row r="226" spans="1:15">
      <c r="A226" s="7" t="s">
        <v>1434</v>
      </c>
      <c r="B226" s="8" t="s">
        <v>262</v>
      </c>
      <c r="C226" s="8" t="s">
        <v>2308</v>
      </c>
      <c r="D226" s="8" t="s">
        <v>2309</v>
      </c>
      <c r="E226" s="8" t="s">
        <v>2310</v>
      </c>
      <c r="F226" s="8" t="s">
        <v>37</v>
      </c>
      <c r="G226" s="8">
        <v>152</v>
      </c>
      <c r="H226" s="8">
        <v>14</v>
      </c>
      <c r="I226" s="8">
        <v>1</v>
      </c>
      <c r="J226" s="8">
        <v>137</v>
      </c>
      <c r="K226" s="8" t="s">
        <v>1439</v>
      </c>
      <c r="L226" s="8" t="s">
        <v>1893</v>
      </c>
      <c r="M226" s="8">
        <v>43</v>
      </c>
      <c r="N226" s="8" t="s">
        <v>263</v>
      </c>
      <c r="O226" s="12" t="s">
        <v>262</v>
      </c>
    </row>
    <row r="227" spans="1:15">
      <c r="A227" s="7" t="s">
        <v>1434</v>
      </c>
      <c r="B227" s="8" t="s">
        <v>266</v>
      </c>
      <c r="C227" s="8" t="s">
        <v>2311</v>
      </c>
      <c r="D227" s="8" t="s">
        <v>2312</v>
      </c>
      <c r="E227" s="8" t="s">
        <v>2313</v>
      </c>
      <c r="F227" s="8" t="s">
        <v>37</v>
      </c>
      <c r="G227" s="8">
        <v>137</v>
      </c>
      <c r="H227" s="8">
        <v>12</v>
      </c>
      <c r="I227" s="8">
        <v>2</v>
      </c>
      <c r="J227" s="8">
        <v>123</v>
      </c>
      <c r="K227" s="8" t="s">
        <v>1439</v>
      </c>
      <c r="L227" s="8" t="s">
        <v>1893</v>
      </c>
      <c r="M227" s="8">
        <v>43</v>
      </c>
      <c r="N227" s="8" t="s">
        <v>245</v>
      </c>
      <c r="O227" s="12" t="s">
        <v>2314</v>
      </c>
    </row>
    <row r="228" spans="1:15">
      <c r="A228" s="7" t="s">
        <v>1445</v>
      </c>
      <c r="B228" s="8" t="s">
        <v>2315</v>
      </c>
      <c r="C228" s="8" t="s">
        <v>2316</v>
      </c>
      <c r="D228" s="8" t="s">
        <v>2317</v>
      </c>
      <c r="E228" s="8" t="s">
        <v>2318</v>
      </c>
      <c r="F228" s="8" t="s">
        <v>22</v>
      </c>
      <c r="G228" s="8">
        <v>3</v>
      </c>
      <c r="H228" s="8">
        <v>0</v>
      </c>
      <c r="I228" s="8">
        <v>0</v>
      </c>
      <c r="J228" s="8">
        <v>2</v>
      </c>
      <c r="K228" s="8" t="s">
        <v>1439</v>
      </c>
      <c r="L228" s="8" t="s">
        <v>1873</v>
      </c>
      <c r="M228" s="8">
        <v>43</v>
      </c>
      <c r="N228" s="8"/>
      <c r="O228" s="12"/>
    </row>
    <row r="229" spans="1:15">
      <c r="A229" s="1" t="s">
        <v>1445</v>
      </c>
      <c r="B229" s="2" t="s">
        <v>2319</v>
      </c>
      <c r="C229" s="2" t="s">
        <v>2320</v>
      </c>
      <c r="D229" s="2" t="s">
        <v>2321</v>
      </c>
      <c r="E229" s="2" t="s">
        <v>2322</v>
      </c>
      <c r="F229" s="2" t="s">
        <v>388</v>
      </c>
      <c r="G229" s="2">
        <v>3</v>
      </c>
      <c r="H229" s="2">
        <v>3</v>
      </c>
      <c r="I229" s="2">
        <v>0</v>
      </c>
      <c r="J229" s="2">
        <v>0</v>
      </c>
      <c r="K229" s="2" t="s">
        <v>1439</v>
      </c>
      <c r="L229" s="2" t="s">
        <v>1873</v>
      </c>
      <c r="M229" s="2">
        <v>43</v>
      </c>
      <c r="N229" s="2"/>
      <c r="O229" s="6"/>
    </row>
    <row r="230" spans="1:15">
      <c r="A230" s="1" t="s">
        <v>1445</v>
      </c>
      <c r="B230" s="2" t="s">
        <v>269</v>
      </c>
      <c r="C230" s="2" t="s">
        <v>2323</v>
      </c>
      <c r="D230" s="2" t="s">
        <v>2324</v>
      </c>
      <c r="E230" s="2" t="s">
        <v>2325</v>
      </c>
      <c r="F230" s="2" t="s">
        <v>37</v>
      </c>
      <c r="G230" s="2">
        <v>138</v>
      </c>
      <c r="H230" s="2">
        <v>11</v>
      </c>
      <c r="I230" s="2">
        <v>1</v>
      </c>
      <c r="J230" s="2">
        <v>126</v>
      </c>
      <c r="K230" s="2" t="s">
        <v>1439</v>
      </c>
      <c r="L230" s="2" t="s">
        <v>1873</v>
      </c>
      <c r="M230" s="2">
        <v>43</v>
      </c>
      <c r="N230" s="2" t="s">
        <v>270</v>
      </c>
      <c r="O230" s="6" t="s">
        <v>269</v>
      </c>
    </row>
    <row r="231" spans="1:15">
      <c r="A231" s="7" t="s">
        <v>273</v>
      </c>
      <c r="B231" s="8" t="s">
        <v>2326</v>
      </c>
      <c r="C231" s="8" t="s">
        <v>2327</v>
      </c>
      <c r="D231" s="8" t="s">
        <v>2328</v>
      </c>
      <c r="E231" s="8" t="s">
        <v>2329</v>
      </c>
      <c r="F231" s="8" t="s">
        <v>37</v>
      </c>
      <c r="G231" s="8">
        <v>23</v>
      </c>
      <c r="H231" s="8">
        <v>20</v>
      </c>
      <c r="I231" s="8">
        <v>1</v>
      </c>
      <c r="J231" s="8">
        <v>2</v>
      </c>
      <c r="K231" s="8" t="s">
        <v>1439</v>
      </c>
      <c r="L231" s="8" t="s">
        <v>2171</v>
      </c>
      <c r="M231" s="8">
        <v>48</v>
      </c>
      <c r="N231" s="8" t="s">
        <v>2330</v>
      </c>
      <c r="O231" s="12"/>
    </row>
    <row r="232" spans="1:15">
      <c r="A232" s="7" t="s">
        <v>356</v>
      </c>
      <c r="B232" s="8" t="s">
        <v>2331</v>
      </c>
      <c r="C232" s="8" t="s">
        <v>2332</v>
      </c>
      <c r="D232" s="8" t="s">
        <v>2333</v>
      </c>
      <c r="E232" s="8" t="s">
        <v>2334</v>
      </c>
      <c r="F232" s="8" t="s">
        <v>22</v>
      </c>
      <c r="G232" s="8">
        <v>21</v>
      </c>
      <c r="H232" s="8">
        <v>0</v>
      </c>
      <c r="I232" s="8">
        <v>0</v>
      </c>
      <c r="J232" s="8">
        <v>20</v>
      </c>
      <c r="K232" s="8" t="s">
        <v>1439</v>
      </c>
      <c r="L232" s="8" t="s">
        <v>2171</v>
      </c>
      <c r="M232" s="8">
        <v>48</v>
      </c>
      <c r="N232" s="8"/>
      <c r="O232" s="12"/>
    </row>
    <row r="233" spans="1:15">
      <c r="A233" s="1" t="s">
        <v>356</v>
      </c>
      <c r="B233" s="2" t="s">
        <v>2335</v>
      </c>
      <c r="C233" s="2" t="s">
        <v>2336</v>
      </c>
      <c r="D233" s="2" t="s">
        <v>2337</v>
      </c>
      <c r="E233" s="2" t="s">
        <v>2338</v>
      </c>
      <c r="F233" s="2" t="s">
        <v>388</v>
      </c>
      <c r="G233" s="2">
        <v>20</v>
      </c>
      <c r="H233" s="2">
        <v>20</v>
      </c>
      <c r="I233" s="2">
        <v>0</v>
      </c>
      <c r="J233" s="2">
        <v>0</v>
      </c>
      <c r="K233" s="2" t="s">
        <v>1439</v>
      </c>
      <c r="L233" s="2" t="s">
        <v>2171</v>
      </c>
      <c r="M233" s="2">
        <v>48</v>
      </c>
      <c r="N233" s="2"/>
      <c r="O233" s="6"/>
    </row>
    <row r="234" spans="1:15">
      <c r="A234" s="7" t="s">
        <v>356</v>
      </c>
      <c r="B234" s="8" t="s">
        <v>1066</v>
      </c>
      <c r="C234" s="8" t="s">
        <v>2339</v>
      </c>
      <c r="D234" s="8" t="s">
        <v>2340</v>
      </c>
      <c r="E234" s="8" t="s">
        <v>2341</v>
      </c>
      <c r="F234" s="8" t="s">
        <v>37</v>
      </c>
      <c r="G234" s="8">
        <v>27</v>
      </c>
      <c r="H234" s="8">
        <v>25</v>
      </c>
      <c r="I234" s="8">
        <v>2</v>
      </c>
      <c r="J234" s="8">
        <v>0</v>
      </c>
      <c r="K234" s="8" t="s">
        <v>2342</v>
      </c>
      <c r="L234" s="8" t="s">
        <v>2166</v>
      </c>
      <c r="M234" s="8">
        <v>48</v>
      </c>
      <c r="N234" s="8" t="s">
        <v>2294</v>
      </c>
      <c r="O234" s="12"/>
    </row>
    <row r="235" spans="1:15">
      <c r="A235" s="7" t="s">
        <v>273</v>
      </c>
      <c r="B235" s="8" t="s">
        <v>1069</v>
      </c>
      <c r="C235" s="8" t="s">
        <v>2343</v>
      </c>
      <c r="D235" s="8" t="s">
        <v>2344</v>
      </c>
      <c r="E235" s="8" t="s">
        <v>2345</v>
      </c>
      <c r="F235" s="8" t="s">
        <v>37</v>
      </c>
      <c r="G235" s="8">
        <v>2</v>
      </c>
      <c r="H235" s="8">
        <v>0</v>
      </c>
      <c r="I235" s="8">
        <v>1</v>
      </c>
      <c r="J235" s="8">
        <v>1</v>
      </c>
      <c r="K235" s="8" t="s">
        <v>1439</v>
      </c>
      <c r="L235" s="8" t="s">
        <v>2171</v>
      </c>
      <c r="M235" s="8">
        <v>48</v>
      </c>
      <c r="N235" s="8" t="s">
        <v>2346</v>
      </c>
      <c r="O235" s="12"/>
    </row>
    <row r="236" spans="1:15">
      <c r="A236" s="1" t="s">
        <v>273</v>
      </c>
      <c r="B236" s="2" t="s">
        <v>2347</v>
      </c>
      <c r="C236" s="2" t="s">
        <v>2348</v>
      </c>
      <c r="D236" s="2" t="s">
        <v>2349</v>
      </c>
      <c r="E236" s="2" t="s">
        <v>2350</v>
      </c>
      <c r="F236" s="2" t="s">
        <v>388</v>
      </c>
      <c r="G236" s="2">
        <v>2</v>
      </c>
      <c r="H236" s="2">
        <v>2</v>
      </c>
      <c r="I236" s="2">
        <v>0</v>
      </c>
      <c r="J236" s="2">
        <v>0</v>
      </c>
      <c r="K236" s="2" t="s">
        <v>1439</v>
      </c>
      <c r="L236" s="2" t="s">
        <v>2171</v>
      </c>
      <c r="M236" s="2">
        <v>48</v>
      </c>
      <c r="N236" s="2"/>
      <c r="O236" s="6"/>
    </row>
    <row r="237" spans="1:15">
      <c r="A237" s="7" t="s">
        <v>273</v>
      </c>
      <c r="B237" s="8" t="s">
        <v>1074</v>
      </c>
      <c r="C237" s="8" t="s">
        <v>2351</v>
      </c>
      <c r="D237" s="8" t="s">
        <v>2352</v>
      </c>
      <c r="E237" s="8" t="s">
        <v>2353</v>
      </c>
      <c r="F237" s="8" t="s">
        <v>388</v>
      </c>
      <c r="G237" s="8">
        <v>88</v>
      </c>
      <c r="H237" s="8">
        <v>87</v>
      </c>
      <c r="I237" s="8">
        <v>1</v>
      </c>
      <c r="J237" s="8">
        <v>0</v>
      </c>
      <c r="K237" s="8" t="s">
        <v>2354</v>
      </c>
      <c r="L237" s="8" t="s">
        <v>2171</v>
      </c>
      <c r="M237" s="8">
        <v>48</v>
      </c>
      <c r="N237" s="8"/>
      <c r="O237" s="12"/>
    </row>
    <row r="238" spans="1:15">
      <c r="A238" s="1" t="s">
        <v>356</v>
      </c>
      <c r="B238" s="2" t="s">
        <v>1079</v>
      </c>
      <c r="C238" s="2" t="s">
        <v>2355</v>
      </c>
      <c r="D238" s="2" t="s">
        <v>2356</v>
      </c>
      <c r="E238" s="2" t="s">
        <v>2357</v>
      </c>
      <c r="F238" s="2" t="s">
        <v>37</v>
      </c>
      <c r="G238" s="2">
        <v>88</v>
      </c>
      <c r="H238" s="2">
        <v>9</v>
      </c>
      <c r="I238" s="2">
        <v>1</v>
      </c>
      <c r="J238" s="2">
        <v>78</v>
      </c>
      <c r="K238" s="2" t="s">
        <v>1439</v>
      </c>
      <c r="L238" s="2" t="s">
        <v>2171</v>
      </c>
      <c r="M238" s="2">
        <v>47</v>
      </c>
      <c r="N238" s="2" t="s">
        <v>2358</v>
      </c>
      <c r="O238" s="6"/>
    </row>
    <row r="239" spans="1:15">
      <c r="A239" s="7" t="s">
        <v>273</v>
      </c>
      <c r="B239" s="8" t="s">
        <v>274</v>
      </c>
      <c r="C239" s="8" t="s">
        <v>2359</v>
      </c>
      <c r="D239" s="8" t="s">
        <v>2360</v>
      </c>
      <c r="E239" s="8" t="s">
        <v>2361</v>
      </c>
      <c r="F239" s="8" t="s">
        <v>37</v>
      </c>
      <c r="G239" s="8">
        <v>78</v>
      </c>
      <c r="H239" s="8">
        <v>15</v>
      </c>
      <c r="I239" s="8">
        <v>1</v>
      </c>
      <c r="J239" s="8">
        <v>62</v>
      </c>
      <c r="K239" s="8" t="s">
        <v>1439</v>
      </c>
      <c r="L239" s="8" t="s">
        <v>2171</v>
      </c>
      <c r="M239" s="8">
        <v>47</v>
      </c>
      <c r="N239" s="8" t="s">
        <v>275</v>
      </c>
      <c r="O239" s="12" t="s">
        <v>274</v>
      </c>
    </row>
    <row r="240" spans="1:15">
      <c r="A240" s="1" t="s">
        <v>356</v>
      </c>
      <c r="B240" s="2" t="s">
        <v>2362</v>
      </c>
      <c r="C240" s="2" t="s">
        <v>2363</v>
      </c>
      <c r="D240" s="2" t="s">
        <v>2364</v>
      </c>
      <c r="E240" s="2" t="s">
        <v>2365</v>
      </c>
      <c r="F240" s="2" t="s">
        <v>22</v>
      </c>
      <c r="G240" s="2">
        <v>4</v>
      </c>
      <c r="H240" s="2">
        <v>0</v>
      </c>
      <c r="I240" s="2">
        <v>0</v>
      </c>
      <c r="J240" s="2">
        <v>3</v>
      </c>
      <c r="K240" s="2" t="s">
        <v>1439</v>
      </c>
      <c r="L240" s="2" t="s">
        <v>2171</v>
      </c>
      <c r="M240" s="2">
        <v>47</v>
      </c>
      <c r="N240" s="2"/>
      <c r="O240" s="6"/>
    </row>
    <row r="241" spans="1:15">
      <c r="A241" s="1" t="s">
        <v>356</v>
      </c>
      <c r="B241" s="2" t="s">
        <v>1086</v>
      </c>
      <c r="C241" s="2" t="s">
        <v>2366</v>
      </c>
      <c r="D241" s="2" t="s">
        <v>2367</v>
      </c>
      <c r="E241" s="2" t="s">
        <v>2368</v>
      </c>
      <c r="F241" s="2" t="s">
        <v>37</v>
      </c>
      <c r="G241" s="2">
        <v>40</v>
      </c>
      <c r="H241" s="2">
        <v>13</v>
      </c>
      <c r="I241" s="2">
        <v>1</v>
      </c>
      <c r="J241" s="2">
        <v>26</v>
      </c>
      <c r="K241" s="2" t="s">
        <v>1439</v>
      </c>
      <c r="L241" s="2" t="s">
        <v>2166</v>
      </c>
      <c r="M241" s="2">
        <v>47</v>
      </c>
      <c r="N241" s="2" t="s">
        <v>2369</v>
      </c>
      <c r="O241" s="6"/>
    </row>
    <row r="242" spans="1:15">
      <c r="A242" s="7" t="s">
        <v>356</v>
      </c>
      <c r="B242" s="8" t="s">
        <v>2370</v>
      </c>
      <c r="C242" s="8" t="s">
        <v>2371</v>
      </c>
      <c r="D242" s="8" t="s">
        <v>2372</v>
      </c>
      <c r="E242" s="8" t="s">
        <v>2373</v>
      </c>
      <c r="F242" s="8" t="s">
        <v>22</v>
      </c>
      <c r="G242" s="8">
        <v>25</v>
      </c>
      <c r="H242" s="8">
        <v>0</v>
      </c>
      <c r="I242" s="8">
        <v>0</v>
      </c>
      <c r="J242" s="8">
        <v>24</v>
      </c>
      <c r="K242" s="8" t="s">
        <v>1439</v>
      </c>
      <c r="L242" s="8" t="s">
        <v>2166</v>
      </c>
      <c r="M242" s="8">
        <v>47</v>
      </c>
      <c r="N242" s="8"/>
      <c r="O242" s="12"/>
    </row>
    <row r="243" spans="1:15">
      <c r="A243" s="1" t="s">
        <v>356</v>
      </c>
      <c r="B243" s="2" t="s">
        <v>1091</v>
      </c>
      <c r="C243" s="2" t="s">
        <v>2374</v>
      </c>
      <c r="D243" s="2" t="s">
        <v>2375</v>
      </c>
      <c r="E243" s="2" t="s">
        <v>2376</v>
      </c>
      <c r="F243" s="2" t="s">
        <v>388</v>
      </c>
      <c r="G243" s="2">
        <v>27</v>
      </c>
      <c r="H243" s="2">
        <v>26</v>
      </c>
      <c r="I243" s="2">
        <v>1</v>
      </c>
      <c r="J243" s="2">
        <v>0</v>
      </c>
      <c r="K243" s="2" t="s">
        <v>2377</v>
      </c>
      <c r="L243" s="2" t="s">
        <v>2166</v>
      </c>
      <c r="M243" s="2">
        <v>47</v>
      </c>
      <c r="N243" s="2"/>
      <c r="O243" s="6"/>
    </row>
    <row r="244" spans="1:15">
      <c r="A244" s="1" t="s">
        <v>273</v>
      </c>
      <c r="B244" s="2" t="s">
        <v>277</v>
      </c>
      <c r="C244" s="2" t="s">
        <v>2378</v>
      </c>
      <c r="D244" s="2" t="s">
        <v>2379</v>
      </c>
      <c r="E244" s="2" t="s">
        <v>2380</v>
      </c>
      <c r="F244" s="2" t="s">
        <v>37</v>
      </c>
      <c r="G244" s="2">
        <v>24</v>
      </c>
      <c r="H244" s="2">
        <v>11</v>
      </c>
      <c r="I244" s="2">
        <v>1</v>
      </c>
      <c r="J244" s="2">
        <v>12</v>
      </c>
      <c r="K244" s="2" t="s">
        <v>2381</v>
      </c>
      <c r="L244" s="2" t="s">
        <v>2171</v>
      </c>
      <c r="M244" s="2">
        <v>47</v>
      </c>
      <c r="N244" s="2" t="s">
        <v>278</v>
      </c>
      <c r="O244" s="6" t="s">
        <v>277</v>
      </c>
    </row>
    <row r="245" spans="1:15">
      <c r="A245" s="7" t="s">
        <v>356</v>
      </c>
      <c r="B245" s="8" t="s">
        <v>2382</v>
      </c>
      <c r="C245" s="8" t="s">
        <v>2383</v>
      </c>
      <c r="D245" s="8" t="s">
        <v>2384</v>
      </c>
      <c r="E245" s="8" t="s">
        <v>2385</v>
      </c>
      <c r="F245" s="8" t="s">
        <v>22</v>
      </c>
      <c r="G245" s="8">
        <v>18</v>
      </c>
      <c r="H245" s="8">
        <v>0</v>
      </c>
      <c r="I245" s="8">
        <v>0</v>
      </c>
      <c r="J245" s="8">
        <v>17</v>
      </c>
      <c r="K245" s="8" t="s">
        <v>1439</v>
      </c>
      <c r="L245" s="8" t="s">
        <v>2166</v>
      </c>
      <c r="M245" s="8">
        <v>47</v>
      </c>
      <c r="N245" s="8"/>
      <c r="O245" s="12"/>
    </row>
    <row r="246" spans="1:15">
      <c r="A246" s="1" t="s">
        <v>356</v>
      </c>
      <c r="B246" s="2" t="s">
        <v>2386</v>
      </c>
      <c r="C246" s="2" t="s">
        <v>2387</v>
      </c>
      <c r="D246" s="2" t="s">
        <v>2388</v>
      </c>
      <c r="E246" s="2" t="s">
        <v>2389</v>
      </c>
      <c r="F246" s="2" t="s">
        <v>22</v>
      </c>
      <c r="G246" s="2">
        <v>31</v>
      </c>
      <c r="H246" s="2">
        <v>0</v>
      </c>
      <c r="I246" s="2">
        <v>0</v>
      </c>
      <c r="J246" s="2">
        <v>30</v>
      </c>
      <c r="K246" s="2" t="s">
        <v>1439</v>
      </c>
      <c r="L246" s="2" t="s">
        <v>2166</v>
      </c>
      <c r="M246" s="2">
        <v>47</v>
      </c>
      <c r="N246" s="2"/>
      <c r="O246" s="6"/>
    </row>
    <row r="247" spans="1:15">
      <c r="A247" s="7" t="s">
        <v>356</v>
      </c>
      <c r="B247" s="8" t="s">
        <v>2390</v>
      </c>
      <c r="C247" s="8" t="s">
        <v>2391</v>
      </c>
      <c r="D247" s="8" t="s">
        <v>2392</v>
      </c>
      <c r="E247" s="8" t="s">
        <v>2393</v>
      </c>
      <c r="F247" s="8" t="s">
        <v>22</v>
      </c>
      <c r="G247" s="8">
        <v>4</v>
      </c>
      <c r="H247" s="8">
        <v>0</v>
      </c>
      <c r="I247" s="8">
        <v>0</v>
      </c>
      <c r="J247" s="8">
        <v>3</v>
      </c>
      <c r="K247" s="8" t="s">
        <v>1439</v>
      </c>
      <c r="L247" s="8" t="s">
        <v>2166</v>
      </c>
      <c r="M247" s="8">
        <v>47</v>
      </c>
      <c r="N247" s="8"/>
      <c r="O247" s="12"/>
    </row>
    <row r="248" spans="1:15">
      <c r="A248" s="7" t="s">
        <v>356</v>
      </c>
      <c r="B248" s="8" t="s">
        <v>1098</v>
      </c>
      <c r="C248" s="8" t="s">
        <v>2394</v>
      </c>
      <c r="D248" s="8" t="s">
        <v>2395</v>
      </c>
      <c r="E248" s="8" t="s">
        <v>2396</v>
      </c>
      <c r="F248" s="8" t="s">
        <v>37</v>
      </c>
      <c r="G248" s="8">
        <v>32</v>
      </c>
      <c r="H248" s="8">
        <v>4</v>
      </c>
      <c r="I248" s="8">
        <v>1</v>
      </c>
      <c r="J248" s="8">
        <v>27</v>
      </c>
      <c r="K248" s="8" t="s">
        <v>1439</v>
      </c>
      <c r="L248" s="8" t="s">
        <v>2166</v>
      </c>
      <c r="M248" s="8">
        <v>47</v>
      </c>
      <c r="N248" s="8" t="s">
        <v>2397</v>
      </c>
      <c r="O248" s="12"/>
    </row>
    <row r="249" spans="1:15">
      <c r="A249" s="1" t="s">
        <v>356</v>
      </c>
      <c r="B249" s="2" t="s">
        <v>2398</v>
      </c>
      <c r="C249" s="2" t="s">
        <v>2399</v>
      </c>
      <c r="D249" s="2" t="s">
        <v>2400</v>
      </c>
      <c r="E249" s="2" t="s">
        <v>2401</v>
      </c>
      <c r="F249" s="2" t="s">
        <v>37</v>
      </c>
      <c r="G249" s="2">
        <v>33</v>
      </c>
      <c r="H249" s="2">
        <v>0</v>
      </c>
      <c r="I249" s="2">
        <v>1</v>
      </c>
      <c r="J249" s="2">
        <v>32</v>
      </c>
      <c r="K249" s="2" t="s">
        <v>1439</v>
      </c>
      <c r="L249" s="2" t="s">
        <v>2166</v>
      </c>
      <c r="M249" s="2">
        <v>47</v>
      </c>
      <c r="N249" s="2" t="s">
        <v>2402</v>
      </c>
      <c r="O249" s="6"/>
    </row>
    <row r="250" spans="1:15">
      <c r="A250" s="7" t="s">
        <v>356</v>
      </c>
      <c r="B250" s="8" t="s">
        <v>1101</v>
      </c>
      <c r="C250" s="8" t="s">
        <v>2403</v>
      </c>
      <c r="D250" s="8" t="s">
        <v>2404</v>
      </c>
      <c r="E250" s="8" t="s">
        <v>2405</v>
      </c>
      <c r="F250" s="8" t="s">
        <v>37</v>
      </c>
      <c r="G250" s="8">
        <v>31</v>
      </c>
      <c r="H250" s="8">
        <v>0</v>
      </c>
      <c r="I250" s="8">
        <v>1</v>
      </c>
      <c r="J250" s="8">
        <v>30</v>
      </c>
      <c r="K250" s="8" t="s">
        <v>1439</v>
      </c>
      <c r="L250" s="8" t="s">
        <v>2166</v>
      </c>
      <c r="M250" s="8">
        <v>47</v>
      </c>
      <c r="N250" s="8" t="s">
        <v>2402</v>
      </c>
      <c r="O250" s="12"/>
    </row>
    <row r="251" spans="1:15">
      <c r="A251" s="1" t="s">
        <v>356</v>
      </c>
      <c r="B251" s="2" t="s">
        <v>1108</v>
      </c>
      <c r="C251" s="2" t="s">
        <v>2406</v>
      </c>
      <c r="D251" s="2" t="s">
        <v>2407</v>
      </c>
      <c r="E251" s="2" t="s">
        <v>2408</v>
      </c>
      <c r="F251" s="2" t="s">
        <v>37</v>
      </c>
      <c r="G251" s="2">
        <v>47</v>
      </c>
      <c r="H251" s="2">
        <v>0</v>
      </c>
      <c r="I251" s="2">
        <v>1</v>
      </c>
      <c r="J251" s="2">
        <v>46</v>
      </c>
      <c r="K251" s="2" t="s">
        <v>1439</v>
      </c>
      <c r="L251" s="2" t="s">
        <v>2166</v>
      </c>
      <c r="M251" s="2">
        <v>47</v>
      </c>
      <c r="N251" s="2" t="s">
        <v>2409</v>
      </c>
      <c r="O251" s="6"/>
    </row>
    <row r="252" spans="1:15">
      <c r="A252" s="7" t="s">
        <v>273</v>
      </c>
      <c r="B252" s="8" t="s">
        <v>280</v>
      </c>
      <c r="C252" s="8" t="s">
        <v>2410</v>
      </c>
      <c r="D252" s="8" t="s">
        <v>2411</v>
      </c>
      <c r="E252" s="8" t="s">
        <v>2412</v>
      </c>
      <c r="F252" s="8" t="s">
        <v>37</v>
      </c>
      <c r="G252" s="8">
        <v>15</v>
      </c>
      <c r="H252" s="8">
        <v>1</v>
      </c>
      <c r="I252" s="8">
        <v>2</v>
      </c>
      <c r="J252" s="8">
        <v>12</v>
      </c>
      <c r="K252" s="8" t="s">
        <v>2413</v>
      </c>
      <c r="L252" s="8" t="s">
        <v>2171</v>
      </c>
      <c r="M252" s="8">
        <v>47</v>
      </c>
      <c r="N252" s="8" t="s">
        <v>282</v>
      </c>
      <c r="O252" s="12" t="s">
        <v>2414</v>
      </c>
    </row>
    <row r="253" spans="1:15">
      <c r="A253" s="1" t="s">
        <v>273</v>
      </c>
      <c r="B253" s="2" t="s">
        <v>2415</v>
      </c>
      <c r="C253" s="2" t="s">
        <v>2416</v>
      </c>
      <c r="D253" s="2" t="s">
        <v>2417</v>
      </c>
      <c r="E253" s="2" t="s">
        <v>2418</v>
      </c>
      <c r="F253" s="2" t="s">
        <v>37</v>
      </c>
      <c r="G253" s="2">
        <v>12</v>
      </c>
      <c r="H253" s="2">
        <v>0</v>
      </c>
      <c r="I253" s="2">
        <v>1</v>
      </c>
      <c r="J253" s="2">
        <v>11</v>
      </c>
      <c r="K253" s="2" t="s">
        <v>1439</v>
      </c>
      <c r="L253" s="2" t="s">
        <v>2171</v>
      </c>
      <c r="M253" s="2">
        <v>47</v>
      </c>
      <c r="N253" s="2" t="s">
        <v>282</v>
      </c>
      <c r="O253" s="6"/>
    </row>
    <row r="254" spans="1:15">
      <c r="A254" s="7" t="s">
        <v>356</v>
      </c>
      <c r="B254" s="8" t="s">
        <v>1113</v>
      </c>
      <c r="C254" s="8" t="s">
        <v>2419</v>
      </c>
      <c r="D254" s="8" t="s">
        <v>2420</v>
      </c>
      <c r="E254" s="8" t="s">
        <v>2421</v>
      </c>
      <c r="F254" s="8" t="s">
        <v>37</v>
      </c>
      <c r="G254" s="8">
        <v>47</v>
      </c>
      <c r="H254" s="8">
        <v>4</v>
      </c>
      <c r="I254" s="8">
        <v>1</v>
      </c>
      <c r="J254" s="8">
        <v>42</v>
      </c>
      <c r="K254" s="8" t="s">
        <v>1439</v>
      </c>
      <c r="L254" s="8" t="s">
        <v>2166</v>
      </c>
      <c r="M254" s="8">
        <v>47</v>
      </c>
      <c r="N254" s="8" t="s">
        <v>2422</v>
      </c>
      <c r="O254" s="12"/>
    </row>
    <row r="255" spans="1:15">
      <c r="A255" s="1" t="s">
        <v>273</v>
      </c>
      <c r="B255" s="2" t="s">
        <v>2423</v>
      </c>
      <c r="C255" s="2" t="s">
        <v>2424</v>
      </c>
      <c r="D255" s="2" t="s">
        <v>2425</v>
      </c>
      <c r="E255" s="2" t="s">
        <v>2426</v>
      </c>
      <c r="F255" s="2" t="s">
        <v>388</v>
      </c>
      <c r="G255" s="2">
        <v>8</v>
      </c>
      <c r="H255" s="2">
        <v>8</v>
      </c>
      <c r="I255" s="2">
        <v>0</v>
      </c>
      <c r="J255" s="2">
        <v>0</v>
      </c>
      <c r="K255" s="2" t="s">
        <v>1439</v>
      </c>
      <c r="L255" s="2" t="s">
        <v>2171</v>
      </c>
      <c r="M255" s="2">
        <v>47</v>
      </c>
      <c r="N255" s="2"/>
      <c r="O255" s="6"/>
    </row>
    <row r="256" spans="1:15">
      <c r="A256" s="7" t="s">
        <v>273</v>
      </c>
      <c r="B256" s="8" t="s">
        <v>285</v>
      </c>
      <c r="C256" s="8" t="s">
        <v>2427</v>
      </c>
      <c r="D256" s="8" t="s">
        <v>2428</v>
      </c>
      <c r="E256" s="8" t="s">
        <v>2429</v>
      </c>
      <c r="F256" s="8" t="s">
        <v>37</v>
      </c>
      <c r="G256" s="8">
        <v>23</v>
      </c>
      <c r="H256" s="8">
        <v>0</v>
      </c>
      <c r="I256" s="8">
        <v>1</v>
      </c>
      <c r="J256" s="8">
        <v>22</v>
      </c>
      <c r="K256" s="8" t="s">
        <v>1439</v>
      </c>
      <c r="L256" s="8" t="s">
        <v>2166</v>
      </c>
      <c r="M256" s="8">
        <v>47</v>
      </c>
      <c r="N256" s="8" t="s">
        <v>286</v>
      </c>
      <c r="O256" s="12" t="s">
        <v>285</v>
      </c>
    </row>
    <row r="257" spans="1:15">
      <c r="A257" s="1" t="s">
        <v>356</v>
      </c>
      <c r="B257" s="2" t="s">
        <v>1118</v>
      </c>
      <c r="C257" s="2" t="s">
        <v>2430</v>
      </c>
      <c r="D257" s="2" t="s">
        <v>2431</v>
      </c>
      <c r="E257" s="2" t="s">
        <v>2432</v>
      </c>
      <c r="F257" s="2" t="s">
        <v>37</v>
      </c>
      <c r="G257" s="2">
        <v>17</v>
      </c>
      <c r="H257" s="2">
        <v>1</v>
      </c>
      <c r="I257" s="2">
        <v>1</v>
      </c>
      <c r="J257" s="2">
        <v>15</v>
      </c>
      <c r="K257" s="2" t="s">
        <v>1439</v>
      </c>
      <c r="L257" s="2" t="s">
        <v>2166</v>
      </c>
      <c r="M257" s="2">
        <v>47</v>
      </c>
      <c r="N257" s="2" t="s">
        <v>2433</v>
      </c>
      <c r="O257" s="6"/>
    </row>
    <row r="258" spans="1:15">
      <c r="A258" s="7" t="s">
        <v>356</v>
      </c>
      <c r="B258" s="8" t="s">
        <v>2434</v>
      </c>
      <c r="C258" s="8" t="s">
        <v>2435</v>
      </c>
      <c r="D258" s="8" t="s">
        <v>2436</v>
      </c>
      <c r="E258" s="8" t="s">
        <v>2437</v>
      </c>
      <c r="F258" s="8" t="s">
        <v>22</v>
      </c>
      <c r="G258" s="8">
        <v>4</v>
      </c>
      <c r="H258" s="8">
        <v>0</v>
      </c>
      <c r="I258" s="8">
        <v>0</v>
      </c>
      <c r="J258" s="8">
        <v>3</v>
      </c>
      <c r="K258" s="8" t="s">
        <v>1439</v>
      </c>
      <c r="L258" s="8" t="s">
        <v>2171</v>
      </c>
      <c r="M258" s="8">
        <v>47</v>
      </c>
      <c r="N258" s="8"/>
      <c r="O258" s="12"/>
    </row>
    <row r="259" spans="1:15">
      <c r="A259" s="1" t="s">
        <v>273</v>
      </c>
      <c r="B259" s="2" t="s">
        <v>2438</v>
      </c>
      <c r="C259" s="2" t="s">
        <v>2439</v>
      </c>
      <c r="D259" s="2" t="s">
        <v>2440</v>
      </c>
      <c r="E259" s="2" t="s">
        <v>2441</v>
      </c>
      <c r="F259" s="2" t="s">
        <v>37</v>
      </c>
      <c r="G259" s="2">
        <v>19</v>
      </c>
      <c r="H259" s="2">
        <v>12</v>
      </c>
      <c r="I259" s="2">
        <v>1</v>
      </c>
      <c r="J259" s="2">
        <v>6</v>
      </c>
      <c r="K259" s="2" t="s">
        <v>1439</v>
      </c>
      <c r="L259" s="2" t="s">
        <v>2166</v>
      </c>
      <c r="M259" s="2">
        <v>47</v>
      </c>
      <c r="N259" s="2" t="s">
        <v>2442</v>
      </c>
      <c r="O259" s="6"/>
    </row>
    <row r="260" spans="1:15">
      <c r="A260" s="7" t="s">
        <v>356</v>
      </c>
      <c r="B260" s="8" t="s">
        <v>2443</v>
      </c>
      <c r="C260" s="8" t="s">
        <v>2444</v>
      </c>
      <c r="D260" s="8" t="s">
        <v>2445</v>
      </c>
      <c r="E260" s="8" t="s">
        <v>2446</v>
      </c>
      <c r="F260" s="8" t="s">
        <v>22</v>
      </c>
      <c r="G260" s="8">
        <v>8</v>
      </c>
      <c r="H260" s="8">
        <v>1</v>
      </c>
      <c r="I260" s="8">
        <v>0</v>
      </c>
      <c r="J260" s="8">
        <v>6</v>
      </c>
      <c r="K260" s="8" t="s">
        <v>1439</v>
      </c>
      <c r="L260" s="8" t="s">
        <v>2447</v>
      </c>
      <c r="M260" s="8">
        <v>47</v>
      </c>
      <c r="N260" s="8"/>
      <c r="O260" s="12"/>
    </row>
    <row r="261" spans="1:15">
      <c r="A261" s="1" t="s">
        <v>356</v>
      </c>
      <c r="B261" s="2" t="s">
        <v>1121</v>
      </c>
      <c r="C261" s="2" t="s">
        <v>2448</v>
      </c>
      <c r="D261" s="2" t="s">
        <v>2449</v>
      </c>
      <c r="E261" s="2" t="s">
        <v>2450</v>
      </c>
      <c r="F261" s="2" t="s">
        <v>22</v>
      </c>
      <c r="G261" s="2">
        <v>7</v>
      </c>
      <c r="H261" s="2">
        <v>1</v>
      </c>
      <c r="I261" s="2">
        <v>0</v>
      </c>
      <c r="J261" s="2">
        <v>5</v>
      </c>
      <c r="K261" s="2" t="s">
        <v>1439</v>
      </c>
      <c r="L261" s="2" t="s">
        <v>2447</v>
      </c>
      <c r="M261" s="2">
        <v>47</v>
      </c>
      <c r="N261" s="2"/>
      <c r="O261" s="6"/>
    </row>
    <row r="262" spans="1:15">
      <c r="A262" s="7" t="s">
        <v>356</v>
      </c>
      <c r="B262" s="8" t="s">
        <v>1124</v>
      </c>
      <c r="C262" s="8" t="s">
        <v>2451</v>
      </c>
      <c r="D262" s="8" t="s">
        <v>2452</v>
      </c>
      <c r="E262" s="8" t="s">
        <v>2453</v>
      </c>
      <c r="F262" s="8" t="s">
        <v>37</v>
      </c>
      <c r="G262" s="8">
        <v>5</v>
      </c>
      <c r="H262" s="8">
        <v>3</v>
      </c>
      <c r="I262" s="8">
        <v>1</v>
      </c>
      <c r="J262" s="8">
        <v>1</v>
      </c>
      <c r="K262" s="8" t="s">
        <v>1439</v>
      </c>
      <c r="L262" s="8" t="s">
        <v>2166</v>
      </c>
      <c r="M262" s="8">
        <v>47</v>
      </c>
      <c r="N262" s="8" t="s">
        <v>2454</v>
      </c>
      <c r="O262" s="12"/>
    </row>
    <row r="263" spans="1:15">
      <c r="A263" s="7" t="s">
        <v>273</v>
      </c>
      <c r="B263" s="8" t="s">
        <v>288</v>
      </c>
      <c r="C263" s="8" t="s">
        <v>2455</v>
      </c>
      <c r="D263" s="8" t="s">
        <v>2456</v>
      </c>
      <c r="E263" s="8" t="s">
        <v>2457</v>
      </c>
      <c r="F263" s="8" t="s">
        <v>37</v>
      </c>
      <c r="G263" s="8">
        <v>99</v>
      </c>
      <c r="H263" s="8">
        <v>7</v>
      </c>
      <c r="I263" s="8">
        <v>1</v>
      </c>
      <c r="J263" s="8">
        <v>91</v>
      </c>
      <c r="K263" s="8" t="s">
        <v>1439</v>
      </c>
      <c r="L263" s="8" t="s">
        <v>2166</v>
      </c>
      <c r="M263" s="8">
        <v>47</v>
      </c>
      <c r="N263" s="8" t="s">
        <v>289</v>
      </c>
      <c r="O263" s="12" t="s">
        <v>288</v>
      </c>
    </row>
    <row r="264" spans="1:15">
      <c r="A264" s="1" t="s">
        <v>356</v>
      </c>
      <c r="B264" s="2" t="s">
        <v>2458</v>
      </c>
      <c r="C264" s="2" t="s">
        <v>2459</v>
      </c>
      <c r="D264" s="2" t="s">
        <v>2460</v>
      </c>
      <c r="E264" s="2" t="s">
        <v>2461</v>
      </c>
      <c r="F264" s="2" t="s">
        <v>22</v>
      </c>
      <c r="G264" s="2">
        <v>24</v>
      </c>
      <c r="H264" s="2">
        <v>0</v>
      </c>
      <c r="I264" s="2">
        <v>0</v>
      </c>
      <c r="J264" s="2">
        <v>23</v>
      </c>
      <c r="K264" s="2" t="s">
        <v>1439</v>
      </c>
      <c r="L264" s="2" t="s">
        <v>2171</v>
      </c>
      <c r="M264" s="2">
        <v>48</v>
      </c>
      <c r="N264" s="2"/>
      <c r="O264" s="6"/>
    </row>
    <row r="265" spans="1:15">
      <c r="A265" s="1" t="s">
        <v>356</v>
      </c>
      <c r="B265" s="2" t="s">
        <v>2462</v>
      </c>
      <c r="C265" s="2" t="s">
        <v>2463</v>
      </c>
      <c r="D265" s="2" t="s">
        <v>2464</v>
      </c>
      <c r="E265" s="2" t="s">
        <v>2465</v>
      </c>
      <c r="F265" s="2" t="s">
        <v>37</v>
      </c>
      <c r="G265" s="2">
        <v>47</v>
      </c>
      <c r="H265" s="2">
        <v>0</v>
      </c>
      <c r="I265" s="2">
        <v>1</v>
      </c>
      <c r="J265" s="2">
        <v>46</v>
      </c>
      <c r="K265" s="2" t="s">
        <v>1439</v>
      </c>
      <c r="L265" s="2" t="s">
        <v>2166</v>
      </c>
      <c r="M265" s="2">
        <v>47</v>
      </c>
      <c r="N265" s="2" t="s">
        <v>2466</v>
      </c>
      <c r="O265" s="6"/>
    </row>
    <row r="266" spans="1:15">
      <c r="A266" s="7" t="s">
        <v>273</v>
      </c>
      <c r="B266" s="8" t="s">
        <v>1143</v>
      </c>
      <c r="C266" s="8" t="s">
        <v>2467</v>
      </c>
      <c r="D266" s="8" t="s">
        <v>2468</v>
      </c>
      <c r="E266" s="8" t="s">
        <v>2469</v>
      </c>
      <c r="F266" s="8" t="s">
        <v>37</v>
      </c>
      <c r="G266" s="8">
        <v>1</v>
      </c>
      <c r="H266" s="8">
        <v>0</v>
      </c>
      <c r="I266" s="8">
        <v>1</v>
      </c>
      <c r="J266" s="8">
        <v>0</v>
      </c>
      <c r="K266" s="8" t="s">
        <v>1439</v>
      </c>
      <c r="L266" s="8" t="s">
        <v>2166</v>
      </c>
      <c r="M266" s="8">
        <v>48</v>
      </c>
      <c r="N266" s="8" t="s">
        <v>2470</v>
      </c>
      <c r="O266" s="12"/>
    </row>
    <row r="267" spans="1:15">
      <c r="A267" s="1" t="s">
        <v>273</v>
      </c>
      <c r="B267" s="2" t="s">
        <v>1154</v>
      </c>
      <c r="C267" s="2" t="s">
        <v>2471</v>
      </c>
      <c r="D267" s="2" t="s">
        <v>2472</v>
      </c>
      <c r="E267" s="2" t="s">
        <v>2473</v>
      </c>
      <c r="F267" s="2" t="s">
        <v>37</v>
      </c>
      <c r="G267" s="2">
        <v>28</v>
      </c>
      <c r="H267" s="2">
        <v>0</v>
      </c>
      <c r="I267" s="2">
        <v>2</v>
      </c>
      <c r="J267" s="2">
        <v>26</v>
      </c>
      <c r="K267" s="2" t="s">
        <v>2474</v>
      </c>
      <c r="L267" s="2" t="s">
        <v>2166</v>
      </c>
      <c r="M267" s="2">
        <v>48</v>
      </c>
      <c r="N267" s="2" t="s">
        <v>2470</v>
      </c>
      <c r="O267" s="6"/>
    </row>
    <row r="268" spans="1:15">
      <c r="A268" s="7" t="s">
        <v>1445</v>
      </c>
      <c r="B268" s="8" t="s">
        <v>292</v>
      </c>
      <c r="C268" s="8" t="s">
        <v>2475</v>
      </c>
      <c r="D268" s="8" t="s">
        <v>2476</v>
      </c>
      <c r="E268" s="8" t="s">
        <v>2477</v>
      </c>
      <c r="F268" s="8" t="s">
        <v>37</v>
      </c>
      <c r="G268" s="8">
        <v>188</v>
      </c>
      <c r="H268" s="8">
        <v>1</v>
      </c>
      <c r="I268" s="8">
        <v>1</v>
      </c>
      <c r="J268" s="8">
        <v>186</v>
      </c>
      <c r="K268" s="8" t="s">
        <v>1439</v>
      </c>
      <c r="L268" s="8" t="s">
        <v>1893</v>
      </c>
      <c r="M268" s="8">
        <v>43</v>
      </c>
      <c r="N268" s="8" t="s">
        <v>293</v>
      </c>
      <c r="O268" s="12" t="s">
        <v>292</v>
      </c>
    </row>
    <row r="269" spans="1:15">
      <c r="A269" s="1" t="s">
        <v>1434</v>
      </c>
      <c r="B269" s="2" t="s">
        <v>296</v>
      </c>
      <c r="C269" s="2" t="s">
        <v>2478</v>
      </c>
      <c r="D269" s="2" t="s">
        <v>2479</v>
      </c>
      <c r="E269" s="2" t="s">
        <v>2480</v>
      </c>
      <c r="F269" s="2" t="s">
        <v>37</v>
      </c>
      <c r="G269" s="2">
        <v>114</v>
      </c>
      <c r="H269" s="2">
        <v>45</v>
      </c>
      <c r="I269" s="2">
        <v>2</v>
      </c>
      <c r="J269" s="2">
        <v>67</v>
      </c>
      <c r="K269" s="2" t="s">
        <v>1439</v>
      </c>
      <c r="L269" s="2" t="s">
        <v>1873</v>
      </c>
      <c r="M269" s="2">
        <v>43</v>
      </c>
      <c r="N269" s="2" t="s">
        <v>299</v>
      </c>
      <c r="O269" s="6" t="s">
        <v>2481</v>
      </c>
    </row>
    <row r="270" spans="1:15">
      <c r="A270" s="1" t="s">
        <v>1445</v>
      </c>
      <c r="B270" s="2" t="s">
        <v>304</v>
      </c>
      <c r="C270" s="2" t="s">
        <v>2482</v>
      </c>
      <c r="D270" s="2" t="s">
        <v>2483</v>
      </c>
      <c r="E270" s="2" t="s">
        <v>2484</v>
      </c>
      <c r="F270" s="2" t="s">
        <v>37</v>
      </c>
      <c r="G270" s="2">
        <v>139</v>
      </c>
      <c r="H270" s="2">
        <v>14</v>
      </c>
      <c r="I270" s="2">
        <v>2</v>
      </c>
      <c r="J270" s="2">
        <v>123</v>
      </c>
      <c r="K270" s="2" t="s">
        <v>1439</v>
      </c>
      <c r="L270" s="2" t="s">
        <v>1893</v>
      </c>
      <c r="M270" s="2">
        <v>43</v>
      </c>
      <c r="N270" s="2" t="s">
        <v>245</v>
      </c>
      <c r="O270" s="6" t="s">
        <v>2485</v>
      </c>
    </row>
    <row r="271" spans="1:15">
      <c r="A271" s="7" t="s">
        <v>1434</v>
      </c>
      <c r="B271" s="8" t="s">
        <v>301</v>
      </c>
      <c r="C271" s="8" t="s">
        <v>2486</v>
      </c>
      <c r="D271" s="8" t="s">
        <v>2487</v>
      </c>
      <c r="E271" s="8" t="s">
        <v>2488</v>
      </c>
      <c r="F271" s="8" t="s">
        <v>37</v>
      </c>
      <c r="G271" s="8">
        <v>104</v>
      </c>
      <c r="H271" s="8">
        <v>9</v>
      </c>
      <c r="I271" s="8">
        <v>1</v>
      </c>
      <c r="J271" s="8">
        <v>94</v>
      </c>
      <c r="K271" s="8" t="s">
        <v>1439</v>
      </c>
      <c r="L271" s="8" t="s">
        <v>1873</v>
      </c>
      <c r="M271" s="8">
        <v>43</v>
      </c>
      <c r="N271" s="8" t="s">
        <v>302</v>
      </c>
      <c r="O271" s="12" t="s">
        <v>301</v>
      </c>
    </row>
    <row r="272" spans="1:15">
      <c r="A272" s="7" t="s">
        <v>1434</v>
      </c>
      <c r="B272" s="8" t="s">
        <v>308</v>
      </c>
      <c r="C272" s="8" t="s">
        <v>2489</v>
      </c>
      <c r="D272" s="8" t="s">
        <v>2490</v>
      </c>
      <c r="E272" s="8" t="s">
        <v>2491</v>
      </c>
      <c r="F272" s="8" t="s">
        <v>37</v>
      </c>
      <c r="G272" s="8">
        <v>16</v>
      </c>
      <c r="H272" s="8">
        <v>0</v>
      </c>
      <c r="I272" s="8">
        <v>1</v>
      </c>
      <c r="J272" s="8">
        <v>15</v>
      </c>
      <c r="K272" s="8" t="s">
        <v>1439</v>
      </c>
      <c r="L272" s="8" t="s">
        <v>1873</v>
      </c>
      <c r="M272" s="8">
        <v>43</v>
      </c>
      <c r="N272" s="8" t="s">
        <v>302</v>
      </c>
      <c r="O272" s="12" t="s">
        <v>308</v>
      </c>
    </row>
    <row r="273" spans="1:15">
      <c r="A273" s="1" t="s">
        <v>1445</v>
      </c>
      <c r="B273" s="2" t="s">
        <v>2492</v>
      </c>
      <c r="C273" s="2" t="s">
        <v>2493</v>
      </c>
      <c r="D273" s="2" t="s">
        <v>2494</v>
      </c>
      <c r="E273" s="2" t="s">
        <v>2495</v>
      </c>
      <c r="F273" s="2" t="s">
        <v>388</v>
      </c>
      <c r="G273" s="2">
        <v>9</v>
      </c>
      <c r="H273" s="2">
        <v>9</v>
      </c>
      <c r="I273" s="2">
        <v>0</v>
      </c>
      <c r="J273" s="2">
        <v>0</v>
      </c>
      <c r="K273" s="2" t="s">
        <v>1439</v>
      </c>
      <c r="L273" s="2" t="s">
        <v>1893</v>
      </c>
      <c r="M273" s="2">
        <v>43</v>
      </c>
      <c r="N273" s="2"/>
      <c r="O273" s="6"/>
    </row>
    <row r="274" spans="1:15">
      <c r="A274" s="7" t="s">
        <v>1434</v>
      </c>
      <c r="B274" s="8" t="s">
        <v>310</v>
      </c>
      <c r="C274" s="8" t="s">
        <v>2496</v>
      </c>
      <c r="D274" s="8" t="s">
        <v>2497</v>
      </c>
      <c r="E274" s="8" t="s">
        <v>2498</v>
      </c>
      <c r="F274" s="8" t="s">
        <v>37</v>
      </c>
      <c r="G274" s="8">
        <v>69</v>
      </c>
      <c r="H274" s="8">
        <v>13</v>
      </c>
      <c r="I274" s="8">
        <v>1</v>
      </c>
      <c r="J274" s="8">
        <v>55</v>
      </c>
      <c r="K274" s="8" t="s">
        <v>1439</v>
      </c>
      <c r="L274" s="8" t="s">
        <v>1873</v>
      </c>
      <c r="M274" s="8">
        <v>43</v>
      </c>
      <c r="N274" s="8" t="s">
        <v>311</v>
      </c>
      <c r="O274" s="12" t="s">
        <v>310</v>
      </c>
    </row>
    <row r="275" spans="1:15">
      <c r="A275" s="1" t="s">
        <v>1445</v>
      </c>
      <c r="B275" s="2" t="s">
        <v>313</v>
      </c>
      <c r="C275" s="2" t="s">
        <v>2499</v>
      </c>
      <c r="D275" s="2" t="s">
        <v>2500</v>
      </c>
      <c r="E275" s="2" t="s">
        <v>2501</v>
      </c>
      <c r="F275" s="2" t="s">
        <v>37</v>
      </c>
      <c r="G275" s="2">
        <v>103</v>
      </c>
      <c r="H275" s="2">
        <v>0</v>
      </c>
      <c r="I275" s="2">
        <v>2</v>
      </c>
      <c r="J275" s="2">
        <v>101</v>
      </c>
      <c r="K275" s="2" t="s">
        <v>2502</v>
      </c>
      <c r="L275" s="2" t="s">
        <v>1893</v>
      </c>
      <c r="M275" s="2">
        <v>43</v>
      </c>
      <c r="N275" s="2" t="s">
        <v>316</v>
      </c>
      <c r="O275" s="6" t="s">
        <v>2503</v>
      </c>
    </row>
    <row r="276" spans="1:15">
      <c r="A276" s="7" t="s">
        <v>1445</v>
      </c>
      <c r="B276" s="8" t="s">
        <v>318</v>
      </c>
      <c r="C276" s="8" t="s">
        <v>2504</v>
      </c>
      <c r="D276" s="8" t="s">
        <v>2505</v>
      </c>
      <c r="E276" s="8" t="s">
        <v>2506</v>
      </c>
      <c r="F276" s="8" t="s">
        <v>37</v>
      </c>
      <c r="G276" s="8">
        <v>102</v>
      </c>
      <c r="H276" s="8">
        <v>0</v>
      </c>
      <c r="I276" s="8">
        <v>1</v>
      </c>
      <c r="J276" s="8">
        <v>101</v>
      </c>
      <c r="K276" s="8" t="s">
        <v>1439</v>
      </c>
      <c r="L276" s="8" t="s">
        <v>1893</v>
      </c>
      <c r="M276" s="8">
        <v>43</v>
      </c>
      <c r="N276" s="8" t="s">
        <v>316</v>
      </c>
      <c r="O276" s="12" t="s">
        <v>318</v>
      </c>
    </row>
    <row r="277" spans="1:15">
      <c r="A277" s="7" t="s">
        <v>1434</v>
      </c>
      <c r="B277" s="8" t="s">
        <v>2507</v>
      </c>
      <c r="C277" s="8" t="s">
        <v>2508</v>
      </c>
      <c r="D277" s="8" t="s">
        <v>2509</v>
      </c>
      <c r="E277" s="8" t="s">
        <v>2510</v>
      </c>
      <c r="F277" s="8" t="s">
        <v>388</v>
      </c>
      <c r="G277" s="8">
        <v>81</v>
      </c>
      <c r="H277" s="8">
        <v>81</v>
      </c>
      <c r="I277" s="8">
        <v>0</v>
      </c>
      <c r="J277" s="8">
        <v>0</v>
      </c>
      <c r="K277" s="8" t="s">
        <v>1439</v>
      </c>
      <c r="L277" s="8" t="s">
        <v>1873</v>
      </c>
      <c r="M277" s="8">
        <v>43</v>
      </c>
      <c r="N277" s="8"/>
      <c r="O277" s="12"/>
    </row>
    <row r="278" spans="1:15">
      <c r="A278" s="1" t="s">
        <v>1445</v>
      </c>
      <c r="B278" s="2" t="s">
        <v>320</v>
      </c>
      <c r="C278" s="2" t="s">
        <v>2511</v>
      </c>
      <c r="D278" s="2" t="s">
        <v>2512</v>
      </c>
      <c r="E278" s="2" t="s">
        <v>2513</v>
      </c>
      <c r="F278" s="2" t="s">
        <v>37</v>
      </c>
      <c r="G278" s="2">
        <v>103</v>
      </c>
      <c r="H278" s="2">
        <v>0</v>
      </c>
      <c r="I278" s="2">
        <v>2</v>
      </c>
      <c r="J278" s="2">
        <v>101</v>
      </c>
      <c r="K278" s="2" t="s">
        <v>2502</v>
      </c>
      <c r="L278" s="2" t="s">
        <v>1893</v>
      </c>
      <c r="M278" s="2">
        <v>43</v>
      </c>
      <c r="N278" s="2" t="s">
        <v>316</v>
      </c>
      <c r="O278" s="6" t="s">
        <v>2514</v>
      </c>
    </row>
    <row r="279" spans="1:15">
      <c r="A279" s="7" t="s">
        <v>1445</v>
      </c>
      <c r="B279" s="8" t="s">
        <v>2515</v>
      </c>
      <c r="C279" s="8" t="s">
        <v>2516</v>
      </c>
      <c r="D279" s="8" t="s">
        <v>2517</v>
      </c>
      <c r="E279" s="8" t="s">
        <v>2518</v>
      </c>
      <c r="F279" s="8" t="s">
        <v>37</v>
      </c>
      <c r="G279" s="8">
        <v>103</v>
      </c>
      <c r="H279" s="8">
        <v>0</v>
      </c>
      <c r="I279" s="8">
        <v>1</v>
      </c>
      <c r="J279" s="8">
        <v>102</v>
      </c>
      <c r="K279" s="8" t="s">
        <v>1439</v>
      </c>
      <c r="L279" s="8" t="s">
        <v>1893</v>
      </c>
      <c r="M279" s="8">
        <v>43</v>
      </c>
      <c r="N279" s="8" t="s">
        <v>2519</v>
      </c>
      <c r="O279" s="12"/>
    </row>
    <row r="280" spans="1:15">
      <c r="A280" s="1" t="s">
        <v>1445</v>
      </c>
      <c r="B280" s="2" t="s">
        <v>323</v>
      </c>
      <c r="C280" s="2" t="s">
        <v>2520</v>
      </c>
      <c r="D280" s="2" t="s">
        <v>2521</v>
      </c>
      <c r="E280" s="2" t="s">
        <v>2522</v>
      </c>
      <c r="F280" s="2" t="s">
        <v>37</v>
      </c>
      <c r="G280" s="2">
        <v>104</v>
      </c>
      <c r="H280" s="2">
        <v>0</v>
      </c>
      <c r="I280" s="2">
        <v>3</v>
      </c>
      <c r="J280" s="2">
        <v>101</v>
      </c>
      <c r="K280" s="2" t="s">
        <v>2523</v>
      </c>
      <c r="L280" s="2" t="s">
        <v>1893</v>
      </c>
      <c r="M280" s="2">
        <v>43</v>
      </c>
      <c r="N280" s="2" t="s">
        <v>316</v>
      </c>
      <c r="O280" s="6" t="s">
        <v>2524</v>
      </c>
    </row>
    <row r="281" spans="1:15">
      <c r="A281" s="7" t="s">
        <v>1445</v>
      </c>
      <c r="B281" s="8" t="s">
        <v>327</v>
      </c>
      <c r="C281" s="8" t="s">
        <v>2525</v>
      </c>
      <c r="D281" s="8" t="s">
        <v>2526</v>
      </c>
      <c r="E281" s="8" t="s">
        <v>2527</v>
      </c>
      <c r="F281" s="8" t="s">
        <v>37</v>
      </c>
      <c r="G281" s="8">
        <v>2</v>
      </c>
      <c r="H281" s="8">
        <v>0</v>
      </c>
      <c r="I281" s="8">
        <v>1</v>
      </c>
      <c r="J281" s="8">
        <v>1</v>
      </c>
      <c r="K281" s="8" t="s">
        <v>1439</v>
      </c>
      <c r="L281" s="8" t="s">
        <v>1893</v>
      </c>
      <c r="M281" s="8">
        <v>43</v>
      </c>
      <c r="N281" s="8" t="s">
        <v>328</v>
      </c>
      <c r="O281" s="12" t="s">
        <v>327</v>
      </c>
    </row>
    <row r="282" spans="1:15">
      <c r="A282" s="1" t="s">
        <v>273</v>
      </c>
      <c r="B282" s="2" t="s">
        <v>330</v>
      </c>
      <c r="C282" s="2" t="s">
        <v>2528</v>
      </c>
      <c r="D282" s="2" t="s">
        <v>2529</v>
      </c>
      <c r="E282" s="2" t="s">
        <v>2530</v>
      </c>
      <c r="F282" s="2" t="s">
        <v>37</v>
      </c>
      <c r="G282" s="2">
        <v>101</v>
      </c>
      <c r="H282" s="2">
        <v>6</v>
      </c>
      <c r="I282" s="2">
        <v>1</v>
      </c>
      <c r="J282" s="2">
        <v>94</v>
      </c>
      <c r="K282" s="2" t="s">
        <v>1439</v>
      </c>
      <c r="L282" s="2" t="s">
        <v>2166</v>
      </c>
      <c r="M282" s="2">
        <v>47</v>
      </c>
      <c r="N282" s="2" t="s">
        <v>331</v>
      </c>
      <c r="O282" s="6" t="s">
        <v>330</v>
      </c>
    </row>
    <row r="283" spans="1:15">
      <c r="A283" s="1" t="s">
        <v>1445</v>
      </c>
      <c r="B283" s="2" t="s">
        <v>2531</v>
      </c>
      <c r="C283" s="2" t="s">
        <v>2532</v>
      </c>
      <c r="D283" s="2" t="s">
        <v>2533</v>
      </c>
      <c r="E283" s="2" t="s">
        <v>2534</v>
      </c>
      <c r="F283" s="2" t="s">
        <v>388</v>
      </c>
      <c r="G283" s="2">
        <v>3</v>
      </c>
      <c r="H283" s="2">
        <v>3</v>
      </c>
      <c r="I283" s="2">
        <v>0</v>
      </c>
      <c r="J283" s="2">
        <v>0</v>
      </c>
      <c r="K283" s="2" t="s">
        <v>1439</v>
      </c>
      <c r="L283" s="2" t="s">
        <v>1893</v>
      </c>
      <c r="M283" s="2">
        <v>43</v>
      </c>
      <c r="N283" s="2"/>
      <c r="O283" s="6"/>
    </row>
    <row r="284" spans="1:15">
      <c r="A284" s="7" t="s">
        <v>1445</v>
      </c>
      <c r="B284" s="8" t="s">
        <v>334</v>
      </c>
      <c r="C284" s="8" t="s">
        <v>2535</v>
      </c>
      <c r="D284" s="8" t="s">
        <v>2536</v>
      </c>
      <c r="E284" s="8" t="s">
        <v>2537</v>
      </c>
      <c r="F284" s="8" t="s">
        <v>37</v>
      </c>
      <c r="G284" s="8">
        <v>146</v>
      </c>
      <c r="H284" s="8">
        <v>13</v>
      </c>
      <c r="I284" s="8">
        <v>1</v>
      </c>
      <c r="J284" s="8">
        <v>132</v>
      </c>
      <c r="K284" s="8" t="s">
        <v>1439</v>
      </c>
      <c r="L284" s="8" t="s">
        <v>1893</v>
      </c>
      <c r="M284" s="8">
        <v>44</v>
      </c>
      <c r="N284" s="8" t="s">
        <v>335</v>
      </c>
      <c r="O284" s="12" t="s">
        <v>334</v>
      </c>
    </row>
    <row r="285" spans="1:15">
      <c r="A285" s="1" t="s">
        <v>1434</v>
      </c>
      <c r="B285" s="2" t="s">
        <v>2538</v>
      </c>
      <c r="C285" s="2" t="s">
        <v>2539</v>
      </c>
      <c r="D285" s="2" t="s">
        <v>2540</v>
      </c>
      <c r="E285" s="2" t="s">
        <v>2541</v>
      </c>
      <c r="F285" s="2" t="s">
        <v>22</v>
      </c>
      <c r="G285" s="2">
        <v>100</v>
      </c>
      <c r="H285" s="2">
        <v>12</v>
      </c>
      <c r="I285" s="2">
        <v>0</v>
      </c>
      <c r="J285" s="2">
        <v>87</v>
      </c>
      <c r="K285" s="2" t="s">
        <v>1439</v>
      </c>
      <c r="L285" s="2" t="s">
        <v>1873</v>
      </c>
      <c r="M285" s="2">
        <v>44</v>
      </c>
      <c r="N285" s="2"/>
      <c r="O285" s="6"/>
    </row>
    <row r="286" spans="1:15">
      <c r="A286" s="7" t="s">
        <v>1445</v>
      </c>
      <c r="B286" s="8" t="s">
        <v>337</v>
      </c>
      <c r="C286" s="8" t="s">
        <v>2542</v>
      </c>
      <c r="D286" s="8" t="s">
        <v>2543</v>
      </c>
      <c r="E286" s="8" t="s">
        <v>2544</v>
      </c>
      <c r="F286" s="8" t="s">
        <v>37</v>
      </c>
      <c r="G286" s="8">
        <v>134</v>
      </c>
      <c r="H286" s="8">
        <v>3</v>
      </c>
      <c r="I286" s="8">
        <v>3</v>
      </c>
      <c r="J286" s="8">
        <v>128</v>
      </c>
      <c r="K286" s="8" t="s">
        <v>2545</v>
      </c>
      <c r="L286" s="8" t="s">
        <v>1893</v>
      </c>
      <c r="M286" s="8">
        <v>44</v>
      </c>
      <c r="N286" s="8" t="s">
        <v>340</v>
      </c>
      <c r="O286" s="12" t="s">
        <v>2546</v>
      </c>
    </row>
    <row r="287" spans="1:15">
      <c r="A287" s="1" t="s">
        <v>1445</v>
      </c>
      <c r="B287" s="2" t="s">
        <v>1207</v>
      </c>
      <c r="C287" s="2" t="s">
        <v>2547</v>
      </c>
      <c r="D287" s="2" t="s">
        <v>2548</v>
      </c>
      <c r="E287" s="2" t="s">
        <v>2549</v>
      </c>
      <c r="F287" s="2" t="s">
        <v>37</v>
      </c>
      <c r="G287" s="2">
        <v>130</v>
      </c>
      <c r="H287" s="2">
        <v>0</v>
      </c>
      <c r="I287" s="2">
        <v>1</v>
      </c>
      <c r="J287" s="2">
        <v>125</v>
      </c>
      <c r="K287" s="2" t="s">
        <v>1439</v>
      </c>
      <c r="L287" s="2" t="s">
        <v>1893</v>
      </c>
      <c r="M287" s="2">
        <v>44</v>
      </c>
      <c r="N287" s="2" t="s">
        <v>1540</v>
      </c>
      <c r="O287" s="6"/>
    </row>
    <row r="288" spans="1:15">
      <c r="A288" s="7" t="s">
        <v>1445</v>
      </c>
      <c r="B288" s="8" t="s">
        <v>2550</v>
      </c>
      <c r="C288" s="8" t="s">
        <v>2551</v>
      </c>
      <c r="D288" s="8" t="s">
        <v>2552</v>
      </c>
      <c r="E288" s="8" t="s">
        <v>2553</v>
      </c>
      <c r="F288" s="8" t="s">
        <v>22</v>
      </c>
      <c r="G288" s="8">
        <v>45</v>
      </c>
      <c r="H288" s="8">
        <v>0</v>
      </c>
      <c r="I288" s="8">
        <v>0</v>
      </c>
      <c r="J288" s="8">
        <v>44</v>
      </c>
      <c r="K288" s="8" t="s">
        <v>1439</v>
      </c>
      <c r="L288" s="8" t="s">
        <v>1893</v>
      </c>
      <c r="M288" s="8">
        <v>44</v>
      </c>
      <c r="N288" s="8"/>
      <c r="O288" s="12"/>
    </row>
    <row r="289" spans="1:15">
      <c r="A289" s="1" t="s">
        <v>1445</v>
      </c>
      <c r="B289" s="2" t="s">
        <v>342</v>
      </c>
      <c r="C289" s="2" t="s">
        <v>2554</v>
      </c>
      <c r="D289" s="2" t="s">
        <v>2555</v>
      </c>
      <c r="E289" s="2" t="s">
        <v>2556</v>
      </c>
      <c r="F289" s="2" t="s">
        <v>37</v>
      </c>
      <c r="G289" s="2">
        <v>45</v>
      </c>
      <c r="H289" s="2">
        <v>17</v>
      </c>
      <c r="I289" s="2">
        <v>1</v>
      </c>
      <c r="J289" s="2">
        <v>27</v>
      </c>
      <c r="K289" s="2" t="s">
        <v>1439</v>
      </c>
      <c r="L289" s="2" t="s">
        <v>1893</v>
      </c>
      <c r="M289" s="2">
        <v>44</v>
      </c>
      <c r="N289" s="2" t="s">
        <v>343</v>
      </c>
      <c r="O289" s="6" t="s">
        <v>342</v>
      </c>
    </row>
    <row r="290" spans="1:15">
      <c r="A290" s="7" t="s">
        <v>1434</v>
      </c>
      <c r="B290" s="8" t="s">
        <v>346</v>
      </c>
      <c r="C290" s="8" t="s">
        <v>2557</v>
      </c>
      <c r="D290" s="8" t="s">
        <v>2558</v>
      </c>
      <c r="E290" s="8" t="s">
        <v>2559</v>
      </c>
      <c r="F290" s="8" t="s">
        <v>37</v>
      </c>
      <c r="G290" s="8">
        <v>133</v>
      </c>
      <c r="H290" s="8">
        <v>100</v>
      </c>
      <c r="I290" s="8">
        <v>1</v>
      </c>
      <c r="J290" s="8">
        <v>32</v>
      </c>
      <c r="K290" s="8" t="s">
        <v>1439</v>
      </c>
      <c r="L290" s="8" t="s">
        <v>1873</v>
      </c>
      <c r="M290" s="8">
        <v>44</v>
      </c>
      <c r="N290" s="8" t="s">
        <v>347</v>
      </c>
      <c r="O290" s="12" t="s">
        <v>346</v>
      </c>
    </row>
    <row r="291" spans="1:15">
      <c r="A291" s="1" t="s">
        <v>1445</v>
      </c>
      <c r="B291" s="2" t="s">
        <v>2560</v>
      </c>
      <c r="C291" s="2" t="s">
        <v>2561</v>
      </c>
      <c r="D291" s="2" t="s">
        <v>2562</v>
      </c>
      <c r="E291" s="2" t="s">
        <v>2563</v>
      </c>
      <c r="F291" s="2" t="s">
        <v>388</v>
      </c>
      <c r="G291" s="2">
        <v>112</v>
      </c>
      <c r="H291" s="2">
        <v>112</v>
      </c>
      <c r="I291" s="2">
        <v>0</v>
      </c>
      <c r="J291" s="2">
        <v>0</v>
      </c>
      <c r="K291" s="2" t="s">
        <v>1439</v>
      </c>
      <c r="L291" s="2" t="s">
        <v>1893</v>
      </c>
      <c r="M291" s="2">
        <v>44</v>
      </c>
      <c r="N291" s="2"/>
      <c r="O291" s="6"/>
    </row>
    <row r="292" spans="1:15">
      <c r="A292" s="7" t="s">
        <v>1434</v>
      </c>
      <c r="B292" s="8" t="s">
        <v>2564</v>
      </c>
      <c r="C292" s="8" t="s">
        <v>2565</v>
      </c>
      <c r="D292" s="8" t="s">
        <v>2566</v>
      </c>
      <c r="E292" s="8" t="s">
        <v>2567</v>
      </c>
      <c r="F292" s="8" t="s">
        <v>388</v>
      </c>
      <c r="G292" s="8">
        <v>34</v>
      </c>
      <c r="H292" s="8">
        <v>34</v>
      </c>
      <c r="I292" s="8">
        <v>0</v>
      </c>
      <c r="J292" s="8">
        <v>0</v>
      </c>
      <c r="K292" s="8" t="s">
        <v>1439</v>
      </c>
      <c r="L292" s="8" t="s">
        <v>1873</v>
      </c>
      <c r="M292" s="8">
        <v>44</v>
      </c>
      <c r="N292" s="8"/>
      <c r="O292" s="12"/>
    </row>
    <row r="293" spans="1:15">
      <c r="A293" s="1" t="s">
        <v>1445</v>
      </c>
      <c r="B293" s="2" t="s">
        <v>349</v>
      </c>
      <c r="C293" s="2" t="s">
        <v>2568</v>
      </c>
      <c r="D293" s="2" t="s">
        <v>2569</v>
      </c>
      <c r="E293" s="2" t="s">
        <v>2570</v>
      </c>
      <c r="F293" s="2" t="s">
        <v>37</v>
      </c>
      <c r="G293" s="2">
        <v>216</v>
      </c>
      <c r="H293" s="2">
        <v>29</v>
      </c>
      <c r="I293" s="2">
        <v>3</v>
      </c>
      <c r="J293" s="2">
        <v>184</v>
      </c>
      <c r="K293" s="2" t="s">
        <v>2571</v>
      </c>
      <c r="L293" s="2" t="s">
        <v>1893</v>
      </c>
      <c r="M293" s="2">
        <v>43</v>
      </c>
      <c r="N293" s="2" t="s">
        <v>353</v>
      </c>
      <c r="O293" s="6" t="s">
        <v>2572</v>
      </c>
    </row>
    <row r="294" spans="1:15">
      <c r="A294" s="7" t="s">
        <v>356</v>
      </c>
      <c r="B294" s="8" t="s">
        <v>357</v>
      </c>
      <c r="C294" s="8" t="s">
        <v>2573</v>
      </c>
      <c r="D294" s="8" t="s">
        <v>2574</v>
      </c>
      <c r="E294" s="8" t="s">
        <v>2575</v>
      </c>
      <c r="F294" s="8" t="s">
        <v>37</v>
      </c>
      <c r="G294" s="8">
        <v>95</v>
      </c>
      <c r="H294" s="8">
        <v>1</v>
      </c>
      <c r="I294" s="8">
        <v>1</v>
      </c>
      <c r="J294" s="8">
        <v>93</v>
      </c>
      <c r="K294" s="8" t="s">
        <v>1439</v>
      </c>
      <c r="L294" s="8" t="s">
        <v>2166</v>
      </c>
      <c r="M294" s="8">
        <v>47</v>
      </c>
      <c r="N294" s="8" t="s">
        <v>358</v>
      </c>
      <c r="O294" s="12" t="s">
        <v>357</v>
      </c>
    </row>
    <row r="295" spans="1:15">
      <c r="A295" s="1" t="s">
        <v>1445</v>
      </c>
      <c r="B295" s="2" t="s">
        <v>2576</v>
      </c>
      <c r="C295" s="2" t="s">
        <v>2577</v>
      </c>
      <c r="D295" s="2" t="s">
        <v>2578</v>
      </c>
      <c r="E295" s="2" t="s">
        <v>2579</v>
      </c>
      <c r="F295" s="2" t="s">
        <v>22</v>
      </c>
      <c r="G295" s="2">
        <v>192</v>
      </c>
      <c r="H295" s="2">
        <v>1</v>
      </c>
      <c r="I295" s="2">
        <v>0</v>
      </c>
      <c r="J295" s="2">
        <v>190</v>
      </c>
      <c r="K295" s="2" t="s">
        <v>1439</v>
      </c>
      <c r="L295" s="2" t="s">
        <v>1893</v>
      </c>
      <c r="M295" s="2">
        <v>43</v>
      </c>
      <c r="N295" s="2"/>
      <c r="O295" s="6"/>
    </row>
    <row r="296" spans="1:15">
      <c r="A296" s="7" t="s">
        <v>1445</v>
      </c>
      <c r="B296" s="8" t="s">
        <v>361</v>
      </c>
      <c r="C296" s="8" t="s">
        <v>2580</v>
      </c>
      <c r="D296" s="8" t="s">
        <v>2581</v>
      </c>
      <c r="E296" s="8" t="s">
        <v>2582</v>
      </c>
      <c r="F296" s="8" t="s">
        <v>22</v>
      </c>
      <c r="G296" s="8">
        <v>192</v>
      </c>
      <c r="H296" s="8">
        <v>0</v>
      </c>
      <c r="I296" s="8">
        <v>1</v>
      </c>
      <c r="J296" s="8">
        <v>190</v>
      </c>
      <c r="K296" s="8" t="s">
        <v>2583</v>
      </c>
      <c r="L296" s="8" t="s">
        <v>1893</v>
      </c>
      <c r="M296" s="8">
        <v>43</v>
      </c>
      <c r="N296" s="8"/>
      <c r="O296" s="12" t="s">
        <v>361</v>
      </c>
    </row>
    <row r="297" spans="1:15">
      <c r="A297" s="7" t="s">
        <v>1434</v>
      </c>
      <c r="B297" s="8" t="s">
        <v>2584</v>
      </c>
      <c r="C297" s="8" t="s">
        <v>2585</v>
      </c>
      <c r="D297" s="8" t="s">
        <v>2586</v>
      </c>
      <c r="E297" s="8" t="s">
        <v>2587</v>
      </c>
      <c r="F297" s="8" t="s">
        <v>388</v>
      </c>
      <c r="G297" s="8">
        <v>59</v>
      </c>
      <c r="H297" s="8">
        <v>59</v>
      </c>
      <c r="I297" s="8">
        <v>0</v>
      </c>
      <c r="J297" s="8">
        <v>0</v>
      </c>
      <c r="K297" s="8" t="s">
        <v>1439</v>
      </c>
      <c r="L297" s="8" t="s">
        <v>1873</v>
      </c>
      <c r="M297" s="8">
        <v>43</v>
      </c>
      <c r="N297" s="8"/>
      <c r="O297" s="12"/>
    </row>
    <row r="298" spans="1:15">
      <c r="A298" s="7" t="s">
        <v>1445</v>
      </c>
      <c r="B298" s="8" t="s">
        <v>2588</v>
      </c>
      <c r="C298" s="8" t="s">
        <v>2589</v>
      </c>
      <c r="D298" s="8" t="s">
        <v>1438</v>
      </c>
      <c r="E298" s="8" t="s">
        <v>1438</v>
      </c>
      <c r="F298" s="8"/>
      <c r="G298" s="8">
        <v>191</v>
      </c>
      <c r="H298" s="8">
        <v>0</v>
      </c>
      <c r="I298" s="8">
        <v>0</v>
      </c>
      <c r="J298" s="8">
        <v>0</v>
      </c>
      <c r="K298" s="8" t="s">
        <v>1439</v>
      </c>
      <c r="L298" s="8" t="s">
        <v>1893</v>
      </c>
      <c r="M298" s="8">
        <v>43</v>
      </c>
      <c r="N298" s="8"/>
      <c r="O298" s="12"/>
    </row>
    <row r="299" spans="1:15">
      <c r="A299" s="1" t="s">
        <v>1445</v>
      </c>
      <c r="B299" s="2" t="s">
        <v>363</v>
      </c>
      <c r="C299" s="2" t="s">
        <v>2590</v>
      </c>
      <c r="D299" s="2" t="s">
        <v>2591</v>
      </c>
      <c r="E299" s="2" t="s">
        <v>2592</v>
      </c>
      <c r="F299" s="2" t="s">
        <v>37</v>
      </c>
      <c r="G299" s="2">
        <v>192</v>
      </c>
      <c r="H299" s="2">
        <v>11</v>
      </c>
      <c r="I299" s="2">
        <v>2</v>
      </c>
      <c r="J299" s="2">
        <v>179</v>
      </c>
      <c r="K299" s="2" t="s">
        <v>2593</v>
      </c>
      <c r="L299" s="2" t="s">
        <v>1893</v>
      </c>
      <c r="M299" s="2">
        <v>43</v>
      </c>
      <c r="N299" s="2" t="s">
        <v>365</v>
      </c>
      <c r="O299" s="6" t="s">
        <v>2594</v>
      </c>
    </row>
    <row r="300" spans="1:15">
      <c r="A300" s="1" t="s">
        <v>356</v>
      </c>
      <c r="B300" s="2" t="s">
        <v>2595</v>
      </c>
      <c r="C300" s="2" t="s">
        <v>2596</v>
      </c>
      <c r="D300" s="2" t="s">
        <v>2597</v>
      </c>
      <c r="E300" s="2" t="s">
        <v>2598</v>
      </c>
      <c r="F300" s="2" t="s">
        <v>388</v>
      </c>
      <c r="G300" s="2">
        <v>5</v>
      </c>
      <c r="H300" s="2">
        <v>5</v>
      </c>
      <c r="I300" s="2">
        <v>0</v>
      </c>
      <c r="J300" s="2">
        <v>0</v>
      </c>
      <c r="K300" s="2" t="s">
        <v>1439</v>
      </c>
      <c r="L300" s="2" t="s">
        <v>2166</v>
      </c>
      <c r="M300" s="2">
        <v>47</v>
      </c>
      <c r="N300" s="2"/>
      <c r="O300" s="6"/>
    </row>
    <row r="301" spans="1:15">
      <c r="A301" s="7" t="s">
        <v>1445</v>
      </c>
      <c r="B301" s="8" t="s">
        <v>2599</v>
      </c>
      <c r="C301" s="8" t="s">
        <v>2600</v>
      </c>
      <c r="D301" s="8" t="s">
        <v>2601</v>
      </c>
      <c r="E301" s="8" t="s">
        <v>2602</v>
      </c>
      <c r="F301" s="8" t="s">
        <v>22</v>
      </c>
      <c r="G301" s="8">
        <v>213</v>
      </c>
      <c r="H301" s="8">
        <v>1</v>
      </c>
      <c r="I301" s="8">
        <v>0</v>
      </c>
      <c r="J301" s="8">
        <v>211</v>
      </c>
      <c r="K301" s="8" t="s">
        <v>1439</v>
      </c>
      <c r="L301" s="8" t="s">
        <v>1893</v>
      </c>
      <c r="M301" s="8">
        <v>43</v>
      </c>
      <c r="N301" s="8"/>
      <c r="O301" s="12"/>
    </row>
    <row r="302" spans="1:15">
      <c r="A302" s="1" t="s">
        <v>1434</v>
      </c>
      <c r="B302" s="2" t="s">
        <v>372</v>
      </c>
      <c r="C302" s="2" t="s">
        <v>2603</v>
      </c>
      <c r="D302" s="2" t="s">
        <v>2604</v>
      </c>
      <c r="E302" s="2" t="s">
        <v>2605</v>
      </c>
      <c r="F302" s="2" t="s">
        <v>37</v>
      </c>
      <c r="G302" s="2">
        <v>193</v>
      </c>
      <c r="H302" s="2">
        <v>22</v>
      </c>
      <c r="I302" s="2">
        <v>1</v>
      </c>
      <c r="J302" s="2">
        <v>170</v>
      </c>
      <c r="K302" s="2" t="s">
        <v>1439</v>
      </c>
      <c r="L302" s="2" t="s">
        <v>1893</v>
      </c>
      <c r="M302" s="2">
        <v>43</v>
      </c>
      <c r="N302" s="2" t="s">
        <v>373</v>
      </c>
      <c r="O302" s="6" t="s">
        <v>372</v>
      </c>
    </row>
    <row r="303" spans="1:15">
      <c r="A303" s="1" t="s">
        <v>1445</v>
      </c>
      <c r="B303" s="2" t="s">
        <v>367</v>
      </c>
      <c r="C303" s="2" t="s">
        <v>2606</v>
      </c>
      <c r="D303" s="2" t="s">
        <v>2607</v>
      </c>
      <c r="E303" s="2" t="s">
        <v>2608</v>
      </c>
      <c r="F303" s="2" t="s">
        <v>37</v>
      </c>
      <c r="G303" s="2">
        <v>85</v>
      </c>
      <c r="H303" s="2">
        <v>0</v>
      </c>
      <c r="I303" s="2">
        <v>1</v>
      </c>
      <c r="J303" s="2">
        <v>84</v>
      </c>
      <c r="K303" s="2" t="s">
        <v>1439</v>
      </c>
      <c r="L303" s="2" t="s">
        <v>1893</v>
      </c>
      <c r="M303" s="2">
        <v>43</v>
      </c>
      <c r="N303" s="2" t="s">
        <v>293</v>
      </c>
      <c r="O303" s="6" t="s">
        <v>367</v>
      </c>
    </row>
    <row r="304" spans="1:15">
      <c r="A304" s="7" t="s">
        <v>1445</v>
      </c>
      <c r="B304" s="8" t="s">
        <v>2609</v>
      </c>
      <c r="C304" s="8" t="s">
        <v>2610</v>
      </c>
      <c r="D304" s="8" t="s">
        <v>2611</v>
      </c>
      <c r="E304" s="8" t="s">
        <v>2612</v>
      </c>
      <c r="F304" s="8" t="s">
        <v>22</v>
      </c>
      <c r="G304" s="8">
        <v>152</v>
      </c>
      <c r="H304" s="8">
        <v>1</v>
      </c>
      <c r="I304" s="8">
        <v>0</v>
      </c>
      <c r="J304" s="8">
        <v>150</v>
      </c>
      <c r="K304" s="8" t="s">
        <v>1439</v>
      </c>
      <c r="L304" s="8" t="s">
        <v>1893</v>
      </c>
      <c r="M304" s="8">
        <v>43</v>
      </c>
      <c r="N304" s="8"/>
      <c r="O304" s="12"/>
    </row>
    <row r="305" spans="1:15">
      <c r="A305" s="1" t="s">
        <v>1445</v>
      </c>
      <c r="B305" s="2" t="s">
        <v>369</v>
      </c>
      <c r="C305" s="2" t="s">
        <v>2613</v>
      </c>
      <c r="D305" s="2" t="s">
        <v>2614</v>
      </c>
      <c r="E305" s="2" t="s">
        <v>1438</v>
      </c>
      <c r="F305" s="2"/>
      <c r="G305" s="2">
        <v>174</v>
      </c>
      <c r="H305" s="2">
        <v>1</v>
      </c>
      <c r="I305" s="2">
        <v>1</v>
      </c>
      <c r="J305" s="2">
        <v>150</v>
      </c>
      <c r="K305" s="2" t="s">
        <v>1961</v>
      </c>
      <c r="L305" s="2" t="s">
        <v>1893</v>
      </c>
      <c r="M305" s="2">
        <v>43</v>
      </c>
      <c r="N305" s="2"/>
      <c r="O305" s="6" t="s">
        <v>369</v>
      </c>
    </row>
    <row r="306" spans="1:15">
      <c r="A306" s="7" t="s">
        <v>1445</v>
      </c>
      <c r="B306" s="8" t="s">
        <v>377</v>
      </c>
      <c r="C306" s="8" t="s">
        <v>2615</v>
      </c>
      <c r="D306" s="8" t="s">
        <v>2616</v>
      </c>
      <c r="E306" s="8" t="s">
        <v>2617</v>
      </c>
      <c r="F306" s="8" t="s">
        <v>37</v>
      </c>
      <c r="G306" s="8">
        <v>152</v>
      </c>
      <c r="H306" s="8">
        <v>26</v>
      </c>
      <c r="I306" s="8">
        <v>2</v>
      </c>
      <c r="J306" s="8">
        <v>124</v>
      </c>
      <c r="K306" s="8" t="s">
        <v>1439</v>
      </c>
      <c r="L306" s="8" t="s">
        <v>1893</v>
      </c>
      <c r="M306" s="8">
        <v>43</v>
      </c>
      <c r="N306" s="8" t="s">
        <v>245</v>
      </c>
      <c r="O306" s="12" t="s">
        <v>2618</v>
      </c>
    </row>
    <row r="307" spans="1:15">
      <c r="A307" s="1" t="s">
        <v>1445</v>
      </c>
      <c r="B307" s="2" t="s">
        <v>2619</v>
      </c>
      <c r="C307" s="2" t="s">
        <v>2620</v>
      </c>
      <c r="D307" s="2" t="s">
        <v>2621</v>
      </c>
      <c r="E307" s="2" t="s">
        <v>2622</v>
      </c>
      <c r="F307" s="2" t="s">
        <v>22</v>
      </c>
      <c r="G307" s="2">
        <v>125</v>
      </c>
      <c r="H307" s="2">
        <v>3</v>
      </c>
      <c r="I307" s="2">
        <v>0</v>
      </c>
      <c r="J307" s="2">
        <v>121</v>
      </c>
      <c r="K307" s="2" t="s">
        <v>1439</v>
      </c>
      <c r="L307" s="2" t="s">
        <v>1893</v>
      </c>
      <c r="M307" s="2">
        <v>43</v>
      </c>
      <c r="N307" s="2"/>
      <c r="O307" s="6"/>
    </row>
    <row r="308" spans="1:15">
      <c r="A308" s="7" t="s">
        <v>1445</v>
      </c>
      <c r="B308" s="8" t="s">
        <v>380</v>
      </c>
      <c r="C308" s="8" t="s">
        <v>2623</v>
      </c>
      <c r="D308" s="8" t="s">
        <v>2624</v>
      </c>
      <c r="E308" s="8" t="s">
        <v>2625</v>
      </c>
      <c r="F308" s="8" t="s">
        <v>37</v>
      </c>
      <c r="G308" s="8">
        <v>122</v>
      </c>
      <c r="H308" s="8">
        <v>0</v>
      </c>
      <c r="I308" s="8">
        <v>1</v>
      </c>
      <c r="J308" s="8">
        <v>120</v>
      </c>
      <c r="K308" s="8" t="s">
        <v>1439</v>
      </c>
      <c r="L308" s="8" t="s">
        <v>1893</v>
      </c>
      <c r="M308" s="8">
        <v>43</v>
      </c>
      <c r="N308" s="8" t="s">
        <v>382</v>
      </c>
      <c r="O308" s="12" t="s">
        <v>2626</v>
      </c>
    </row>
    <row r="309" spans="1:15">
      <c r="A309" s="1" t="s">
        <v>1445</v>
      </c>
      <c r="B309" s="2" t="s">
        <v>384</v>
      </c>
      <c r="C309" s="2" t="s">
        <v>2627</v>
      </c>
      <c r="D309" s="2" t="s">
        <v>2628</v>
      </c>
      <c r="E309" s="2" t="s">
        <v>2629</v>
      </c>
      <c r="F309" s="2" t="s">
        <v>37</v>
      </c>
      <c r="G309" s="2">
        <v>125</v>
      </c>
      <c r="H309" s="2">
        <v>19</v>
      </c>
      <c r="I309" s="2">
        <v>2</v>
      </c>
      <c r="J309" s="2">
        <v>94</v>
      </c>
      <c r="K309" s="2" t="s">
        <v>2630</v>
      </c>
      <c r="L309" s="2" t="s">
        <v>1893</v>
      </c>
      <c r="M309" s="2">
        <v>43</v>
      </c>
      <c r="N309" s="2" t="s">
        <v>385</v>
      </c>
      <c r="O309" s="6" t="s">
        <v>384</v>
      </c>
    </row>
    <row r="310" spans="1:15">
      <c r="A310" s="7" t="s">
        <v>1445</v>
      </c>
      <c r="B310" s="8" t="s">
        <v>387</v>
      </c>
      <c r="C310" s="8" t="s">
        <v>2631</v>
      </c>
      <c r="D310" s="8" t="s">
        <v>2632</v>
      </c>
      <c r="E310" s="8" t="s">
        <v>2633</v>
      </c>
      <c r="F310" s="8" t="s">
        <v>388</v>
      </c>
      <c r="G310" s="8">
        <v>104</v>
      </c>
      <c r="H310" s="8">
        <v>103</v>
      </c>
      <c r="I310" s="8">
        <v>1</v>
      </c>
      <c r="J310" s="8">
        <v>0</v>
      </c>
      <c r="K310" s="8" t="s">
        <v>2634</v>
      </c>
      <c r="L310" s="8" t="s">
        <v>1893</v>
      </c>
      <c r="M310" s="8">
        <v>43</v>
      </c>
      <c r="N310" s="8"/>
      <c r="O310" s="12" t="s">
        <v>387</v>
      </c>
    </row>
    <row r="311" spans="1:15">
      <c r="A311" s="7" t="s">
        <v>1434</v>
      </c>
      <c r="B311" s="8" t="s">
        <v>390</v>
      </c>
      <c r="C311" s="8" t="s">
        <v>2635</v>
      </c>
      <c r="D311" s="8" t="s">
        <v>2636</v>
      </c>
      <c r="E311" s="8" t="s">
        <v>1438</v>
      </c>
      <c r="F311" s="8"/>
      <c r="G311" s="8">
        <v>140</v>
      </c>
      <c r="H311" s="8">
        <v>2</v>
      </c>
      <c r="I311" s="8">
        <v>1</v>
      </c>
      <c r="J311" s="8">
        <v>136</v>
      </c>
      <c r="K311" s="8" t="s">
        <v>2637</v>
      </c>
      <c r="L311" s="8" t="s">
        <v>1873</v>
      </c>
      <c r="M311" s="8">
        <v>43</v>
      </c>
      <c r="N311" s="8"/>
      <c r="O311" s="12" t="s">
        <v>390</v>
      </c>
    </row>
    <row r="312" spans="1:15">
      <c r="A312" s="1" t="s">
        <v>1434</v>
      </c>
      <c r="B312" s="2" t="s">
        <v>392</v>
      </c>
      <c r="C312" s="2" t="s">
        <v>2638</v>
      </c>
      <c r="D312" s="2" t="s">
        <v>2639</v>
      </c>
      <c r="E312" s="2" t="s">
        <v>2640</v>
      </c>
      <c r="F312" s="2" t="s">
        <v>37</v>
      </c>
      <c r="G312" s="2">
        <v>137</v>
      </c>
      <c r="H312" s="2">
        <v>129</v>
      </c>
      <c r="I312" s="2">
        <v>1</v>
      </c>
      <c r="J312" s="2">
        <v>7</v>
      </c>
      <c r="K312" s="2" t="s">
        <v>1439</v>
      </c>
      <c r="L312" s="2" t="s">
        <v>1873</v>
      </c>
      <c r="M312" s="2">
        <v>43</v>
      </c>
      <c r="N312" s="2" t="s">
        <v>393</v>
      </c>
      <c r="O312" s="6" t="s">
        <v>392</v>
      </c>
    </row>
    <row r="313" spans="1:15">
      <c r="A313" s="7" t="s">
        <v>356</v>
      </c>
      <c r="B313" s="8" t="s">
        <v>2641</v>
      </c>
      <c r="C313" s="8" t="s">
        <v>2642</v>
      </c>
      <c r="D313" s="8" t="s">
        <v>2643</v>
      </c>
      <c r="E313" s="8" t="s">
        <v>2644</v>
      </c>
      <c r="F313" s="8" t="s">
        <v>388</v>
      </c>
      <c r="G313" s="8">
        <v>4</v>
      </c>
      <c r="H313" s="8">
        <v>4</v>
      </c>
      <c r="I313" s="8">
        <v>0</v>
      </c>
      <c r="J313" s="8">
        <v>0</v>
      </c>
      <c r="K313" s="8" t="s">
        <v>1439</v>
      </c>
      <c r="L313" s="8" t="s">
        <v>2166</v>
      </c>
      <c r="M313" s="8">
        <v>47</v>
      </c>
      <c r="N313" s="8"/>
      <c r="O313" s="12"/>
    </row>
    <row r="314" spans="1:15">
      <c r="A314" s="7" t="s">
        <v>1445</v>
      </c>
      <c r="B314" s="8" t="s">
        <v>415</v>
      </c>
      <c r="C314" s="8" t="s">
        <v>2645</v>
      </c>
      <c r="D314" s="8" t="s">
        <v>2646</v>
      </c>
      <c r="E314" s="8" t="s">
        <v>2647</v>
      </c>
      <c r="F314" s="8" t="s">
        <v>37</v>
      </c>
      <c r="G314" s="8">
        <v>213</v>
      </c>
      <c r="H314" s="8">
        <v>103</v>
      </c>
      <c r="I314" s="8">
        <v>1</v>
      </c>
      <c r="J314" s="8">
        <v>109</v>
      </c>
      <c r="K314" s="8" t="s">
        <v>1439</v>
      </c>
      <c r="L314" s="8" t="s">
        <v>1893</v>
      </c>
      <c r="M314" s="8">
        <v>43</v>
      </c>
      <c r="N314" s="8" t="s">
        <v>416</v>
      </c>
      <c r="O314" s="12" t="s">
        <v>415</v>
      </c>
    </row>
    <row r="315" spans="1:15">
      <c r="A315" s="1" t="s">
        <v>1434</v>
      </c>
      <c r="B315" s="2" t="s">
        <v>395</v>
      </c>
      <c r="C315" s="2" t="s">
        <v>2648</v>
      </c>
      <c r="D315" s="2" t="s">
        <v>2649</v>
      </c>
      <c r="E315" s="2" t="s">
        <v>2650</v>
      </c>
      <c r="F315" s="2" t="s">
        <v>37</v>
      </c>
      <c r="G315" s="2">
        <v>405</v>
      </c>
      <c r="H315" s="2">
        <v>0</v>
      </c>
      <c r="I315" s="2">
        <v>3</v>
      </c>
      <c r="J315" s="2">
        <v>6</v>
      </c>
      <c r="K315" s="2" t="s">
        <v>2651</v>
      </c>
      <c r="L315" s="2" t="s">
        <v>1873</v>
      </c>
      <c r="M315" s="2">
        <v>43</v>
      </c>
      <c r="N315" s="2" t="s">
        <v>398</v>
      </c>
      <c r="O315" s="6" t="s">
        <v>2652</v>
      </c>
    </row>
    <row r="316" spans="1:15">
      <c r="A316" s="7" t="s">
        <v>1434</v>
      </c>
      <c r="B316" s="8" t="s">
        <v>400</v>
      </c>
      <c r="C316" s="8" t="s">
        <v>2653</v>
      </c>
      <c r="D316" s="8" t="s">
        <v>2654</v>
      </c>
      <c r="E316" s="8" t="s">
        <v>2655</v>
      </c>
      <c r="F316" s="8" t="s">
        <v>37</v>
      </c>
      <c r="G316" s="8">
        <v>136</v>
      </c>
      <c r="H316" s="8">
        <v>0</v>
      </c>
      <c r="I316" s="8">
        <v>2</v>
      </c>
      <c r="J316" s="8">
        <v>4</v>
      </c>
      <c r="K316" s="8" t="s">
        <v>2656</v>
      </c>
      <c r="L316" s="8" t="s">
        <v>1873</v>
      </c>
      <c r="M316" s="8">
        <v>43</v>
      </c>
      <c r="N316" s="8" t="s">
        <v>402</v>
      </c>
      <c r="O316" s="12" t="s">
        <v>2657</v>
      </c>
    </row>
    <row r="317" spans="1:15">
      <c r="A317" s="1" t="s">
        <v>1434</v>
      </c>
      <c r="B317" s="2" t="s">
        <v>404</v>
      </c>
      <c r="C317" s="2" t="s">
        <v>2658</v>
      </c>
      <c r="D317" s="2" t="s">
        <v>2659</v>
      </c>
      <c r="E317" s="2" t="s">
        <v>2660</v>
      </c>
      <c r="F317" s="2" t="s">
        <v>37</v>
      </c>
      <c r="G317" s="2">
        <v>139</v>
      </c>
      <c r="H317" s="2">
        <v>0</v>
      </c>
      <c r="I317" s="2">
        <v>1</v>
      </c>
      <c r="J317" s="2">
        <v>6</v>
      </c>
      <c r="K317" s="2" t="s">
        <v>1439</v>
      </c>
      <c r="L317" s="2" t="s">
        <v>1873</v>
      </c>
      <c r="M317" s="2">
        <v>43</v>
      </c>
      <c r="N317" s="2" t="s">
        <v>398</v>
      </c>
      <c r="O317" s="6" t="s">
        <v>2661</v>
      </c>
    </row>
    <row r="318" spans="1:15">
      <c r="A318" s="7" t="s">
        <v>1434</v>
      </c>
      <c r="B318" s="8" t="s">
        <v>407</v>
      </c>
      <c r="C318" s="8" t="s">
        <v>2662</v>
      </c>
      <c r="D318" s="8" t="s">
        <v>2663</v>
      </c>
      <c r="E318" s="8" t="s">
        <v>2664</v>
      </c>
      <c r="F318" s="8" t="s">
        <v>37</v>
      </c>
      <c r="G318" s="8">
        <v>271</v>
      </c>
      <c r="H318" s="8">
        <v>0</v>
      </c>
      <c r="I318" s="8">
        <v>2</v>
      </c>
      <c r="J318" s="8">
        <v>5</v>
      </c>
      <c r="K318" s="8" t="s">
        <v>2665</v>
      </c>
      <c r="L318" s="8" t="s">
        <v>1873</v>
      </c>
      <c r="M318" s="8">
        <v>43</v>
      </c>
      <c r="N318" s="8" t="s">
        <v>398</v>
      </c>
      <c r="O318" s="12" t="s">
        <v>2666</v>
      </c>
    </row>
    <row r="319" spans="1:15">
      <c r="A319" s="1" t="s">
        <v>1434</v>
      </c>
      <c r="B319" s="2" t="s">
        <v>410</v>
      </c>
      <c r="C319" s="2" t="s">
        <v>2667</v>
      </c>
      <c r="D319" s="2" t="s">
        <v>2668</v>
      </c>
      <c r="E319" s="2" t="s">
        <v>2669</v>
      </c>
      <c r="F319" s="2" t="s">
        <v>37</v>
      </c>
      <c r="G319" s="2">
        <v>275</v>
      </c>
      <c r="H319" s="2">
        <v>0</v>
      </c>
      <c r="I319" s="2">
        <v>2</v>
      </c>
      <c r="J319" s="2">
        <v>2</v>
      </c>
      <c r="K319" s="2" t="s">
        <v>2665</v>
      </c>
      <c r="L319" s="2" t="s">
        <v>1873</v>
      </c>
      <c r="M319" s="2">
        <v>43</v>
      </c>
      <c r="N319" s="2" t="s">
        <v>398</v>
      </c>
      <c r="O319" s="6" t="s">
        <v>2670</v>
      </c>
    </row>
    <row r="320" spans="1:15">
      <c r="A320" s="1" t="s">
        <v>1434</v>
      </c>
      <c r="B320" s="2" t="s">
        <v>2671</v>
      </c>
      <c r="C320" s="2" t="s">
        <v>2672</v>
      </c>
      <c r="D320" s="2" t="s">
        <v>2673</v>
      </c>
      <c r="E320" s="2" t="s">
        <v>2674</v>
      </c>
      <c r="F320" s="2" t="s">
        <v>388</v>
      </c>
      <c r="G320" s="2">
        <v>3</v>
      </c>
      <c r="H320" s="2">
        <v>3</v>
      </c>
      <c r="I320" s="2">
        <v>0</v>
      </c>
      <c r="J320" s="2">
        <v>0</v>
      </c>
      <c r="K320" s="2" t="s">
        <v>1439</v>
      </c>
      <c r="L320" s="2" t="s">
        <v>1873</v>
      </c>
      <c r="M320" s="2">
        <v>43</v>
      </c>
      <c r="N320" s="2"/>
      <c r="O320" s="6"/>
    </row>
    <row r="321" spans="1:15">
      <c r="A321" s="7" t="s">
        <v>1434</v>
      </c>
      <c r="B321" s="8" t="s">
        <v>418</v>
      </c>
      <c r="C321" s="8" t="s">
        <v>2675</v>
      </c>
      <c r="D321" s="8" t="s">
        <v>2676</v>
      </c>
      <c r="E321" s="8" t="s">
        <v>2677</v>
      </c>
      <c r="F321" s="8" t="s">
        <v>37</v>
      </c>
      <c r="G321" s="8">
        <v>140</v>
      </c>
      <c r="H321" s="8">
        <v>7</v>
      </c>
      <c r="I321" s="8">
        <v>1</v>
      </c>
      <c r="J321" s="8">
        <v>132</v>
      </c>
      <c r="K321" s="8" t="s">
        <v>1439</v>
      </c>
      <c r="L321" s="8" t="s">
        <v>1873</v>
      </c>
      <c r="M321" s="8">
        <v>43</v>
      </c>
      <c r="N321" s="8" t="s">
        <v>419</v>
      </c>
      <c r="O321" s="12" t="s">
        <v>2678</v>
      </c>
    </row>
    <row r="322" spans="1:15">
      <c r="A322" s="1" t="s">
        <v>1445</v>
      </c>
      <c r="B322" s="2" t="s">
        <v>421</v>
      </c>
      <c r="C322" s="2" t="s">
        <v>2679</v>
      </c>
      <c r="D322" s="2" t="s">
        <v>2680</v>
      </c>
      <c r="E322" s="2" t="s">
        <v>2681</v>
      </c>
      <c r="F322" s="2" t="s">
        <v>37</v>
      </c>
      <c r="G322" s="2">
        <v>215</v>
      </c>
      <c r="H322" s="2">
        <v>110</v>
      </c>
      <c r="I322" s="2">
        <v>2</v>
      </c>
      <c r="J322" s="2">
        <v>103</v>
      </c>
      <c r="K322" s="2" t="s">
        <v>2682</v>
      </c>
      <c r="L322" s="2" t="s">
        <v>1893</v>
      </c>
      <c r="M322" s="2">
        <v>43</v>
      </c>
      <c r="N322" s="2" t="s">
        <v>416</v>
      </c>
      <c r="O322" s="6" t="s">
        <v>2683</v>
      </c>
    </row>
    <row r="323" spans="1:15">
      <c r="A323" s="7" t="s">
        <v>1445</v>
      </c>
      <c r="B323" s="8" t="s">
        <v>428</v>
      </c>
      <c r="C323" s="8" t="s">
        <v>2684</v>
      </c>
      <c r="D323" s="8" t="s">
        <v>2685</v>
      </c>
      <c r="E323" s="8" t="s">
        <v>2686</v>
      </c>
      <c r="F323" s="8" t="s">
        <v>37</v>
      </c>
      <c r="G323" s="8">
        <v>133</v>
      </c>
      <c r="H323" s="8">
        <v>65</v>
      </c>
      <c r="I323" s="8">
        <v>1</v>
      </c>
      <c r="J323" s="8">
        <v>67</v>
      </c>
      <c r="K323" s="8" t="s">
        <v>1439</v>
      </c>
      <c r="L323" s="8" t="s">
        <v>1873</v>
      </c>
      <c r="M323" s="8">
        <v>43</v>
      </c>
      <c r="N323" s="8" t="s">
        <v>429</v>
      </c>
      <c r="O323" s="12" t="s">
        <v>428</v>
      </c>
    </row>
    <row r="324" spans="1:15">
      <c r="A324" s="7" t="s">
        <v>1434</v>
      </c>
      <c r="B324" s="8" t="s">
        <v>425</v>
      </c>
      <c r="C324" s="8" t="s">
        <v>2687</v>
      </c>
      <c r="D324" s="8" t="s">
        <v>2688</v>
      </c>
      <c r="E324" s="8" t="s">
        <v>2689</v>
      </c>
      <c r="F324" s="8" t="s">
        <v>22</v>
      </c>
      <c r="G324" s="8">
        <v>82</v>
      </c>
      <c r="H324" s="8">
        <v>3</v>
      </c>
      <c r="I324" s="8">
        <v>1</v>
      </c>
      <c r="J324" s="8">
        <v>77</v>
      </c>
      <c r="K324" s="8" t="s">
        <v>2690</v>
      </c>
      <c r="L324" s="8" t="s">
        <v>1873</v>
      </c>
      <c r="M324" s="8">
        <v>43</v>
      </c>
      <c r="N324" s="8"/>
      <c r="O324" s="12" t="s">
        <v>425</v>
      </c>
    </row>
    <row r="325" spans="1:15">
      <c r="A325" s="1" t="s">
        <v>1434</v>
      </c>
      <c r="B325" s="2" t="s">
        <v>2691</v>
      </c>
      <c r="C325" s="2" t="s">
        <v>2692</v>
      </c>
      <c r="D325" s="2" t="s">
        <v>2693</v>
      </c>
      <c r="E325" s="2" t="s">
        <v>2694</v>
      </c>
      <c r="F325" s="2" t="s">
        <v>22</v>
      </c>
      <c r="G325" s="2">
        <v>80</v>
      </c>
      <c r="H325" s="2">
        <v>1</v>
      </c>
      <c r="I325" s="2">
        <v>0</v>
      </c>
      <c r="J325" s="2">
        <v>78</v>
      </c>
      <c r="K325" s="2" t="s">
        <v>1439</v>
      </c>
      <c r="L325" s="2" t="s">
        <v>1873</v>
      </c>
      <c r="M325" s="2">
        <v>43</v>
      </c>
      <c r="N325" s="2"/>
      <c r="O325" s="6"/>
    </row>
    <row r="326" spans="1:15">
      <c r="A326" s="1" t="s">
        <v>1434</v>
      </c>
      <c r="B326" s="2" t="s">
        <v>2695</v>
      </c>
      <c r="C326" s="2" t="s">
        <v>2696</v>
      </c>
      <c r="D326" s="2" t="s">
        <v>2697</v>
      </c>
      <c r="E326" s="2" t="s">
        <v>2698</v>
      </c>
      <c r="F326" s="2" t="s">
        <v>22</v>
      </c>
      <c r="G326" s="2">
        <v>5</v>
      </c>
      <c r="H326" s="2">
        <v>0</v>
      </c>
      <c r="I326" s="2">
        <v>0</v>
      </c>
      <c r="J326" s="2">
        <v>4</v>
      </c>
      <c r="K326" s="2" t="s">
        <v>1439</v>
      </c>
      <c r="L326" s="2" t="s">
        <v>1873</v>
      </c>
      <c r="M326" s="2">
        <v>43</v>
      </c>
      <c r="N326" s="2"/>
      <c r="O326" s="6"/>
    </row>
    <row r="327" spans="1:15">
      <c r="A327" s="7" t="s">
        <v>1434</v>
      </c>
      <c r="B327" s="8" t="s">
        <v>2699</v>
      </c>
      <c r="C327" s="8" t="s">
        <v>2700</v>
      </c>
      <c r="D327" s="8" t="s">
        <v>2701</v>
      </c>
      <c r="E327" s="8" t="s">
        <v>2702</v>
      </c>
      <c r="F327" s="8" t="s">
        <v>388</v>
      </c>
      <c r="G327" s="8">
        <v>4</v>
      </c>
      <c r="H327" s="8">
        <v>4</v>
      </c>
      <c r="I327" s="8">
        <v>0</v>
      </c>
      <c r="J327" s="8">
        <v>0</v>
      </c>
      <c r="K327" s="8" t="s">
        <v>1439</v>
      </c>
      <c r="L327" s="8" t="s">
        <v>1873</v>
      </c>
      <c r="M327" s="8">
        <v>43</v>
      </c>
      <c r="N327" s="8"/>
      <c r="O327" s="12"/>
    </row>
    <row r="328" spans="1:15">
      <c r="A328" s="1" t="s">
        <v>1434</v>
      </c>
      <c r="B328" s="2" t="s">
        <v>2703</v>
      </c>
      <c r="C328" s="2" t="s">
        <v>2704</v>
      </c>
      <c r="D328" s="2" t="s">
        <v>2705</v>
      </c>
      <c r="E328" s="2" t="s">
        <v>2706</v>
      </c>
      <c r="F328" s="2" t="s">
        <v>388</v>
      </c>
      <c r="G328" s="2">
        <v>54</v>
      </c>
      <c r="H328" s="2">
        <v>54</v>
      </c>
      <c r="I328" s="2">
        <v>0</v>
      </c>
      <c r="J328" s="2">
        <v>0</v>
      </c>
      <c r="K328" s="2" t="s">
        <v>1439</v>
      </c>
      <c r="L328" s="2" t="s">
        <v>1893</v>
      </c>
      <c r="M328" s="2">
        <v>43</v>
      </c>
      <c r="N328" s="2"/>
      <c r="O328" s="6"/>
    </row>
    <row r="329" spans="1:15">
      <c r="A329" s="1" t="s">
        <v>1445</v>
      </c>
      <c r="B329" s="15" t="s">
        <v>2707</v>
      </c>
      <c r="C329" s="2" t="s">
        <v>2708</v>
      </c>
      <c r="D329" s="2" t="s">
        <v>2709</v>
      </c>
      <c r="E329" s="2" t="s">
        <v>2710</v>
      </c>
      <c r="F329" s="2" t="s">
        <v>37</v>
      </c>
      <c r="G329" s="2">
        <v>84</v>
      </c>
      <c r="H329" s="2">
        <v>23</v>
      </c>
      <c r="I329" s="2">
        <v>1</v>
      </c>
      <c r="J329" s="2">
        <v>60</v>
      </c>
      <c r="K329" s="2" t="s">
        <v>1439</v>
      </c>
      <c r="L329" s="2" t="s">
        <v>1873</v>
      </c>
      <c r="M329" s="2">
        <v>43</v>
      </c>
      <c r="N329" s="2" t="s">
        <v>2711</v>
      </c>
      <c r="O329" s="6"/>
    </row>
    <row r="330" spans="1:15">
      <c r="A330" s="7" t="s">
        <v>273</v>
      </c>
      <c r="B330" s="8" t="s">
        <v>1337</v>
      </c>
      <c r="C330" s="8" t="s">
        <v>2712</v>
      </c>
      <c r="D330" s="8" t="s">
        <v>2713</v>
      </c>
      <c r="E330" s="8" t="s">
        <v>2714</v>
      </c>
      <c r="F330" s="8" t="s">
        <v>37</v>
      </c>
      <c r="G330" s="8">
        <v>100</v>
      </c>
      <c r="H330" s="8">
        <v>18</v>
      </c>
      <c r="I330" s="8">
        <v>1</v>
      </c>
      <c r="J330" s="8">
        <v>81</v>
      </c>
      <c r="K330" s="8" t="s">
        <v>1439</v>
      </c>
      <c r="L330" s="8" t="s">
        <v>2166</v>
      </c>
      <c r="M330" s="8">
        <v>48</v>
      </c>
      <c r="N330" s="8" t="s">
        <v>2715</v>
      </c>
      <c r="O330" s="12"/>
    </row>
    <row r="331" spans="1:15">
      <c r="A331" s="7" t="s">
        <v>273</v>
      </c>
      <c r="B331" s="8" t="s">
        <v>2716</v>
      </c>
      <c r="C331" s="8" t="s">
        <v>2717</v>
      </c>
      <c r="D331" s="8" t="s">
        <v>2718</v>
      </c>
      <c r="E331" s="8" t="s">
        <v>2719</v>
      </c>
      <c r="F331" s="8" t="s">
        <v>22</v>
      </c>
      <c r="G331" s="8">
        <v>2</v>
      </c>
      <c r="H331" s="8">
        <v>1</v>
      </c>
      <c r="I331" s="8">
        <v>0</v>
      </c>
      <c r="J331" s="8">
        <v>0</v>
      </c>
      <c r="K331" s="8" t="s">
        <v>1439</v>
      </c>
      <c r="L331" s="8" t="s">
        <v>2171</v>
      </c>
      <c r="M331" s="8">
        <v>47</v>
      </c>
      <c r="N331" s="8"/>
      <c r="O331" s="12"/>
    </row>
    <row r="332" spans="1:15">
      <c r="A332" s="1" t="s">
        <v>273</v>
      </c>
      <c r="B332" s="2" t="s">
        <v>2720</v>
      </c>
      <c r="C332" s="2" t="s">
        <v>2721</v>
      </c>
      <c r="D332" s="2" t="s">
        <v>2722</v>
      </c>
      <c r="E332" s="2" t="s">
        <v>2723</v>
      </c>
      <c r="F332" s="2" t="s">
        <v>22</v>
      </c>
      <c r="G332" s="2">
        <v>1</v>
      </c>
      <c r="H332" s="2">
        <v>0</v>
      </c>
      <c r="I332" s="2">
        <v>0</v>
      </c>
      <c r="J332" s="2">
        <v>0</v>
      </c>
      <c r="K332" s="2" t="s">
        <v>1439</v>
      </c>
      <c r="L332" s="2" t="s">
        <v>2171</v>
      </c>
      <c r="M332" s="2">
        <v>47</v>
      </c>
      <c r="N332" s="2"/>
      <c r="O332" s="6"/>
    </row>
    <row r="333" spans="1:15">
      <c r="A333" s="7" t="s">
        <v>273</v>
      </c>
      <c r="B333" s="8" t="s">
        <v>2724</v>
      </c>
      <c r="C333" s="8" t="s">
        <v>2725</v>
      </c>
      <c r="D333" s="8" t="s">
        <v>2726</v>
      </c>
      <c r="E333" s="8" t="s">
        <v>2727</v>
      </c>
      <c r="F333" s="8" t="s">
        <v>22</v>
      </c>
      <c r="G333" s="8">
        <v>1</v>
      </c>
      <c r="H333" s="8">
        <v>0</v>
      </c>
      <c r="I333" s="8">
        <v>0</v>
      </c>
      <c r="J333" s="8">
        <v>0</v>
      </c>
      <c r="K333" s="8" t="s">
        <v>1439</v>
      </c>
      <c r="L333" s="8" t="s">
        <v>2171</v>
      </c>
      <c r="M333" s="8">
        <v>47</v>
      </c>
      <c r="N333" s="8"/>
      <c r="O333" s="12"/>
    </row>
    <row r="334" spans="1:15">
      <c r="A334" s="7" t="s">
        <v>356</v>
      </c>
      <c r="B334" s="8" t="s">
        <v>2728</v>
      </c>
      <c r="C334" s="8" t="s">
        <v>2729</v>
      </c>
      <c r="D334" s="8" t="s">
        <v>2730</v>
      </c>
      <c r="E334" s="8" t="s">
        <v>2731</v>
      </c>
      <c r="F334" s="8" t="s">
        <v>388</v>
      </c>
      <c r="G334" s="8">
        <v>2</v>
      </c>
      <c r="H334" s="8">
        <v>2</v>
      </c>
      <c r="I334" s="8">
        <v>0</v>
      </c>
      <c r="J334" s="8">
        <v>0</v>
      </c>
      <c r="K334" s="8" t="s">
        <v>1439</v>
      </c>
      <c r="L334" s="8" t="s">
        <v>2166</v>
      </c>
      <c r="M334" s="8">
        <v>47</v>
      </c>
      <c r="N334" s="8"/>
      <c r="O334" s="12"/>
    </row>
    <row r="335" spans="1:15">
      <c r="A335" s="1" t="s">
        <v>273</v>
      </c>
      <c r="B335" s="2" t="s">
        <v>2732</v>
      </c>
      <c r="C335" s="2" t="s">
        <v>2733</v>
      </c>
      <c r="D335" s="2" t="s">
        <v>2734</v>
      </c>
      <c r="E335" s="2" t="s">
        <v>2735</v>
      </c>
      <c r="F335" s="2" t="s">
        <v>22</v>
      </c>
      <c r="G335" s="2">
        <v>2</v>
      </c>
      <c r="H335" s="2">
        <v>0</v>
      </c>
      <c r="I335" s="2">
        <v>0</v>
      </c>
      <c r="J335" s="2">
        <v>1</v>
      </c>
      <c r="K335" s="2" t="s">
        <v>1439</v>
      </c>
      <c r="L335" s="2" t="s">
        <v>2171</v>
      </c>
      <c r="M335" s="2">
        <v>47</v>
      </c>
      <c r="N335" s="2"/>
      <c r="O335" s="6"/>
    </row>
    <row r="336" spans="1:15">
      <c r="A336" s="1" t="s">
        <v>273</v>
      </c>
      <c r="B336" s="2" t="s">
        <v>2736</v>
      </c>
      <c r="C336" s="2" t="s">
        <v>2737</v>
      </c>
      <c r="D336" s="2" t="s">
        <v>2738</v>
      </c>
      <c r="E336" s="2" t="s">
        <v>2739</v>
      </c>
      <c r="F336" s="2" t="s">
        <v>37</v>
      </c>
      <c r="G336" s="2">
        <v>2</v>
      </c>
      <c r="H336" s="2">
        <v>0</v>
      </c>
      <c r="I336" s="2">
        <v>1</v>
      </c>
      <c r="J336" s="2">
        <v>1</v>
      </c>
      <c r="K336" s="2" t="s">
        <v>1439</v>
      </c>
      <c r="L336" s="2" t="s">
        <v>2171</v>
      </c>
      <c r="M336" s="2">
        <v>47</v>
      </c>
      <c r="N336" s="2" t="s">
        <v>2740</v>
      </c>
      <c r="O336" s="6"/>
    </row>
    <row r="337" spans="1:15">
      <c r="A337" s="7" t="s">
        <v>273</v>
      </c>
      <c r="B337" s="8" t="s">
        <v>2741</v>
      </c>
      <c r="C337" s="8" t="s">
        <v>2742</v>
      </c>
      <c r="D337" s="8" t="s">
        <v>2743</v>
      </c>
      <c r="E337" s="8" t="s">
        <v>2744</v>
      </c>
      <c r="F337" s="8" t="s">
        <v>22</v>
      </c>
      <c r="G337" s="8">
        <v>2</v>
      </c>
      <c r="H337" s="8">
        <v>0</v>
      </c>
      <c r="I337" s="8">
        <v>0</v>
      </c>
      <c r="J337" s="8">
        <v>1</v>
      </c>
      <c r="K337" s="8" t="s">
        <v>1439</v>
      </c>
      <c r="L337" s="8" t="s">
        <v>2171</v>
      </c>
      <c r="M337" s="8">
        <v>47</v>
      </c>
      <c r="N337" s="8"/>
      <c r="O337" s="12"/>
    </row>
    <row r="338" spans="1:15">
      <c r="A338" s="1" t="s">
        <v>356</v>
      </c>
      <c r="B338" s="2" t="s">
        <v>2745</v>
      </c>
      <c r="C338" s="2" t="s">
        <v>2746</v>
      </c>
      <c r="D338" s="2" t="s">
        <v>2747</v>
      </c>
      <c r="E338" s="2" t="s">
        <v>2748</v>
      </c>
      <c r="F338" s="2" t="s">
        <v>388</v>
      </c>
      <c r="G338" s="2">
        <v>2</v>
      </c>
      <c r="H338" s="2">
        <v>2</v>
      </c>
      <c r="I338" s="2">
        <v>0</v>
      </c>
      <c r="J338" s="2">
        <v>0</v>
      </c>
      <c r="K338" s="2" t="s">
        <v>1439</v>
      </c>
      <c r="L338" s="2" t="s">
        <v>2166</v>
      </c>
      <c r="M338" s="2">
        <v>47</v>
      </c>
      <c r="N338" s="2"/>
      <c r="O338" s="6"/>
    </row>
    <row r="339" spans="1:15">
      <c r="A339" s="7" t="s">
        <v>356</v>
      </c>
      <c r="B339" s="8" t="s">
        <v>2749</v>
      </c>
      <c r="C339" s="8" t="s">
        <v>2750</v>
      </c>
      <c r="D339" s="8" t="s">
        <v>2751</v>
      </c>
      <c r="E339" s="8" t="s">
        <v>2752</v>
      </c>
      <c r="F339" s="8" t="s">
        <v>22</v>
      </c>
      <c r="G339" s="8">
        <v>101</v>
      </c>
      <c r="H339" s="8">
        <v>0</v>
      </c>
      <c r="I339" s="8">
        <v>0</v>
      </c>
      <c r="J339" s="8">
        <v>100</v>
      </c>
      <c r="K339" s="8" t="s">
        <v>1439</v>
      </c>
      <c r="L339" s="8" t="s">
        <v>2166</v>
      </c>
      <c r="M339" s="8">
        <v>48</v>
      </c>
      <c r="N339" s="8"/>
      <c r="O339" s="12"/>
    </row>
    <row r="340" spans="1:15">
      <c r="A340" s="7" t="s">
        <v>1434</v>
      </c>
      <c r="B340" s="8" t="s">
        <v>434</v>
      </c>
      <c r="C340" s="8" t="s">
        <v>2753</v>
      </c>
      <c r="D340" s="8" t="s">
        <v>2754</v>
      </c>
      <c r="E340" s="8" t="s">
        <v>2755</v>
      </c>
      <c r="F340" s="8" t="s">
        <v>37</v>
      </c>
      <c r="G340" s="8">
        <v>82</v>
      </c>
      <c r="H340" s="8">
        <v>35</v>
      </c>
      <c r="I340" s="8">
        <v>1</v>
      </c>
      <c r="J340" s="8">
        <v>46</v>
      </c>
      <c r="K340" s="8" t="s">
        <v>1439</v>
      </c>
      <c r="L340" s="8" t="s">
        <v>1893</v>
      </c>
      <c r="M340" s="8">
        <v>43</v>
      </c>
      <c r="N340" s="8" t="s">
        <v>435</v>
      </c>
      <c r="O340" s="12" t="s">
        <v>434</v>
      </c>
    </row>
    <row r="341" spans="1:15">
      <c r="A341" s="1" t="s">
        <v>1445</v>
      </c>
      <c r="B341" s="2" t="s">
        <v>431</v>
      </c>
      <c r="C341" s="2" t="s">
        <v>2756</v>
      </c>
      <c r="D341" s="2" t="s">
        <v>2757</v>
      </c>
      <c r="E341" s="2" t="s">
        <v>2758</v>
      </c>
      <c r="F341" s="2" t="s">
        <v>37</v>
      </c>
      <c r="G341" s="2">
        <v>139</v>
      </c>
      <c r="H341" s="2">
        <v>5</v>
      </c>
      <c r="I341" s="2">
        <v>1</v>
      </c>
      <c r="J341" s="2">
        <v>133</v>
      </c>
      <c r="K341" s="2" t="s">
        <v>1439</v>
      </c>
      <c r="L341" s="2" t="s">
        <v>1873</v>
      </c>
      <c r="M341" s="2">
        <v>43</v>
      </c>
      <c r="N341" s="2" t="s">
        <v>432</v>
      </c>
      <c r="O341" s="6" t="s">
        <v>431</v>
      </c>
    </row>
    <row r="342" spans="1:15">
      <c r="A342" s="1" t="s">
        <v>356</v>
      </c>
      <c r="B342" s="2" t="s">
        <v>437</v>
      </c>
      <c r="C342" s="2" t="s">
        <v>2759</v>
      </c>
      <c r="D342" s="2" t="s">
        <v>2760</v>
      </c>
      <c r="E342" s="2" t="s">
        <v>2761</v>
      </c>
      <c r="F342" s="2" t="s">
        <v>37</v>
      </c>
      <c r="G342" s="2">
        <v>102</v>
      </c>
      <c r="H342" s="2">
        <v>60</v>
      </c>
      <c r="I342" s="2">
        <v>1</v>
      </c>
      <c r="J342" s="2">
        <v>41</v>
      </c>
      <c r="K342" s="2" t="s">
        <v>1439</v>
      </c>
      <c r="L342" s="2" t="s">
        <v>2171</v>
      </c>
      <c r="M342" s="2">
        <v>48</v>
      </c>
      <c r="N342" s="2" t="s">
        <v>438</v>
      </c>
      <c r="O342" s="6" t="s">
        <v>437</v>
      </c>
    </row>
    <row r="343" spans="1:15">
      <c r="A343" s="7" t="s">
        <v>356</v>
      </c>
      <c r="B343" s="8" t="s">
        <v>1354</v>
      </c>
      <c r="C343" s="8" t="s">
        <v>2762</v>
      </c>
      <c r="D343" s="8" t="s">
        <v>2763</v>
      </c>
      <c r="E343" s="8" t="s">
        <v>2764</v>
      </c>
      <c r="F343" s="8" t="s">
        <v>37</v>
      </c>
      <c r="G343" s="8">
        <v>102</v>
      </c>
      <c r="H343" s="8">
        <v>0</v>
      </c>
      <c r="I343" s="8">
        <v>2</v>
      </c>
      <c r="J343" s="8">
        <v>100</v>
      </c>
      <c r="K343" s="8" t="s">
        <v>2765</v>
      </c>
      <c r="L343" s="8" t="s">
        <v>2171</v>
      </c>
      <c r="M343" s="8">
        <v>48</v>
      </c>
      <c r="N343" s="8" t="s">
        <v>2766</v>
      </c>
      <c r="O343" s="12"/>
    </row>
    <row r="344" spans="1:15">
      <c r="A344" s="7" t="s">
        <v>356</v>
      </c>
      <c r="B344" s="8" t="s">
        <v>441</v>
      </c>
      <c r="C344" s="8" t="s">
        <v>2767</v>
      </c>
      <c r="D344" s="8" t="s">
        <v>2768</v>
      </c>
      <c r="E344" s="8" t="s">
        <v>2769</v>
      </c>
      <c r="F344" s="8" t="s">
        <v>37</v>
      </c>
      <c r="G344" s="8">
        <v>101</v>
      </c>
      <c r="H344" s="8">
        <v>61</v>
      </c>
      <c r="I344" s="8">
        <v>1</v>
      </c>
      <c r="J344" s="8">
        <v>39</v>
      </c>
      <c r="K344" s="8" t="s">
        <v>1439</v>
      </c>
      <c r="L344" s="8" t="s">
        <v>2171</v>
      </c>
      <c r="M344" s="8">
        <v>48</v>
      </c>
      <c r="N344" s="8" t="s">
        <v>442</v>
      </c>
      <c r="O344" s="12" t="s">
        <v>441</v>
      </c>
    </row>
    <row r="345" spans="1:15">
      <c r="A345" s="1" t="s">
        <v>1434</v>
      </c>
      <c r="B345" s="2" t="s">
        <v>2770</v>
      </c>
      <c r="C345" s="2" t="s">
        <v>2771</v>
      </c>
      <c r="D345" s="2" t="s">
        <v>2772</v>
      </c>
      <c r="E345" s="2" t="s">
        <v>2773</v>
      </c>
      <c r="F345" s="2" t="s">
        <v>388</v>
      </c>
      <c r="G345" s="2">
        <v>4</v>
      </c>
      <c r="H345" s="2">
        <v>4</v>
      </c>
      <c r="I345" s="2">
        <v>0</v>
      </c>
      <c r="J345" s="2">
        <v>0</v>
      </c>
      <c r="K345" s="2" t="s">
        <v>1439</v>
      </c>
      <c r="L345" s="2" t="s">
        <v>1893</v>
      </c>
      <c r="M345" s="2">
        <v>43</v>
      </c>
      <c r="N345" s="2"/>
      <c r="O345" s="6"/>
    </row>
    <row r="346" spans="1:15">
      <c r="A346" s="1" t="s">
        <v>356</v>
      </c>
      <c r="B346" s="2" t="s">
        <v>2774</v>
      </c>
      <c r="C346" s="2" t="s">
        <v>2775</v>
      </c>
      <c r="D346" s="2" t="s">
        <v>2776</v>
      </c>
      <c r="E346" s="2" t="s">
        <v>2777</v>
      </c>
      <c r="F346" s="2" t="s">
        <v>388</v>
      </c>
      <c r="G346" s="2">
        <v>40</v>
      </c>
      <c r="H346" s="2">
        <v>40</v>
      </c>
      <c r="I346" s="2">
        <v>0</v>
      </c>
      <c r="J346" s="2">
        <v>0</v>
      </c>
      <c r="K346" s="2" t="s">
        <v>1439</v>
      </c>
      <c r="L346" s="2" t="s">
        <v>2171</v>
      </c>
      <c r="M346" s="2">
        <v>48</v>
      </c>
      <c r="N346" s="2"/>
      <c r="O346" s="6"/>
    </row>
    <row r="347" spans="1:15">
      <c r="A347" s="7" t="s">
        <v>356</v>
      </c>
      <c r="B347" s="8" t="s">
        <v>2778</v>
      </c>
      <c r="C347" s="8" t="s">
        <v>2779</v>
      </c>
      <c r="D347" s="8" t="s">
        <v>2780</v>
      </c>
      <c r="E347" s="8" t="s">
        <v>2781</v>
      </c>
      <c r="F347" s="8" t="s">
        <v>22</v>
      </c>
      <c r="G347" s="8">
        <v>101</v>
      </c>
      <c r="H347" s="8">
        <v>0</v>
      </c>
      <c r="I347" s="8">
        <v>0</v>
      </c>
      <c r="J347" s="8">
        <v>100</v>
      </c>
      <c r="K347" s="8" t="s">
        <v>1439</v>
      </c>
      <c r="L347" s="8" t="s">
        <v>2166</v>
      </c>
      <c r="M347" s="8">
        <v>48</v>
      </c>
      <c r="N347" s="8"/>
      <c r="O347" s="12"/>
    </row>
    <row r="348" spans="1:15">
      <c r="A348" s="1" t="s">
        <v>356</v>
      </c>
      <c r="B348" s="2" t="s">
        <v>2782</v>
      </c>
      <c r="C348" s="2" t="s">
        <v>2783</v>
      </c>
      <c r="D348" s="2" t="s">
        <v>2784</v>
      </c>
      <c r="E348" s="2" t="s">
        <v>2785</v>
      </c>
      <c r="F348" s="2" t="s">
        <v>388</v>
      </c>
      <c r="G348" s="2">
        <v>102</v>
      </c>
      <c r="H348" s="2">
        <v>102</v>
      </c>
      <c r="I348" s="2">
        <v>0</v>
      </c>
      <c r="J348" s="2">
        <v>0</v>
      </c>
      <c r="K348" s="2" t="s">
        <v>1439</v>
      </c>
      <c r="L348" s="2" t="s">
        <v>2171</v>
      </c>
      <c r="M348" s="2">
        <v>48</v>
      </c>
      <c r="N348" s="2"/>
      <c r="O348" s="6"/>
    </row>
    <row r="349" spans="1:15">
      <c r="A349" s="7" t="s">
        <v>1445</v>
      </c>
      <c r="B349" s="8" t="s">
        <v>2786</v>
      </c>
      <c r="C349" s="8" t="s">
        <v>2787</v>
      </c>
      <c r="D349" s="8" t="s">
        <v>2788</v>
      </c>
      <c r="E349" s="8" t="s">
        <v>2789</v>
      </c>
      <c r="F349" s="8" t="s">
        <v>388</v>
      </c>
      <c r="G349" s="8">
        <v>124</v>
      </c>
      <c r="H349" s="8">
        <v>124</v>
      </c>
      <c r="I349" s="8">
        <v>0</v>
      </c>
      <c r="J349" s="8">
        <v>0</v>
      </c>
      <c r="K349" s="8" t="s">
        <v>1439</v>
      </c>
      <c r="L349" s="8" t="s">
        <v>1873</v>
      </c>
      <c r="M349" s="8">
        <v>43</v>
      </c>
      <c r="N349" s="8"/>
      <c r="O349" s="12"/>
    </row>
    <row r="350" spans="1:15">
      <c r="A350" s="1" t="s">
        <v>356</v>
      </c>
      <c r="B350" s="2" t="s">
        <v>2790</v>
      </c>
      <c r="C350" s="2" t="s">
        <v>2791</v>
      </c>
      <c r="D350" s="2" t="s">
        <v>2792</v>
      </c>
      <c r="E350" s="2" t="s">
        <v>2793</v>
      </c>
      <c r="F350" s="2" t="s">
        <v>22</v>
      </c>
      <c r="G350" s="2">
        <v>101</v>
      </c>
      <c r="H350" s="2">
        <v>0</v>
      </c>
      <c r="I350" s="2">
        <v>0</v>
      </c>
      <c r="J350" s="2">
        <v>100</v>
      </c>
      <c r="K350" s="2" t="s">
        <v>1439</v>
      </c>
      <c r="L350" s="2" t="s">
        <v>2166</v>
      </c>
      <c r="M350" s="2">
        <v>48</v>
      </c>
      <c r="N350" s="2"/>
      <c r="O350" s="6"/>
    </row>
    <row r="351" spans="1:15">
      <c r="A351" s="1" t="s">
        <v>273</v>
      </c>
      <c r="B351" s="2" t="s">
        <v>2794</v>
      </c>
      <c r="C351" s="2" t="s">
        <v>2795</v>
      </c>
      <c r="D351" s="2" t="s">
        <v>2796</v>
      </c>
      <c r="E351" s="2" t="s">
        <v>2797</v>
      </c>
      <c r="F351" s="2" t="s">
        <v>388</v>
      </c>
      <c r="G351" s="2">
        <v>101</v>
      </c>
      <c r="H351" s="2">
        <v>101</v>
      </c>
      <c r="I351" s="2">
        <v>0</v>
      </c>
      <c r="J351" s="2">
        <v>0</v>
      </c>
      <c r="K351" s="2" t="s">
        <v>1439</v>
      </c>
      <c r="L351" s="2" t="s">
        <v>2166</v>
      </c>
      <c r="M351" s="2">
        <v>48</v>
      </c>
      <c r="N351" s="2"/>
      <c r="O351" s="6"/>
    </row>
    <row r="352" spans="1:15">
      <c r="A352" s="1" t="s">
        <v>356</v>
      </c>
      <c r="B352" s="2" t="s">
        <v>2798</v>
      </c>
      <c r="C352" s="2" t="s">
        <v>2799</v>
      </c>
      <c r="D352" s="2" t="s">
        <v>2800</v>
      </c>
      <c r="E352" s="2" t="s">
        <v>2801</v>
      </c>
      <c r="F352" s="2" t="s">
        <v>37</v>
      </c>
      <c r="G352" s="2">
        <v>101</v>
      </c>
      <c r="H352" s="2">
        <v>15</v>
      </c>
      <c r="I352" s="2">
        <v>1</v>
      </c>
      <c r="J352" s="2">
        <v>85</v>
      </c>
      <c r="K352" s="2" t="s">
        <v>1439</v>
      </c>
      <c r="L352" s="2" t="s">
        <v>2166</v>
      </c>
      <c r="M352" s="2">
        <v>48</v>
      </c>
      <c r="N352" s="2" t="s">
        <v>2802</v>
      </c>
      <c r="O352" s="6"/>
    </row>
    <row r="353" spans="1:15">
      <c r="A353" s="7" t="s">
        <v>1445</v>
      </c>
      <c r="B353" s="8" t="s">
        <v>444</v>
      </c>
      <c r="C353" s="8" t="s">
        <v>2803</v>
      </c>
      <c r="D353" s="8" t="s">
        <v>2804</v>
      </c>
      <c r="E353" s="8" t="s">
        <v>2805</v>
      </c>
      <c r="F353" s="8" t="s">
        <v>37</v>
      </c>
      <c r="G353" s="8">
        <v>35</v>
      </c>
      <c r="H353" s="8">
        <v>17</v>
      </c>
      <c r="I353" s="8">
        <v>1</v>
      </c>
      <c r="J353" s="8">
        <v>17</v>
      </c>
      <c r="K353" s="8" t="s">
        <v>1439</v>
      </c>
      <c r="L353" s="8" t="s">
        <v>1893</v>
      </c>
      <c r="M353" s="8">
        <v>43</v>
      </c>
      <c r="N353" s="8" t="s">
        <v>445</v>
      </c>
      <c r="O353" s="12" t="s">
        <v>444</v>
      </c>
    </row>
    <row r="354" spans="1:15">
      <c r="A354" s="7" t="s">
        <v>1434</v>
      </c>
      <c r="B354" s="8" t="s">
        <v>447</v>
      </c>
      <c r="C354" s="8" t="s">
        <v>2806</v>
      </c>
      <c r="D354" s="8" t="s">
        <v>2807</v>
      </c>
      <c r="E354" s="8" t="s">
        <v>2808</v>
      </c>
      <c r="F354" s="8" t="s">
        <v>37</v>
      </c>
      <c r="G354" s="8">
        <v>61</v>
      </c>
      <c r="H354" s="8">
        <v>21</v>
      </c>
      <c r="I354" s="8">
        <v>1</v>
      </c>
      <c r="J354" s="8">
        <v>39</v>
      </c>
      <c r="K354" s="8" t="s">
        <v>1439</v>
      </c>
      <c r="L354" s="8" t="s">
        <v>1893</v>
      </c>
      <c r="M354" s="8">
        <v>43</v>
      </c>
      <c r="N354" s="8" t="s">
        <v>448</v>
      </c>
      <c r="O354" s="12"/>
    </row>
    <row r="355" spans="1:15">
      <c r="A355" s="1" t="s">
        <v>1434</v>
      </c>
      <c r="B355" s="2" t="s">
        <v>450</v>
      </c>
      <c r="C355" s="2" t="s">
        <v>2809</v>
      </c>
      <c r="D355" s="2" t="s">
        <v>2810</v>
      </c>
      <c r="E355" s="2" t="s">
        <v>2811</v>
      </c>
      <c r="F355" s="2" t="s">
        <v>37</v>
      </c>
      <c r="G355" s="2">
        <v>61</v>
      </c>
      <c r="H355" s="2">
        <v>31</v>
      </c>
      <c r="I355" s="2">
        <v>2</v>
      </c>
      <c r="J355" s="2">
        <v>28</v>
      </c>
      <c r="K355" s="2" t="s">
        <v>2812</v>
      </c>
      <c r="L355" s="2" t="s">
        <v>1893</v>
      </c>
      <c r="M355" s="2">
        <v>43</v>
      </c>
      <c r="N355" s="2" t="s">
        <v>452</v>
      </c>
      <c r="O355" s="6"/>
    </row>
    <row r="356" spans="1:15">
      <c r="A356" s="7" t="s">
        <v>1445</v>
      </c>
      <c r="B356" s="8" t="s">
        <v>457</v>
      </c>
      <c r="C356" s="8" t="s">
        <v>2813</v>
      </c>
      <c r="D356" s="8" t="s">
        <v>2814</v>
      </c>
      <c r="E356" s="8" t="s">
        <v>2815</v>
      </c>
      <c r="F356" s="8" t="s">
        <v>37</v>
      </c>
      <c r="G356" s="8">
        <v>137</v>
      </c>
      <c r="H356" s="8">
        <v>33</v>
      </c>
      <c r="I356" s="8">
        <v>1</v>
      </c>
      <c r="J356" s="8">
        <v>103</v>
      </c>
      <c r="K356" s="8" t="s">
        <v>1439</v>
      </c>
      <c r="L356" s="8" t="s">
        <v>1893</v>
      </c>
      <c r="M356" s="8">
        <v>43</v>
      </c>
      <c r="N356" s="8" t="s">
        <v>416</v>
      </c>
      <c r="O356" s="12"/>
    </row>
    <row r="357" spans="1:15">
      <c r="A357" s="7" t="s">
        <v>1434</v>
      </c>
      <c r="B357" s="8" t="s">
        <v>2816</v>
      </c>
      <c r="C357" s="8" t="s">
        <v>2817</v>
      </c>
      <c r="D357" s="8" t="s">
        <v>2818</v>
      </c>
      <c r="E357" s="8" t="s">
        <v>2819</v>
      </c>
      <c r="F357" s="8" t="s">
        <v>37</v>
      </c>
      <c r="G357" s="8">
        <v>136</v>
      </c>
      <c r="H357" s="8">
        <v>0</v>
      </c>
      <c r="I357" s="8">
        <v>1</v>
      </c>
      <c r="J357" s="8">
        <v>135</v>
      </c>
      <c r="K357" s="8" t="s">
        <v>1439</v>
      </c>
      <c r="L357" s="8" t="s">
        <v>1893</v>
      </c>
      <c r="M357" s="8">
        <v>43</v>
      </c>
      <c r="N357" s="8" t="s">
        <v>263</v>
      </c>
      <c r="O357" s="12"/>
    </row>
    <row r="358" spans="1:15">
      <c r="A358" s="1" t="s">
        <v>356</v>
      </c>
      <c r="B358" s="2" t="s">
        <v>2820</v>
      </c>
      <c r="C358" s="2" t="s">
        <v>2821</v>
      </c>
      <c r="D358" s="2" t="s">
        <v>2822</v>
      </c>
      <c r="E358" s="2" t="s">
        <v>2823</v>
      </c>
      <c r="F358" s="2" t="s">
        <v>22</v>
      </c>
      <c r="G358" s="2">
        <v>102</v>
      </c>
      <c r="H358" s="2">
        <v>0</v>
      </c>
      <c r="I358" s="2">
        <v>0</v>
      </c>
      <c r="J358" s="2">
        <v>101</v>
      </c>
      <c r="K358" s="2" t="s">
        <v>1439</v>
      </c>
      <c r="L358" s="2" t="s">
        <v>2171</v>
      </c>
      <c r="M358" s="2">
        <v>48</v>
      </c>
      <c r="N358" s="2"/>
      <c r="O358" s="6"/>
    </row>
    <row r="359" spans="1:15">
      <c r="A359" s="7" t="s">
        <v>1434</v>
      </c>
      <c r="B359" s="8" t="s">
        <v>2824</v>
      </c>
      <c r="C359" s="8" t="s">
        <v>2825</v>
      </c>
      <c r="D359" s="8" t="s">
        <v>2826</v>
      </c>
      <c r="E359" s="8" t="s">
        <v>2827</v>
      </c>
      <c r="F359" s="8" t="s">
        <v>388</v>
      </c>
      <c r="G359" s="8">
        <v>173</v>
      </c>
      <c r="H359" s="8">
        <v>166</v>
      </c>
      <c r="I359" s="8">
        <v>1</v>
      </c>
      <c r="J359" s="8">
        <v>0</v>
      </c>
      <c r="K359" s="8" t="s">
        <v>2828</v>
      </c>
      <c r="L359" s="8" t="s">
        <v>1893</v>
      </c>
      <c r="M359" s="8">
        <v>43</v>
      </c>
      <c r="N359" s="8"/>
      <c r="O359" s="12"/>
    </row>
    <row r="360" spans="1:15">
      <c r="A360" s="7" t="s">
        <v>356</v>
      </c>
      <c r="B360" s="8" t="s">
        <v>454</v>
      </c>
      <c r="C360" s="8" t="s">
        <v>2829</v>
      </c>
      <c r="D360" s="8" t="s">
        <v>2830</v>
      </c>
      <c r="E360" s="8" t="s">
        <v>2831</v>
      </c>
      <c r="F360" s="8" t="s">
        <v>37</v>
      </c>
      <c r="G360" s="8">
        <v>101</v>
      </c>
      <c r="H360" s="8">
        <v>10</v>
      </c>
      <c r="I360" s="8">
        <v>1</v>
      </c>
      <c r="J360" s="8">
        <v>90</v>
      </c>
      <c r="K360" s="8" t="s">
        <v>1439</v>
      </c>
      <c r="L360" s="8" t="s">
        <v>2166</v>
      </c>
      <c r="M360" s="8">
        <v>48</v>
      </c>
      <c r="N360" s="8" t="s">
        <v>455</v>
      </c>
      <c r="O360" s="12" t="s">
        <v>454</v>
      </c>
    </row>
    <row r="361" spans="1:15">
      <c r="A361" s="1" t="s">
        <v>1445</v>
      </c>
      <c r="B361" s="2" t="s">
        <v>459</v>
      </c>
      <c r="C361" s="2" t="s">
        <v>2832</v>
      </c>
      <c r="D361" s="2" t="s">
        <v>2833</v>
      </c>
      <c r="E361" s="2" t="s">
        <v>2834</v>
      </c>
      <c r="F361" s="2" t="s">
        <v>37</v>
      </c>
      <c r="G361" s="2">
        <v>99</v>
      </c>
      <c r="H361" s="2">
        <v>22</v>
      </c>
      <c r="I361" s="2">
        <v>1</v>
      </c>
      <c r="J361" s="2">
        <v>76</v>
      </c>
      <c r="K361" s="2" t="s">
        <v>1439</v>
      </c>
      <c r="L361" s="2" t="s">
        <v>1893</v>
      </c>
      <c r="M361" s="2">
        <v>43</v>
      </c>
      <c r="N361" s="2" t="s">
        <v>460</v>
      </c>
      <c r="O361" s="6"/>
    </row>
    <row r="362" spans="1:15">
      <c r="A362" s="1" t="s">
        <v>1434</v>
      </c>
      <c r="B362" s="2" t="s">
        <v>465</v>
      </c>
      <c r="C362" s="2" t="s">
        <v>2835</v>
      </c>
      <c r="D362" s="2" t="s">
        <v>2836</v>
      </c>
      <c r="E362" s="2" t="s">
        <v>2837</v>
      </c>
      <c r="F362" s="2" t="s">
        <v>37</v>
      </c>
      <c r="G362" s="2">
        <v>138</v>
      </c>
      <c r="H362" s="2">
        <v>119</v>
      </c>
      <c r="I362" s="2">
        <v>1</v>
      </c>
      <c r="J362" s="2">
        <v>18</v>
      </c>
      <c r="K362" s="2" t="s">
        <v>1439</v>
      </c>
      <c r="L362" s="2" t="s">
        <v>1873</v>
      </c>
      <c r="M362" s="2">
        <v>43</v>
      </c>
      <c r="N362" s="2" t="s">
        <v>466</v>
      </c>
      <c r="O362" s="6"/>
    </row>
    <row r="363" spans="1:15">
      <c r="A363" s="1" t="s">
        <v>1445</v>
      </c>
      <c r="B363" s="2" t="s">
        <v>2838</v>
      </c>
      <c r="C363" s="2" t="s">
        <v>2839</v>
      </c>
      <c r="D363" s="2" t="s">
        <v>2840</v>
      </c>
      <c r="E363" s="2" t="s">
        <v>2841</v>
      </c>
      <c r="F363" s="2" t="s">
        <v>22</v>
      </c>
      <c r="G363" s="2">
        <v>150</v>
      </c>
      <c r="H363" s="2">
        <v>2</v>
      </c>
      <c r="I363" s="2">
        <v>0</v>
      </c>
      <c r="J363" s="2">
        <v>147</v>
      </c>
      <c r="K363" s="2" t="s">
        <v>1439</v>
      </c>
      <c r="L363" s="2" t="s">
        <v>1893</v>
      </c>
      <c r="M363" s="2">
        <v>43</v>
      </c>
      <c r="N363" s="2"/>
      <c r="O363" s="6"/>
    </row>
    <row r="364" spans="1:15">
      <c r="A364" s="7" t="s">
        <v>1445</v>
      </c>
      <c r="B364" s="8" t="s">
        <v>2842</v>
      </c>
      <c r="C364" s="8" t="s">
        <v>2843</v>
      </c>
      <c r="D364" s="8" t="s">
        <v>2844</v>
      </c>
      <c r="E364" s="8" t="s">
        <v>2845</v>
      </c>
      <c r="F364" s="8" t="s">
        <v>22</v>
      </c>
      <c r="G364" s="8">
        <v>142</v>
      </c>
      <c r="H364" s="8">
        <v>4</v>
      </c>
      <c r="I364" s="8">
        <v>0</v>
      </c>
      <c r="J364" s="8">
        <v>137</v>
      </c>
      <c r="K364" s="8" t="s">
        <v>1439</v>
      </c>
      <c r="L364" s="8" t="s">
        <v>1893</v>
      </c>
      <c r="M364" s="8">
        <v>43</v>
      </c>
      <c r="N364" s="8"/>
      <c r="O364" s="12"/>
    </row>
    <row r="365" spans="1:15">
      <c r="A365" s="7" t="s">
        <v>356</v>
      </c>
      <c r="B365" s="8" t="s">
        <v>462</v>
      </c>
      <c r="C365" s="8" t="s">
        <v>2846</v>
      </c>
      <c r="D365" s="8" t="s">
        <v>2847</v>
      </c>
      <c r="E365" s="8" t="s">
        <v>2848</v>
      </c>
      <c r="F365" s="8" t="s">
        <v>37</v>
      </c>
      <c r="G365" s="8">
        <v>101</v>
      </c>
      <c r="H365" s="8">
        <v>14</v>
      </c>
      <c r="I365" s="8">
        <v>1</v>
      </c>
      <c r="J365" s="8">
        <v>86</v>
      </c>
      <c r="K365" s="8" t="s">
        <v>1439</v>
      </c>
      <c r="L365" s="8" t="s">
        <v>2166</v>
      </c>
      <c r="M365" s="8">
        <v>48</v>
      </c>
      <c r="N365" s="8" t="s">
        <v>463</v>
      </c>
      <c r="O365" s="12"/>
    </row>
    <row r="366" spans="1:15">
      <c r="A366" s="1" t="s">
        <v>273</v>
      </c>
      <c r="B366" s="2" t="s">
        <v>1423</v>
      </c>
      <c r="C366" s="2" t="s">
        <v>2849</v>
      </c>
      <c r="D366" s="2" t="s">
        <v>2850</v>
      </c>
      <c r="E366" s="2" t="s">
        <v>2851</v>
      </c>
      <c r="F366" s="2" t="s">
        <v>37</v>
      </c>
      <c r="G366" s="2">
        <v>93</v>
      </c>
      <c r="H366" s="2">
        <v>8</v>
      </c>
      <c r="I366" s="2">
        <v>1</v>
      </c>
      <c r="J366" s="2">
        <v>84</v>
      </c>
      <c r="K366" s="2" t="s">
        <v>1439</v>
      </c>
      <c r="L366" s="2" t="s">
        <v>2166</v>
      </c>
      <c r="M366" s="2">
        <v>48</v>
      </c>
      <c r="N366" s="2" t="s">
        <v>2852</v>
      </c>
      <c r="O366" s="6"/>
    </row>
    <row r="367" spans="1:15">
      <c r="A367" s="1" t="s">
        <v>1445</v>
      </c>
      <c r="B367" s="2" t="s">
        <v>2853</v>
      </c>
      <c r="C367" s="2" t="s">
        <v>2854</v>
      </c>
      <c r="D367" s="2" t="s">
        <v>2855</v>
      </c>
      <c r="E367" s="2" t="s">
        <v>2856</v>
      </c>
      <c r="F367" s="2" t="s">
        <v>388</v>
      </c>
      <c r="G367" s="2">
        <v>137</v>
      </c>
      <c r="H367" s="2">
        <v>137</v>
      </c>
      <c r="I367" s="2">
        <v>0</v>
      </c>
      <c r="J367" s="2">
        <v>0</v>
      </c>
      <c r="K367" s="2" t="s">
        <v>1439</v>
      </c>
      <c r="L367" s="2" t="s">
        <v>1893</v>
      </c>
      <c r="M367" s="2">
        <v>43</v>
      </c>
      <c r="N367" s="2"/>
      <c r="O367" s="6"/>
    </row>
    <row r="368" spans="1:15">
      <c r="A368" s="7" t="s">
        <v>1445</v>
      </c>
      <c r="B368" s="8" t="s">
        <v>2857</v>
      </c>
      <c r="C368" s="8" t="s">
        <v>2858</v>
      </c>
      <c r="D368" s="8" t="s">
        <v>2859</v>
      </c>
      <c r="E368" s="8" t="s">
        <v>2860</v>
      </c>
      <c r="F368" s="8" t="s">
        <v>22</v>
      </c>
      <c r="G368" s="8">
        <v>210</v>
      </c>
      <c r="H368" s="8">
        <v>2</v>
      </c>
      <c r="I368" s="8">
        <v>0</v>
      </c>
      <c r="J368" s="8">
        <v>207</v>
      </c>
      <c r="K368" s="8" t="s">
        <v>1439</v>
      </c>
      <c r="L368" s="8" t="s">
        <v>1893</v>
      </c>
      <c r="M368" s="8">
        <v>43</v>
      </c>
      <c r="N368" s="8"/>
      <c r="O368" s="12"/>
    </row>
  </sheetData>
  <autoFilter ref="A1:O368" xr:uid="{E6A06EC0-C7EA-4C67-8309-1D24A4392F01}">
    <sortState xmlns:xlrd2="http://schemas.microsoft.com/office/spreadsheetml/2017/richdata2" ref="A2:O368">
      <sortCondition ref="C1:C368"/>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82FBA-9DE8-4F68-9572-164BCF1FACFB}">
  <dimension ref="A1:E14"/>
  <sheetViews>
    <sheetView workbookViewId="0">
      <selection activeCell="A15" sqref="A15"/>
    </sheetView>
  </sheetViews>
  <sheetFormatPr defaultRowHeight="15"/>
  <cols>
    <col min="1" max="1" width="26.140625" bestFit="1" customWidth="1"/>
    <col min="3" max="3" width="22" customWidth="1"/>
    <col min="4" max="4" width="14.5703125" bestFit="1" customWidth="1"/>
  </cols>
  <sheetData>
    <row r="1" spans="1:5">
      <c r="A1" s="39" t="s">
        <v>2861</v>
      </c>
      <c r="B1" s="39" t="s">
        <v>2862</v>
      </c>
      <c r="C1" s="39" t="s">
        <v>1</v>
      </c>
      <c r="D1" s="39" t="s">
        <v>2</v>
      </c>
      <c r="E1" s="39" t="s">
        <v>2863</v>
      </c>
    </row>
    <row r="2" spans="1:5">
      <c r="A2" t="s">
        <v>2864</v>
      </c>
      <c r="B2" t="s">
        <v>2865</v>
      </c>
      <c r="C2" t="s">
        <v>2866</v>
      </c>
      <c r="D2" t="s">
        <v>2867</v>
      </c>
      <c r="E2">
        <v>6</v>
      </c>
    </row>
    <row r="3" spans="1:5">
      <c r="A3" t="s">
        <v>2868</v>
      </c>
      <c r="B3" t="s">
        <v>2869</v>
      </c>
      <c r="C3" t="s">
        <v>2870</v>
      </c>
      <c r="D3" t="s">
        <v>20</v>
      </c>
      <c r="E3">
        <v>5</v>
      </c>
    </row>
    <row r="4" spans="1:5">
      <c r="A4" t="s">
        <v>2871</v>
      </c>
      <c r="B4" t="s">
        <v>2872</v>
      </c>
      <c r="C4" t="s">
        <v>2873</v>
      </c>
      <c r="D4" t="s">
        <v>47</v>
      </c>
      <c r="E4">
        <v>5</v>
      </c>
    </row>
    <row r="5" spans="1:5">
      <c r="A5" t="s">
        <v>2871</v>
      </c>
      <c r="B5" t="s">
        <v>2872</v>
      </c>
      <c r="C5" t="s">
        <v>2874</v>
      </c>
      <c r="D5" t="s">
        <v>42</v>
      </c>
      <c r="E5">
        <v>5</v>
      </c>
    </row>
    <row r="6" spans="1:5">
      <c r="A6" t="s">
        <v>2871</v>
      </c>
      <c r="B6" t="s">
        <v>2872</v>
      </c>
      <c r="C6" t="s">
        <v>2875</v>
      </c>
      <c r="D6" t="s">
        <v>71</v>
      </c>
      <c r="E6">
        <v>5</v>
      </c>
    </row>
    <row r="7" spans="1:5">
      <c r="A7" t="s">
        <v>2871</v>
      </c>
      <c r="B7" t="s">
        <v>2872</v>
      </c>
      <c r="C7" s="41" t="s">
        <v>2876</v>
      </c>
      <c r="D7" t="s">
        <v>58</v>
      </c>
      <c r="E7">
        <v>5</v>
      </c>
    </row>
    <row r="8" spans="1:5">
      <c r="A8" t="s">
        <v>2871</v>
      </c>
      <c r="B8" t="s">
        <v>2872</v>
      </c>
      <c r="C8" t="s">
        <v>2877</v>
      </c>
      <c r="D8" t="s">
        <v>86</v>
      </c>
      <c r="E8">
        <v>5</v>
      </c>
    </row>
    <row r="9" spans="1:5">
      <c r="A9" t="s">
        <v>2878</v>
      </c>
      <c r="B9" t="s">
        <v>2879</v>
      </c>
      <c r="C9" t="s">
        <v>2880</v>
      </c>
      <c r="D9" t="s">
        <v>2881</v>
      </c>
      <c r="E9">
        <v>4</v>
      </c>
    </row>
    <row r="10" spans="1:5">
      <c r="A10" t="s">
        <v>2882</v>
      </c>
      <c r="B10" t="s">
        <v>2883</v>
      </c>
      <c r="C10" t="s">
        <v>19</v>
      </c>
      <c r="D10" t="s">
        <v>295</v>
      </c>
      <c r="E10">
        <v>6</v>
      </c>
    </row>
    <row r="11" spans="1:5">
      <c r="A11" t="s">
        <v>2882</v>
      </c>
      <c r="B11" t="s">
        <v>2883</v>
      </c>
      <c r="C11" t="s">
        <v>35</v>
      </c>
      <c r="D11" t="s">
        <v>29</v>
      </c>
      <c r="E11">
        <v>6</v>
      </c>
    </row>
    <row r="12" spans="1:5">
      <c r="A12" t="s">
        <v>2884</v>
      </c>
      <c r="B12" t="s">
        <v>2885</v>
      </c>
      <c r="C12" t="s">
        <v>356</v>
      </c>
      <c r="D12" t="s">
        <v>2886</v>
      </c>
      <c r="E12">
        <v>6</v>
      </c>
    </row>
    <row r="13" spans="1:5">
      <c r="A13" t="s">
        <v>2884</v>
      </c>
      <c r="B13" t="s">
        <v>2885</v>
      </c>
      <c r="C13" t="s">
        <v>273</v>
      </c>
      <c r="D13" t="s">
        <v>228</v>
      </c>
      <c r="E13">
        <v>6</v>
      </c>
    </row>
    <row r="14" spans="1:5">
      <c r="A14" t="s">
        <v>2887</v>
      </c>
      <c r="B14" t="s">
        <v>2888</v>
      </c>
      <c r="C14" t="s">
        <v>2889</v>
      </c>
      <c r="D14" t="s">
        <v>306</v>
      </c>
      <c r="E14">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AD33E-592F-4DBF-83C7-F39E804F6C64}">
  <dimension ref="H1:H246"/>
  <sheetViews>
    <sheetView workbookViewId="0"/>
  </sheetViews>
  <sheetFormatPr defaultRowHeight="15"/>
  <sheetData>
    <row r="1" spans="8:8">
      <c r="H1" s="83" t="s">
        <v>388</v>
      </c>
    </row>
    <row r="2" spans="8:8">
      <c r="H2" s="83" t="s">
        <v>388</v>
      </c>
    </row>
    <row r="3" spans="8:8">
      <c r="H3" s="83" t="s">
        <v>37</v>
      </c>
    </row>
    <row r="4" spans="8:8">
      <c r="H4" s="83" t="s">
        <v>388</v>
      </c>
    </row>
    <row r="5" spans="8:8">
      <c r="H5" s="83" t="s">
        <v>37</v>
      </c>
    </row>
    <row r="6" spans="8:8">
      <c r="H6" s="83" t="s">
        <v>388</v>
      </c>
    </row>
    <row r="7" spans="8:8">
      <c r="H7" s="83" t="s">
        <v>388</v>
      </c>
    </row>
    <row r="8" spans="8:8">
      <c r="H8" s="83" t="s">
        <v>388</v>
      </c>
    </row>
    <row r="9" spans="8:8">
      <c r="H9" s="83" t="s">
        <v>388</v>
      </c>
    </row>
    <row r="10" spans="8:8">
      <c r="H10" s="83" t="s">
        <v>388</v>
      </c>
    </row>
    <row r="11" spans="8:8">
      <c r="H11" s="83" t="s">
        <v>388</v>
      </c>
    </row>
    <row r="12" spans="8:8">
      <c r="H12" s="83" t="s">
        <v>37</v>
      </c>
    </row>
    <row r="13" spans="8:8">
      <c r="H13" s="83" t="s">
        <v>388</v>
      </c>
    </row>
    <row r="14" spans="8:8">
      <c r="H14" s="83" t="s">
        <v>388</v>
      </c>
    </row>
    <row r="15" spans="8:8">
      <c r="H15" s="83" t="s">
        <v>37</v>
      </c>
    </row>
    <row r="16" spans="8:8">
      <c r="H16" s="83" t="s">
        <v>388</v>
      </c>
    </row>
    <row r="17" spans="8:8">
      <c r="H17" s="83" t="s">
        <v>388</v>
      </c>
    </row>
    <row r="18" spans="8:8">
      <c r="H18" s="83" t="s">
        <v>388</v>
      </c>
    </row>
    <row r="19" spans="8:8">
      <c r="H19" s="83" t="s">
        <v>388</v>
      </c>
    </row>
    <row r="20" spans="8:8">
      <c r="H20" s="83" t="s">
        <v>388</v>
      </c>
    </row>
    <row r="21" spans="8:8">
      <c r="H21" s="83" t="s">
        <v>388</v>
      </c>
    </row>
    <row r="22" spans="8:8">
      <c r="H22" s="83" t="s">
        <v>37</v>
      </c>
    </row>
    <row r="23" spans="8:8">
      <c r="H23" s="83" t="s">
        <v>37</v>
      </c>
    </row>
    <row r="24" spans="8:8">
      <c r="H24" s="83" t="s">
        <v>37</v>
      </c>
    </row>
    <row r="25" spans="8:8">
      <c r="H25" s="83" t="s">
        <v>388</v>
      </c>
    </row>
    <row r="26" spans="8:8">
      <c r="H26" s="83" t="s">
        <v>388</v>
      </c>
    </row>
    <row r="27" spans="8:8">
      <c r="H27" s="83" t="s">
        <v>388</v>
      </c>
    </row>
    <row r="28" spans="8:8">
      <c r="H28" s="83" t="s">
        <v>388</v>
      </c>
    </row>
    <row r="29" spans="8:8">
      <c r="H29" s="83" t="s">
        <v>37</v>
      </c>
    </row>
    <row r="30" spans="8:8">
      <c r="H30" s="83" t="s">
        <v>388</v>
      </c>
    </row>
    <row r="31" spans="8:8">
      <c r="H31" s="83" t="s">
        <v>388</v>
      </c>
    </row>
    <row r="32" spans="8:8">
      <c r="H32" s="83" t="s">
        <v>388</v>
      </c>
    </row>
    <row r="33" spans="8:8">
      <c r="H33" s="83" t="s">
        <v>37</v>
      </c>
    </row>
    <row r="34" spans="8:8">
      <c r="H34" s="83" t="s">
        <v>37</v>
      </c>
    </row>
    <row r="35" spans="8:8">
      <c r="H35" s="83" t="s">
        <v>388</v>
      </c>
    </row>
    <row r="36" spans="8:8">
      <c r="H36" s="83" t="s">
        <v>37</v>
      </c>
    </row>
    <row r="37" spans="8:8">
      <c r="H37" s="83" t="s">
        <v>388</v>
      </c>
    </row>
    <row r="38" spans="8:8">
      <c r="H38" s="83" t="s">
        <v>388</v>
      </c>
    </row>
    <row r="39" spans="8:8">
      <c r="H39" s="83" t="s">
        <v>388</v>
      </c>
    </row>
    <row r="40" spans="8:8">
      <c r="H40" s="83" t="s">
        <v>388</v>
      </c>
    </row>
    <row r="41" spans="8:8">
      <c r="H41" s="83" t="s">
        <v>388</v>
      </c>
    </row>
    <row r="42" spans="8:8">
      <c r="H42" s="83" t="s">
        <v>388</v>
      </c>
    </row>
    <row r="43" spans="8:8">
      <c r="H43" s="83" t="s">
        <v>388</v>
      </c>
    </row>
    <row r="44" spans="8:8">
      <c r="H44" s="83" t="s">
        <v>37</v>
      </c>
    </row>
    <row r="45" spans="8:8">
      <c r="H45" s="83" t="s">
        <v>388</v>
      </c>
    </row>
    <row r="46" spans="8:8">
      <c r="H46" s="83" t="s">
        <v>388</v>
      </c>
    </row>
    <row r="47" spans="8:8">
      <c r="H47" s="83" t="s">
        <v>388</v>
      </c>
    </row>
    <row r="48" spans="8:8">
      <c r="H48" s="83" t="s">
        <v>388</v>
      </c>
    </row>
    <row r="49" spans="8:8">
      <c r="H49" s="83" t="s">
        <v>388</v>
      </c>
    </row>
    <row r="50" spans="8:8">
      <c r="H50" s="83" t="s">
        <v>388</v>
      </c>
    </row>
    <row r="51" spans="8:8">
      <c r="H51" s="83" t="s">
        <v>388</v>
      </c>
    </row>
    <row r="52" spans="8:8">
      <c r="H52" s="83" t="s">
        <v>388</v>
      </c>
    </row>
    <row r="53" spans="8:8">
      <c r="H53" s="83" t="s">
        <v>388</v>
      </c>
    </row>
    <row r="54" spans="8:8">
      <c r="H54" s="83" t="s">
        <v>388</v>
      </c>
    </row>
    <row r="55" spans="8:8">
      <c r="H55" s="83" t="s">
        <v>388</v>
      </c>
    </row>
    <row r="56" spans="8:8">
      <c r="H56" s="83" t="s">
        <v>388</v>
      </c>
    </row>
    <row r="57" spans="8:8">
      <c r="H57" s="83" t="s">
        <v>388</v>
      </c>
    </row>
    <row r="58" spans="8:8">
      <c r="H58" s="83" t="s">
        <v>388</v>
      </c>
    </row>
    <row r="59" spans="8:8">
      <c r="H59" s="83" t="s">
        <v>388</v>
      </c>
    </row>
    <row r="60" spans="8:8">
      <c r="H60" s="83" t="s">
        <v>388</v>
      </c>
    </row>
    <row r="61" spans="8:8">
      <c r="H61" s="83" t="s">
        <v>388</v>
      </c>
    </row>
    <row r="62" spans="8:8">
      <c r="H62" s="83" t="s">
        <v>388</v>
      </c>
    </row>
    <row r="63" spans="8:8">
      <c r="H63" s="83" t="s">
        <v>388</v>
      </c>
    </row>
    <row r="64" spans="8:8">
      <c r="H64" s="83" t="s">
        <v>388</v>
      </c>
    </row>
    <row r="65" spans="8:8">
      <c r="H65" s="83" t="s">
        <v>388</v>
      </c>
    </row>
    <row r="66" spans="8:8">
      <c r="H66" s="83" t="s">
        <v>37</v>
      </c>
    </row>
    <row r="67" spans="8:8">
      <c r="H67" s="83" t="s">
        <v>37</v>
      </c>
    </row>
    <row r="68" spans="8:8">
      <c r="H68" s="83" t="s">
        <v>388</v>
      </c>
    </row>
    <row r="69" spans="8:8">
      <c r="H69" s="83" t="s">
        <v>388</v>
      </c>
    </row>
    <row r="70" spans="8:8">
      <c r="H70" s="83" t="s">
        <v>37</v>
      </c>
    </row>
    <row r="71" spans="8:8">
      <c r="H71" s="83" t="s">
        <v>22</v>
      </c>
    </row>
    <row r="72" spans="8:8">
      <c r="H72" s="83" t="s">
        <v>388</v>
      </c>
    </row>
    <row r="73" spans="8:8">
      <c r="H73" s="83" t="s">
        <v>388</v>
      </c>
    </row>
    <row r="74" spans="8:8">
      <c r="H74" s="83" t="s">
        <v>388</v>
      </c>
    </row>
    <row r="75" spans="8:8">
      <c r="H75" s="83" t="s">
        <v>388</v>
      </c>
    </row>
    <row r="76" spans="8:8">
      <c r="H76" s="83" t="s">
        <v>388</v>
      </c>
    </row>
    <row r="77" spans="8:8">
      <c r="H77" s="83" t="s">
        <v>388</v>
      </c>
    </row>
    <row r="78" spans="8:8">
      <c r="H78" s="83" t="s">
        <v>388</v>
      </c>
    </row>
    <row r="79" spans="8:8">
      <c r="H79" s="83" t="s">
        <v>388</v>
      </c>
    </row>
    <row r="80" spans="8:8">
      <c r="H80" s="83" t="s">
        <v>388</v>
      </c>
    </row>
    <row r="81" spans="8:8">
      <c r="H81" s="83" t="s">
        <v>37</v>
      </c>
    </row>
    <row r="82" spans="8:8">
      <c r="H82" s="83" t="s">
        <v>37</v>
      </c>
    </row>
    <row r="83" spans="8:8">
      <c r="H83" s="83" t="s">
        <v>37</v>
      </c>
    </row>
    <row r="84" spans="8:8">
      <c r="H84" s="83" t="s">
        <v>388</v>
      </c>
    </row>
    <row r="85" spans="8:8">
      <c r="H85" s="83" t="s">
        <v>388</v>
      </c>
    </row>
    <row r="86" spans="8:8">
      <c r="H86" s="83" t="s">
        <v>388</v>
      </c>
    </row>
    <row r="87" spans="8:8">
      <c r="H87" s="83" t="s">
        <v>388</v>
      </c>
    </row>
    <row r="88" spans="8:8">
      <c r="H88" s="83" t="s">
        <v>37</v>
      </c>
    </row>
    <row r="89" spans="8:8">
      <c r="H89" s="83" t="s">
        <v>388</v>
      </c>
    </row>
    <row r="90" spans="8:8">
      <c r="H90" s="83" t="s">
        <v>388</v>
      </c>
    </row>
    <row r="91" spans="8:8">
      <c r="H91" s="83" t="s">
        <v>37</v>
      </c>
    </row>
    <row r="92" spans="8:8">
      <c r="H92" s="83" t="s">
        <v>37</v>
      </c>
    </row>
    <row r="93" spans="8:8">
      <c r="H93" s="83" t="s">
        <v>37</v>
      </c>
    </row>
    <row r="94" spans="8:8">
      <c r="H94" s="83" t="s">
        <v>388</v>
      </c>
    </row>
    <row r="95" spans="8:8">
      <c r="H95" s="83" t="s">
        <v>388</v>
      </c>
    </row>
    <row r="96" spans="8:8">
      <c r="H96" s="83"/>
    </row>
    <row r="97" spans="8:8">
      <c r="H97" s="83" t="s">
        <v>37</v>
      </c>
    </row>
    <row r="98" spans="8:8">
      <c r="H98" s="83" t="s">
        <v>388</v>
      </c>
    </row>
    <row r="99" spans="8:8">
      <c r="H99" s="83" t="s">
        <v>388</v>
      </c>
    </row>
    <row r="100" spans="8:8">
      <c r="H100" s="83" t="s">
        <v>388</v>
      </c>
    </row>
    <row r="101" spans="8:8">
      <c r="H101" s="83" t="s">
        <v>388</v>
      </c>
    </row>
    <row r="102" spans="8:8">
      <c r="H102" s="83"/>
    </row>
    <row r="103" spans="8:8">
      <c r="H103" s="83" t="s">
        <v>37</v>
      </c>
    </row>
    <row r="104" spans="8:8">
      <c r="H104" s="83" t="s">
        <v>37</v>
      </c>
    </row>
    <row r="105" spans="8:8">
      <c r="H105" s="83" t="s">
        <v>37</v>
      </c>
    </row>
    <row r="106" spans="8:8">
      <c r="H106" s="83" t="s">
        <v>37</v>
      </c>
    </row>
    <row r="107" spans="8:8">
      <c r="H107" s="83" t="s">
        <v>37</v>
      </c>
    </row>
    <row r="108" spans="8:8">
      <c r="H108" s="83" t="s">
        <v>37</v>
      </c>
    </row>
    <row r="109" spans="8:8">
      <c r="H109" s="83" t="s">
        <v>37</v>
      </c>
    </row>
    <row r="110" spans="8:8">
      <c r="H110" s="83" t="s">
        <v>37</v>
      </c>
    </row>
    <row r="111" spans="8:8">
      <c r="H111" s="83" t="s">
        <v>37</v>
      </c>
    </row>
    <row r="112" spans="8:8">
      <c r="H112" s="83" t="s">
        <v>37</v>
      </c>
    </row>
    <row r="113" spans="8:8">
      <c r="H113" s="83" t="s">
        <v>37</v>
      </c>
    </row>
    <row r="114" spans="8:8">
      <c r="H114" s="83" t="s">
        <v>37</v>
      </c>
    </row>
    <row r="115" spans="8:8">
      <c r="H115" s="83" t="s">
        <v>37</v>
      </c>
    </row>
    <row r="116" spans="8:8">
      <c r="H116" s="83" t="s">
        <v>37</v>
      </c>
    </row>
    <row r="117" spans="8:8">
      <c r="H117" s="83" t="s">
        <v>37</v>
      </c>
    </row>
    <row r="118" spans="8:8">
      <c r="H118" s="83" t="s">
        <v>388</v>
      </c>
    </row>
    <row r="119" spans="8:8">
      <c r="H119" s="83" t="s">
        <v>388</v>
      </c>
    </row>
    <row r="120" spans="8:8">
      <c r="H120" s="83" t="s">
        <v>388</v>
      </c>
    </row>
    <row r="121" spans="8:8">
      <c r="H121" s="83" t="s">
        <v>388</v>
      </c>
    </row>
    <row r="122" spans="8:8">
      <c r="H122" s="83" t="s">
        <v>388</v>
      </c>
    </row>
    <row r="123" spans="8:8">
      <c r="H123" s="83" t="s">
        <v>37</v>
      </c>
    </row>
    <row r="124" spans="8:8">
      <c r="H124" s="83" t="s">
        <v>37</v>
      </c>
    </row>
    <row r="125" spans="8:8">
      <c r="H125" s="83" t="s">
        <v>37</v>
      </c>
    </row>
    <row r="126" spans="8:8">
      <c r="H126" s="83" t="s">
        <v>37</v>
      </c>
    </row>
    <row r="127" spans="8:8">
      <c r="H127" s="83" t="s">
        <v>37</v>
      </c>
    </row>
    <row r="128" spans="8:8">
      <c r="H128" s="83" t="s">
        <v>388</v>
      </c>
    </row>
    <row r="129" spans="8:8">
      <c r="H129" s="83" t="s">
        <v>388</v>
      </c>
    </row>
    <row r="130" spans="8:8">
      <c r="H130" s="83" t="s">
        <v>37</v>
      </c>
    </row>
    <row r="131" spans="8:8">
      <c r="H131" s="83" t="s">
        <v>37</v>
      </c>
    </row>
    <row r="132" spans="8:8">
      <c r="H132" s="83" t="s">
        <v>37</v>
      </c>
    </row>
    <row r="133" spans="8:8">
      <c r="H133" s="83" t="s">
        <v>22</v>
      </c>
    </row>
    <row r="134" spans="8:8">
      <c r="H134" s="83" t="s">
        <v>37</v>
      </c>
    </row>
    <row r="135" spans="8:8">
      <c r="H135" s="83" t="s">
        <v>37</v>
      </c>
    </row>
    <row r="136" spans="8:8">
      <c r="H136" s="83" t="s">
        <v>37</v>
      </c>
    </row>
    <row r="137" spans="8:8">
      <c r="H137" s="83" t="s">
        <v>37</v>
      </c>
    </row>
    <row r="138" spans="8:8">
      <c r="H138" s="83" t="s">
        <v>37</v>
      </c>
    </row>
    <row r="139" spans="8:8">
      <c r="H139" s="83" t="s">
        <v>37</v>
      </c>
    </row>
    <row r="140" spans="8:8">
      <c r="H140" s="83" t="s">
        <v>37</v>
      </c>
    </row>
    <row r="141" spans="8:8">
      <c r="H141" s="83" t="s">
        <v>37</v>
      </c>
    </row>
    <row r="142" spans="8:8">
      <c r="H142" s="83" t="s">
        <v>37</v>
      </c>
    </row>
    <row r="143" spans="8:8">
      <c r="H143" s="83" t="s">
        <v>37</v>
      </c>
    </row>
    <row r="144" spans="8:8">
      <c r="H144" s="83" t="s">
        <v>37</v>
      </c>
    </row>
    <row r="145" spans="8:8">
      <c r="H145" s="83" t="s">
        <v>37</v>
      </c>
    </row>
    <row r="146" spans="8:8">
      <c r="H146" s="83" t="s">
        <v>37</v>
      </c>
    </row>
    <row r="147" spans="8:8">
      <c r="H147" s="83" t="s">
        <v>37</v>
      </c>
    </row>
    <row r="148" spans="8:8">
      <c r="H148" s="83" t="s">
        <v>37</v>
      </c>
    </row>
    <row r="149" spans="8:8">
      <c r="H149" s="83" t="s">
        <v>37</v>
      </c>
    </row>
    <row r="150" spans="8:8">
      <c r="H150" s="83" t="s">
        <v>37</v>
      </c>
    </row>
    <row r="151" spans="8:8">
      <c r="H151" s="83" t="s">
        <v>388</v>
      </c>
    </row>
    <row r="152" spans="8:8">
      <c r="H152" s="83" t="s">
        <v>388</v>
      </c>
    </row>
    <row r="153" spans="8:8">
      <c r="H153" s="83" t="s">
        <v>37</v>
      </c>
    </row>
    <row r="154" spans="8:8">
      <c r="H154" s="83" t="s">
        <v>37</v>
      </c>
    </row>
    <row r="155" spans="8:8">
      <c r="H155" s="83" t="s">
        <v>388</v>
      </c>
    </row>
    <row r="156" spans="8:8">
      <c r="H156" s="83" t="s">
        <v>388</v>
      </c>
    </row>
    <row r="157" spans="8:8">
      <c r="H157" s="83" t="s">
        <v>37</v>
      </c>
    </row>
    <row r="158" spans="8:8">
      <c r="H158" s="83" t="s">
        <v>37</v>
      </c>
    </row>
    <row r="159" spans="8:8">
      <c r="H159" s="83" t="s">
        <v>37</v>
      </c>
    </row>
    <row r="160" spans="8:8">
      <c r="H160" s="83" t="s">
        <v>37</v>
      </c>
    </row>
    <row r="161" spans="8:8">
      <c r="H161" s="83" t="s">
        <v>37</v>
      </c>
    </row>
    <row r="162" spans="8:8">
      <c r="H162" s="83" t="s">
        <v>37</v>
      </c>
    </row>
    <row r="163" spans="8:8">
      <c r="H163" s="83" t="s">
        <v>37</v>
      </c>
    </row>
    <row r="164" spans="8:8">
      <c r="H164" s="83" t="s">
        <v>37</v>
      </c>
    </row>
    <row r="165" spans="8:8">
      <c r="H165" s="83" t="s">
        <v>37</v>
      </c>
    </row>
    <row r="166" spans="8:8">
      <c r="H166" s="83" t="s">
        <v>37</v>
      </c>
    </row>
    <row r="167" spans="8:8">
      <c r="H167" s="83" t="s">
        <v>37</v>
      </c>
    </row>
    <row r="168" spans="8:8">
      <c r="H168" s="83" t="s">
        <v>388</v>
      </c>
    </row>
    <row r="169" spans="8:8">
      <c r="H169" s="83" t="s">
        <v>388</v>
      </c>
    </row>
    <row r="170" spans="8:8">
      <c r="H170" s="83" t="s">
        <v>388</v>
      </c>
    </row>
    <row r="171" spans="8:8">
      <c r="H171" s="83" t="s">
        <v>388</v>
      </c>
    </row>
    <row r="172" spans="8:8">
      <c r="H172" s="83" t="s">
        <v>388</v>
      </c>
    </row>
    <row r="173" spans="8:8">
      <c r="H173" s="83" t="s">
        <v>37</v>
      </c>
    </row>
    <row r="174" spans="8:8">
      <c r="H174" s="83" t="s">
        <v>37</v>
      </c>
    </row>
    <row r="175" spans="8:8">
      <c r="H175" s="83" t="s">
        <v>37</v>
      </c>
    </row>
    <row r="176" spans="8:8">
      <c r="H176" s="83" t="s">
        <v>37</v>
      </c>
    </row>
    <row r="177" spans="8:8">
      <c r="H177" s="83" t="s">
        <v>37</v>
      </c>
    </row>
    <row r="178" spans="8:8">
      <c r="H178" s="83" t="s">
        <v>37</v>
      </c>
    </row>
    <row r="179" spans="8:8">
      <c r="H179" s="83" t="s">
        <v>37</v>
      </c>
    </row>
    <row r="180" spans="8:8">
      <c r="H180" s="83" t="s">
        <v>37</v>
      </c>
    </row>
    <row r="181" spans="8:8">
      <c r="H181" s="83" t="s">
        <v>37</v>
      </c>
    </row>
    <row r="182" spans="8:8">
      <c r="H182" s="83" t="s">
        <v>37</v>
      </c>
    </row>
    <row r="183" spans="8:8">
      <c r="H183" s="83" t="s">
        <v>37</v>
      </c>
    </row>
    <row r="184" spans="8:8">
      <c r="H184" s="83" t="s">
        <v>388</v>
      </c>
    </row>
    <row r="185" spans="8:8">
      <c r="H185" s="83" t="s">
        <v>388</v>
      </c>
    </row>
    <row r="186" spans="8:8">
      <c r="H186" s="83" t="s">
        <v>388</v>
      </c>
    </row>
    <row r="187" spans="8:8">
      <c r="H187" s="83" t="s">
        <v>388</v>
      </c>
    </row>
    <row r="188" spans="8:8">
      <c r="H188" s="83" t="s">
        <v>37</v>
      </c>
    </row>
    <row r="189" spans="8:8">
      <c r="H189" s="83" t="s">
        <v>37</v>
      </c>
    </row>
    <row r="190" spans="8:8">
      <c r="H190" s="83" t="s">
        <v>37</v>
      </c>
    </row>
    <row r="191" spans="8:8">
      <c r="H191" s="83" t="s">
        <v>37</v>
      </c>
    </row>
    <row r="192" spans="8:8">
      <c r="H192" s="83" t="s">
        <v>37</v>
      </c>
    </row>
    <row r="193" spans="8:8">
      <c r="H193" s="83" t="s">
        <v>22</v>
      </c>
    </row>
    <row r="194" spans="8:8">
      <c r="H194" s="83" t="s">
        <v>37</v>
      </c>
    </row>
    <row r="195" spans="8:8">
      <c r="H195" s="83" t="s">
        <v>37</v>
      </c>
    </row>
    <row r="196" spans="8:8">
      <c r="H196" s="83" t="s">
        <v>37</v>
      </c>
    </row>
    <row r="197" spans="8:8">
      <c r="H197" s="83" t="s">
        <v>37</v>
      </c>
    </row>
    <row r="198" spans="8:8">
      <c r="H198" s="83" t="s">
        <v>388</v>
      </c>
    </row>
    <row r="199" spans="8:8">
      <c r="H199" s="83" t="s">
        <v>388</v>
      </c>
    </row>
    <row r="200" spans="8:8">
      <c r="H200" s="83" t="s">
        <v>388</v>
      </c>
    </row>
    <row r="201" spans="8:8">
      <c r="H201" s="83" t="s">
        <v>388</v>
      </c>
    </row>
    <row r="202" spans="8:8">
      <c r="H202" s="83" t="s">
        <v>388</v>
      </c>
    </row>
    <row r="203" spans="8:8">
      <c r="H203" s="83" t="s">
        <v>388</v>
      </c>
    </row>
    <row r="204" spans="8:8">
      <c r="H204" s="83" t="s">
        <v>37</v>
      </c>
    </row>
    <row r="205" spans="8:8">
      <c r="H205" s="83" t="s">
        <v>388</v>
      </c>
    </row>
    <row r="206" spans="8:8">
      <c r="H206" s="83" t="s">
        <v>388</v>
      </c>
    </row>
    <row r="207" spans="8:8">
      <c r="H207" s="83" t="s">
        <v>388</v>
      </c>
    </row>
    <row r="208" spans="8:8">
      <c r="H208" s="83" t="s">
        <v>388</v>
      </c>
    </row>
    <row r="209" spans="8:8">
      <c r="H209" s="83" t="s">
        <v>388</v>
      </c>
    </row>
    <row r="210" spans="8:8">
      <c r="H210" s="83" t="s">
        <v>388</v>
      </c>
    </row>
    <row r="211" spans="8:8">
      <c r="H211" s="83" t="s">
        <v>22</v>
      </c>
    </row>
    <row r="212" spans="8:8">
      <c r="H212" s="83" t="s">
        <v>388</v>
      </c>
    </row>
    <row r="213" spans="8:8">
      <c r="H213" s="83" t="s">
        <v>388</v>
      </c>
    </row>
    <row r="214" spans="8:8">
      <c r="H214" s="83" t="s">
        <v>388</v>
      </c>
    </row>
    <row r="215" spans="8:8">
      <c r="H215" s="83" t="s">
        <v>388</v>
      </c>
    </row>
    <row r="216" spans="8:8">
      <c r="H216" s="83" t="s">
        <v>388</v>
      </c>
    </row>
    <row r="217" spans="8:8">
      <c r="H217" s="83" t="s">
        <v>388</v>
      </c>
    </row>
    <row r="218" spans="8:8">
      <c r="H218" s="83" t="s">
        <v>388</v>
      </c>
    </row>
    <row r="219" spans="8:8">
      <c r="H219" s="83" t="s">
        <v>388</v>
      </c>
    </row>
    <row r="220" spans="8:8">
      <c r="H220" s="83" t="s">
        <v>388</v>
      </c>
    </row>
    <row r="221" spans="8:8">
      <c r="H221" s="83" t="s">
        <v>388</v>
      </c>
    </row>
    <row r="222" spans="8:8">
      <c r="H222" s="83" t="s">
        <v>388</v>
      </c>
    </row>
    <row r="223" spans="8:8">
      <c r="H223" s="83" t="s">
        <v>388</v>
      </c>
    </row>
    <row r="224" spans="8:8">
      <c r="H224" s="83" t="s">
        <v>388</v>
      </c>
    </row>
    <row r="225" spans="8:8">
      <c r="H225" s="83" t="s">
        <v>388</v>
      </c>
    </row>
    <row r="226" spans="8:8">
      <c r="H226" s="83" t="s">
        <v>388</v>
      </c>
    </row>
    <row r="227" spans="8:8">
      <c r="H227" s="83" t="s">
        <v>388</v>
      </c>
    </row>
    <row r="228" spans="8:8">
      <c r="H228" s="83" t="s">
        <v>388</v>
      </c>
    </row>
    <row r="229" spans="8:8">
      <c r="H229" s="83" t="s">
        <v>388</v>
      </c>
    </row>
    <row r="230" spans="8:8">
      <c r="H230" s="83" t="s">
        <v>388</v>
      </c>
    </row>
    <row r="231" spans="8:8">
      <c r="H231" s="83" t="s">
        <v>388</v>
      </c>
    </row>
    <row r="232" spans="8:8">
      <c r="H232" s="83" t="s">
        <v>388</v>
      </c>
    </row>
    <row r="233" spans="8:8">
      <c r="H233" s="83" t="s">
        <v>388</v>
      </c>
    </row>
    <row r="234" spans="8:8">
      <c r="H234" s="83" t="s">
        <v>388</v>
      </c>
    </row>
    <row r="235" spans="8:8">
      <c r="H235" s="83" t="s">
        <v>388</v>
      </c>
    </row>
    <row r="236" spans="8:8">
      <c r="H236" s="83" t="s">
        <v>388</v>
      </c>
    </row>
    <row r="237" spans="8:8">
      <c r="H237" s="83" t="s">
        <v>388</v>
      </c>
    </row>
    <row r="238" spans="8:8">
      <c r="H238" s="83" t="s">
        <v>388</v>
      </c>
    </row>
    <row r="239" spans="8:8">
      <c r="H239" s="83" t="s">
        <v>388</v>
      </c>
    </row>
    <row r="240" spans="8:8">
      <c r="H240" s="83" t="s">
        <v>388</v>
      </c>
    </row>
    <row r="241" spans="8:8">
      <c r="H241" s="83" t="s">
        <v>388</v>
      </c>
    </row>
    <row r="242" spans="8:8">
      <c r="H242" s="83" t="s">
        <v>22</v>
      </c>
    </row>
    <row r="245" spans="8:8">
      <c r="H245">
        <f>COUNTIF(H1:H242,"=completed")</f>
        <v>138</v>
      </c>
    </row>
    <row r="246" spans="8:8">
      <c r="H246">
        <f>COUNTIF(H1:H242,"=failed")</f>
        <v>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AC96-AA31-43AC-9778-9DEC24FB79CF}">
  <dimension ref="A1:B20"/>
  <sheetViews>
    <sheetView workbookViewId="0">
      <selection activeCell="B20" sqref="B20"/>
    </sheetView>
  </sheetViews>
  <sheetFormatPr defaultRowHeight="15"/>
  <cols>
    <col min="1" max="1" width="23.7109375" customWidth="1"/>
    <col min="2" max="2" width="55.5703125" customWidth="1"/>
    <col min="6" max="6" width="14.28515625" customWidth="1"/>
  </cols>
  <sheetData>
    <row r="1" spans="1:2">
      <c r="A1" s="78" t="s">
        <v>2890</v>
      </c>
      <c r="B1" s="79" t="s">
        <v>2891</v>
      </c>
    </row>
    <row r="2" spans="1:2">
      <c r="A2">
        <v>1</v>
      </c>
      <c r="B2" s="68" t="s">
        <v>2892</v>
      </c>
    </row>
    <row r="3" spans="1:2">
      <c r="A3">
        <v>2</v>
      </c>
      <c r="B3" s="68" t="s">
        <v>2893</v>
      </c>
    </row>
    <row r="4" spans="1:2">
      <c r="A4">
        <v>3</v>
      </c>
      <c r="B4" s="68" t="s">
        <v>2894</v>
      </c>
    </row>
    <row r="5" spans="1:2">
      <c r="A5">
        <v>4</v>
      </c>
      <c r="B5" s="68" t="s">
        <v>2895</v>
      </c>
    </row>
    <row r="6" spans="1:2">
      <c r="A6">
        <v>5</v>
      </c>
      <c r="B6" s="68" t="s">
        <v>2896</v>
      </c>
    </row>
    <row r="7" spans="1:2">
      <c r="A7">
        <v>6</v>
      </c>
      <c r="B7" s="68" t="s">
        <v>2897</v>
      </c>
    </row>
    <row r="8" spans="1:2">
      <c r="A8">
        <v>7</v>
      </c>
      <c r="B8" s="68" t="s">
        <v>2898</v>
      </c>
    </row>
    <row r="9" spans="1:2">
      <c r="A9">
        <v>8</v>
      </c>
      <c r="B9" s="68" t="s">
        <v>2899</v>
      </c>
    </row>
    <row r="10" spans="1:2">
      <c r="A10">
        <v>9</v>
      </c>
      <c r="B10" s="68" t="s">
        <v>2900</v>
      </c>
    </row>
    <row r="11" spans="1:2">
      <c r="A11">
        <v>10</v>
      </c>
      <c r="B11" s="68" t="s">
        <v>2901</v>
      </c>
    </row>
    <row r="12" spans="1:2">
      <c r="A12">
        <v>11</v>
      </c>
      <c r="B12" s="68" t="s">
        <v>2902</v>
      </c>
    </row>
    <row r="13" spans="1:2">
      <c r="A13">
        <v>12</v>
      </c>
      <c r="B13" s="68" t="s">
        <v>2903</v>
      </c>
    </row>
    <row r="14" spans="1:2">
      <c r="A14">
        <v>13</v>
      </c>
      <c r="B14" s="68" t="s">
        <v>2904</v>
      </c>
    </row>
    <row r="15" spans="1:2">
      <c r="A15">
        <v>14</v>
      </c>
      <c r="B15" s="68" t="s">
        <v>2905</v>
      </c>
    </row>
    <row r="16" spans="1:2">
      <c r="A16">
        <v>15</v>
      </c>
      <c r="B16" s="68" t="s">
        <v>2906</v>
      </c>
    </row>
    <row r="17" spans="1:2">
      <c r="A17">
        <v>16</v>
      </c>
      <c r="B17" s="68" t="s">
        <v>2907</v>
      </c>
    </row>
    <row r="18" spans="1:2">
      <c r="A18">
        <v>17</v>
      </c>
      <c r="B18" s="68" t="s">
        <v>2908</v>
      </c>
    </row>
    <row r="19" spans="1:2">
      <c r="A19">
        <v>18</v>
      </c>
      <c r="B19" s="68" t="s">
        <v>2909</v>
      </c>
    </row>
    <row r="20" spans="1:2">
      <c r="B20" s="68"/>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22ED3-4BDC-43C1-8352-6E5FE0B61326}">
  <dimension ref="A1:U139"/>
  <sheetViews>
    <sheetView workbookViewId="0"/>
  </sheetViews>
  <sheetFormatPr defaultRowHeight="15"/>
  <cols>
    <col min="1" max="1" width="39.5703125" bestFit="1" customWidth="1"/>
    <col min="2" max="2" width="14.5703125" bestFit="1" customWidth="1"/>
    <col min="3" max="3" width="39.5703125" bestFit="1" customWidth="1"/>
    <col min="4" max="4" width="10.42578125" bestFit="1" customWidth="1"/>
    <col min="5" max="5" width="75.140625" bestFit="1" customWidth="1"/>
    <col min="6" max="6" width="33.5703125" bestFit="1" customWidth="1"/>
    <col min="7" max="7" width="16.7109375" bestFit="1" customWidth="1"/>
    <col min="8" max="8" width="12.85546875" bestFit="1" customWidth="1"/>
    <col min="9" max="9" width="13" bestFit="1" customWidth="1"/>
    <col min="10" max="10" width="13.42578125" bestFit="1" customWidth="1"/>
    <col min="11" max="11" width="20.28515625" bestFit="1" customWidth="1"/>
    <col min="12" max="12" width="19" bestFit="1" customWidth="1"/>
    <col min="15" max="15" width="12.7109375" bestFit="1" customWidth="1"/>
    <col min="16" max="16" width="20.5703125" bestFit="1" customWidth="1"/>
    <col min="17" max="17" width="194.28515625" bestFit="1" customWidth="1"/>
    <col min="18" max="18" width="48.85546875" bestFit="1" customWidth="1"/>
    <col min="19" max="19" width="40.28515625" bestFit="1" customWidth="1"/>
    <col min="20" max="20" width="255.7109375" bestFit="1" customWidth="1"/>
    <col min="21" max="21" width="84.42578125" bestFit="1" customWidth="1"/>
  </cols>
  <sheetData>
    <row r="1" spans="1:21">
      <c r="A1" s="39" t="s">
        <v>2910</v>
      </c>
    </row>
    <row r="3" spans="1:21">
      <c r="A3" t="s">
        <v>0</v>
      </c>
      <c r="B3" t="s">
        <v>2911</v>
      </c>
      <c r="C3" t="s">
        <v>2912</v>
      </c>
      <c r="D3" t="s">
        <v>2913</v>
      </c>
      <c r="E3" t="s">
        <v>2914</v>
      </c>
      <c r="F3" t="s">
        <v>2915</v>
      </c>
      <c r="G3" t="s">
        <v>2916</v>
      </c>
      <c r="H3" t="s">
        <v>2917</v>
      </c>
      <c r="I3" t="s">
        <v>388</v>
      </c>
      <c r="J3" t="s">
        <v>2918</v>
      </c>
      <c r="K3" t="s">
        <v>2919</v>
      </c>
      <c r="L3" t="s">
        <v>2920</v>
      </c>
      <c r="M3" t="s">
        <v>2921</v>
      </c>
      <c r="N3" t="s">
        <v>2922</v>
      </c>
      <c r="O3" t="s">
        <v>2923</v>
      </c>
      <c r="P3" t="s">
        <v>2924</v>
      </c>
      <c r="Q3" t="s">
        <v>2925</v>
      </c>
      <c r="R3" t="s">
        <v>2926</v>
      </c>
      <c r="S3" t="s">
        <v>2927</v>
      </c>
      <c r="T3" t="s">
        <v>2928</v>
      </c>
      <c r="U3" t="s">
        <v>2929</v>
      </c>
    </row>
    <row r="4" spans="1:21">
      <c r="A4" t="s">
        <v>329</v>
      </c>
      <c r="B4" t="s">
        <v>228</v>
      </c>
      <c r="C4" t="s">
        <v>330</v>
      </c>
      <c r="D4" t="s">
        <v>37</v>
      </c>
      <c r="E4" t="s">
        <v>2930</v>
      </c>
      <c r="F4" t="s">
        <v>2931</v>
      </c>
      <c r="G4" s="49">
        <v>44816</v>
      </c>
      <c r="H4">
        <v>101</v>
      </c>
      <c r="I4">
        <v>6</v>
      </c>
      <c r="J4">
        <v>5.9405940594059403E-2</v>
      </c>
      <c r="K4" t="s">
        <v>331</v>
      </c>
      <c r="L4" t="s">
        <v>2166</v>
      </c>
      <c r="M4" t="s">
        <v>2932</v>
      </c>
      <c r="N4" t="s">
        <v>471</v>
      </c>
      <c r="O4" t="s">
        <v>2933</v>
      </c>
      <c r="P4" t="s">
        <v>2934</v>
      </c>
      <c r="Q4" t="s">
        <v>2935</v>
      </c>
      <c r="R4" t="s">
        <v>2936</v>
      </c>
      <c r="T4" s="46" t="s">
        <v>2937</v>
      </c>
      <c r="U4" t="s">
        <v>2938</v>
      </c>
    </row>
    <row r="5" spans="1:21">
      <c r="A5" t="s">
        <v>360</v>
      </c>
      <c r="B5" t="s">
        <v>29</v>
      </c>
      <c r="C5" t="s">
        <v>361</v>
      </c>
      <c r="D5" t="s">
        <v>22</v>
      </c>
      <c r="E5" t="s">
        <v>2939</v>
      </c>
      <c r="F5" t="s">
        <v>2940</v>
      </c>
      <c r="G5" s="49">
        <v>44818</v>
      </c>
      <c r="H5">
        <v>192</v>
      </c>
      <c r="I5">
        <v>0</v>
      </c>
      <c r="J5">
        <v>0</v>
      </c>
      <c r="K5" t="s">
        <v>2941</v>
      </c>
      <c r="L5" t="s">
        <v>1893</v>
      </c>
      <c r="M5" t="s">
        <v>2942</v>
      </c>
      <c r="N5" t="s">
        <v>471</v>
      </c>
      <c r="O5" t="s">
        <v>2933</v>
      </c>
      <c r="P5" t="s">
        <v>2934</v>
      </c>
      <c r="Q5" t="s">
        <v>2943</v>
      </c>
      <c r="R5">
        <v>0</v>
      </c>
      <c r="T5">
        <v>0</v>
      </c>
      <c r="U5">
        <v>0</v>
      </c>
    </row>
    <row r="6" spans="1:21">
      <c r="A6" t="s">
        <v>378</v>
      </c>
      <c r="B6" t="s">
        <v>29</v>
      </c>
      <c r="C6" t="s">
        <v>377</v>
      </c>
      <c r="D6" t="s">
        <v>37</v>
      </c>
      <c r="E6" t="s">
        <v>2944</v>
      </c>
      <c r="F6" t="s">
        <v>2945</v>
      </c>
      <c r="G6" s="49">
        <v>44819</v>
      </c>
      <c r="H6">
        <v>152</v>
      </c>
      <c r="I6">
        <v>27</v>
      </c>
      <c r="J6">
        <v>0.17763157894736842</v>
      </c>
      <c r="K6" t="s">
        <v>245</v>
      </c>
      <c r="L6" t="s">
        <v>1893</v>
      </c>
      <c r="M6" t="s">
        <v>2942</v>
      </c>
      <c r="N6" t="s">
        <v>471</v>
      </c>
      <c r="O6" t="s">
        <v>2933</v>
      </c>
      <c r="P6" t="s">
        <v>2934</v>
      </c>
      <c r="Q6">
        <v>0</v>
      </c>
      <c r="R6" t="s">
        <v>2946</v>
      </c>
      <c r="T6">
        <v>0</v>
      </c>
      <c r="U6">
        <v>0</v>
      </c>
    </row>
    <row r="7" spans="1:21">
      <c r="A7" t="s">
        <v>1352</v>
      </c>
      <c r="B7" t="s">
        <v>2886</v>
      </c>
      <c r="C7" t="s">
        <v>1354</v>
      </c>
      <c r="D7" t="s">
        <v>37</v>
      </c>
      <c r="E7" t="s">
        <v>2939</v>
      </c>
      <c r="F7" t="s">
        <v>2947</v>
      </c>
      <c r="G7" s="49">
        <v>44830</v>
      </c>
      <c r="H7">
        <v>102</v>
      </c>
      <c r="I7">
        <v>0</v>
      </c>
      <c r="J7">
        <v>0</v>
      </c>
      <c r="K7" t="s">
        <v>2766</v>
      </c>
      <c r="L7" t="s">
        <v>2171</v>
      </c>
      <c r="M7" t="s">
        <v>2948</v>
      </c>
      <c r="N7" t="s">
        <v>471</v>
      </c>
      <c r="O7" t="s">
        <v>2933</v>
      </c>
      <c r="P7" t="s">
        <v>2934</v>
      </c>
      <c r="Q7" t="s">
        <v>2949</v>
      </c>
      <c r="R7" t="s">
        <v>2950</v>
      </c>
      <c r="T7" t="s">
        <v>2951</v>
      </c>
      <c r="U7" t="s">
        <v>2952</v>
      </c>
    </row>
    <row r="8" spans="1:21">
      <c r="A8" t="s">
        <v>1356</v>
      </c>
      <c r="B8" t="s">
        <v>2886</v>
      </c>
      <c r="C8" t="s">
        <v>1354</v>
      </c>
      <c r="D8" t="s">
        <v>37</v>
      </c>
      <c r="E8" t="s">
        <v>2930</v>
      </c>
      <c r="F8" t="s">
        <v>2953</v>
      </c>
      <c r="G8" s="49">
        <v>44830</v>
      </c>
      <c r="H8">
        <v>102</v>
      </c>
      <c r="I8">
        <v>1</v>
      </c>
      <c r="J8">
        <v>9.8039215686274508E-3</v>
      </c>
      <c r="K8" t="s">
        <v>2766</v>
      </c>
      <c r="L8" t="s">
        <v>2171</v>
      </c>
      <c r="M8" t="s">
        <v>2948</v>
      </c>
      <c r="N8" t="s">
        <v>471</v>
      </c>
      <c r="O8" t="s">
        <v>2933</v>
      </c>
      <c r="P8" t="s">
        <v>2934</v>
      </c>
      <c r="Q8" t="s">
        <v>2954</v>
      </c>
      <c r="R8" t="s">
        <v>2950</v>
      </c>
      <c r="T8" t="s">
        <v>2951</v>
      </c>
      <c r="U8" t="e">
        <v>#REF!</v>
      </c>
    </row>
    <row r="9" spans="1:21">
      <c r="A9" t="s">
        <v>2955</v>
      </c>
      <c r="B9" t="s">
        <v>2886</v>
      </c>
      <c r="C9" t="s">
        <v>2798</v>
      </c>
      <c r="D9" t="s">
        <v>37</v>
      </c>
      <c r="E9" t="s">
        <v>2930</v>
      </c>
      <c r="F9" t="s">
        <v>2956</v>
      </c>
      <c r="G9" s="49">
        <v>44832</v>
      </c>
      <c r="H9">
        <v>101</v>
      </c>
      <c r="I9">
        <v>15</v>
      </c>
      <c r="J9">
        <v>0.14851485148514851</v>
      </c>
      <c r="K9" t="s">
        <v>2802</v>
      </c>
      <c r="L9" t="s">
        <v>2166</v>
      </c>
      <c r="M9" t="s">
        <v>2948</v>
      </c>
      <c r="N9" t="s">
        <v>471</v>
      </c>
      <c r="O9" t="s">
        <v>2933</v>
      </c>
      <c r="P9" t="s">
        <v>2934</v>
      </c>
      <c r="Q9" t="s">
        <v>2952</v>
      </c>
      <c r="R9" t="s">
        <v>2957</v>
      </c>
      <c r="T9" t="s">
        <v>2958</v>
      </c>
      <c r="U9" t="s">
        <v>2952</v>
      </c>
    </row>
    <row r="10" spans="1:21">
      <c r="A10" t="s">
        <v>451</v>
      </c>
      <c r="B10" t="s">
        <v>295</v>
      </c>
      <c r="C10" t="s">
        <v>450</v>
      </c>
      <c r="D10" t="s">
        <v>37</v>
      </c>
      <c r="E10" t="s">
        <v>2959</v>
      </c>
      <c r="F10" t="s">
        <v>2960</v>
      </c>
      <c r="G10" s="49">
        <v>44832</v>
      </c>
      <c r="H10">
        <v>61</v>
      </c>
      <c r="I10">
        <v>32</v>
      </c>
      <c r="J10">
        <v>0.52459016393442626</v>
      </c>
      <c r="K10" t="s">
        <v>452</v>
      </c>
      <c r="L10" t="s">
        <v>1893</v>
      </c>
      <c r="M10" t="s">
        <v>2942</v>
      </c>
      <c r="N10" t="s">
        <v>471</v>
      </c>
      <c r="O10" t="s">
        <v>2933</v>
      </c>
      <c r="P10" t="s">
        <v>2934</v>
      </c>
      <c r="Q10" t="s">
        <v>2961</v>
      </c>
      <c r="R10">
        <v>0</v>
      </c>
      <c r="T10">
        <v>0</v>
      </c>
      <c r="U10">
        <v>0</v>
      </c>
    </row>
    <row r="11" spans="1:21">
      <c r="A11" t="s">
        <v>456</v>
      </c>
      <c r="B11" t="s">
        <v>29</v>
      </c>
      <c r="C11" t="s">
        <v>457</v>
      </c>
      <c r="D11" t="s">
        <v>37</v>
      </c>
      <c r="E11" t="s">
        <v>2959</v>
      </c>
      <c r="F11" t="s">
        <v>2962</v>
      </c>
      <c r="G11" s="49">
        <v>44833</v>
      </c>
      <c r="H11">
        <v>137</v>
      </c>
      <c r="I11">
        <v>33</v>
      </c>
      <c r="J11">
        <v>0.24087591240875914</v>
      </c>
      <c r="K11" t="s">
        <v>416</v>
      </c>
      <c r="L11" t="s">
        <v>1893</v>
      </c>
      <c r="M11" t="s">
        <v>2942</v>
      </c>
      <c r="N11" t="s">
        <v>471</v>
      </c>
      <c r="O11" t="s">
        <v>2933</v>
      </c>
      <c r="P11" t="s">
        <v>2934</v>
      </c>
      <c r="Q11" t="s">
        <v>2961</v>
      </c>
      <c r="R11">
        <v>0</v>
      </c>
      <c r="T11">
        <v>0</v>
      </c>
      <c r="U11">
        <v>0</v>
      </c>
    </row>
    <row r="12" spans="1:21">
      <c r="A12" t="s">
        <v>453</v>
      </c>
      <c r="B12" t="s">
        <v>2886</v>
      </c>
      <c r="C12" t="s">
        <v>454</v>
      </c>
      <c r="D12" t="s">
        <v>37</v>
      </c>
      <c r="E12" t="s">
        <v>2930</v>
      </c>
      <c r="F12" t="s">
        <v>2963</v>
      </c>
      <c r="G12" s="49">
        <v>44833</v>
      </c>
      <c r="H12">
        <v>101</v>
      </c>
      <c r="I12">
        <v>10</v>
      </c>
      <c r="J12">
        <v>9.9009900990099015E-2</v>
      </c>
      <c r="K12" t="s">
        <v>455</v>
      </c>
      <c r="L12" t="s">
        <v>2166</v>
      </c>
      <c r="M12" t="s">
        <v>2948</v>
      </c>
      <c r="N12" t="s">
        <v>471</v>
      </c>
      <c r="O12" t="s">
        <v>2933</v>
      </c>
      <c r="P12" t="s">
        <v>2934</v>
      </c>
      <c r="Q12" t="s">
        <v>2964</v>
      </c>
      <c r="R12" t="s">
        <v>2957</v>
      </c>
      <c r="T12" t="s">
        <v>2965</v>
      </c>
      <c r="U12">
        <v>0</v>
      </c>
    </row>
    <row r="13" spans="1:21">
      <c r="B13" t="s">
        <v>228</v>
      </c>
      <c r="C13" t="s">
        <v>2966</v>
      </c>
      <c r="D13" t="s">
        <v>37</v>
      </c>
      <c r="E13" t="s">
        <v>2930</v>
      </c>
      <c r="F13" t="s">
        <v>2967</v>
      </c>
      <c r="G13" s="49">
        <v>44838</v>
      </c>
      <c r="H13">
        <v>101</v>
      </c>
      <c r="I13">
        <v>50</v>
      </c>
      <c r="J13">
        <v>0.49504950495049505</v>
      </c>
      <c r="K13" t="s">
        <v>2968</v>
      </c>
      <c r="L13" t="s">
        <v>2166</v>
      </c>
      <c r="M13" t="s">
        <v>2948</v>
      </c>
      <c r="O13" t="s">
        <v>2933</v>
      </c>
      <c r="P13" t="s">
        <v>2934</v>
      </c>
      <c r="Q13" t="s">
        <v>2969</v>
      </c>
    </row>
    <row r="14" spans="1:21">
      <c r="A14" t="s">
        <v>2970</v>
      </c>
      <c r="B14" t="s">
        <v>2886</v>
      </c>
      <c r="C14" t="s">
        <v>2971</v>
      </c>
      <c r="D14" t="s">
        <v>37</v>
      </c>
      <c r="E14" t="s">
        <v>2930</v>
      </c>
      <c r="F14" t="s">
        <v>2972</v>
      </c>
      <c r="G14" s="49">
        <v>44847</v>
      </c>
      <c r="H14">
        <v>101</v>
      </c>
      <c r="I14">
        <v>50</v>
      </c>
      <c r="J14">
        <v>0.49504950495049505</v>
      </c>
      <c r="K14" t="s">
        <v>2968</v>
      </c>
      <c r="L14" t="s">
        <v>2166</v>
      </c>
      <c r="M14" t="s">
        <v>2948</v>
      </c>
      <c r="N14" t="s">
        <v>471</v>
      </c>
      <c r="O14" t="s">
        <v>2933</v>
      </c>
      <c r="P14" t="s">
        <v>2934</v>
      </c>
      <c r="Q14" t="s">
        <v>2973</v>
      </c>
      <c r="R14" t="s">
        <v>2957</v>
      </c>
      <c r="T14" t="s">
        <v>2974</v>
      </c>
    </row>
    <row r="15" spans="1:21">
      <c r="A15" t="s">
        <v>2975</v>
      </c>
      <c r="B15" t="s">
        <v>29</v>
      </c>
      <c r="C15" t="s">
        <v>2976</v>
      </c>
      <c r="D15" t="s">
        <v>37</v>
      </c>
      <c r="E15" t="s">
        <v>2977</v>
      </c>
      <c r="F15" t="s">
        <v>2978</v>
      </c>
      <c r="G15" s="49">
        <v>44848</v>
      </c>
      <c r="H15">
        <v>210</v>
      </c>
      <c r="I15">
        <v>156</v>
      </c>
      <c r="J15">
        <v>0.74285714285714288</v>
      </c>
      <c r="K15" t="s">
        <v>2979</v>
      </c>
      <c r="L15" t="s">
        <v>1893</v>
      </c>
      <c r="M15" t="s">
        <v>2942</v>
      </c>
      <c r="N15" t="s">
        <v>471</v>
      </c>
      <c r="O15" t="s">
        <v>2933</v>
      </c>
      <c r="P15" t="s">
        <v>2934</v>
      </c>
      <c r="Q15" t="s">
        <v>2980</v>
      </c>
    </row>
    <row r="16" spans="1:21">
      <c r="A16" t="s">
        <v>2981</v>
      </c>
      <c r="B16" t="s">
        <v>2886</v>
      </c>
      <c r="C16" t="s">
        <v>2982</v>
      </c>
      <c r="D16" t="s">
        <v>37</v>
      </c>
      <c r="E16" t="s">
        <v>2930</v>
      </c>
      <c r="F16" t="s">
        <v>2983</v>
      </c>
      <c r="G16" s="49">
        <v>44848</v>
      </c>
      <c r="H16">
        <v>48</v>
      </c>
      <c r="I16">
        <v>23</v>
      </c>
      <c r="J16">
        <v>0.47916666666666669</v>
      </c>
      <c r="K16" t="s">
        <v>2984</v>
      </c>
      <c r="L16" t="s">
        <v>2166</v>
      </c>
      <c r="M16" t="s">
        <v>2948</v>
      </c>
      <c r="N16" t="s">
        <v>471</v>
      </c>
      <c r="O16" t="s">
        <v>2933</v>
      </c>
      <c r="P16" t="s">
        <v>2934</v>
      </c>
      <c r="Q16" t="s">
        <v>2985</v>
      </c>
      <c r="T16" t="s">
        <v>2974</v>
      </c>
    </row>
    <row r="17" spans="1:21">
      <c r="A17" t="s">
        <v>2986</v>
      </c>
      <c r="B17" t="s">
        <v>29</v>
      </c>
      <c r="C17" t="s">
        <v>2987</v>
      </c>
      <c r="D17" t="s">
        <v>37</v>
      </c>
      <c r="E17" t="s">
        <v>2988</v>
      </c>
      <c r="F17" t="s">
        <v>2989</v>
      </c>
      <c r="G17" s="49">
        <v>44851</v>
      </c>
      <c r="H17">
        <v>60</v>
      </c>
      <c r="I17">
        <v>0</v>
      </c>
      <c r="J17">
        <v>0</v>
      </c>
      <c r="K17" t="s">
        <v>2990</v>
      </c>
      <c r="L17" t="s">
        <v>1893</v>
      </c>
      <c r="M17" t="s">
        <v>2942</v>
      </c>
      <c r="N17" t="s">
        <v>471</v>
      </c>
      <c r="O17" t="s">
        <v>2933</v>
      </c>
      <c r="P17" t="s">
        <v>2934</v>
      </c>
      <c r="Q17" t="s">
        <v>2991</v>
      </c>
      <c r="T17" t="s">
        <v>2992</v>
      </c>
    </row>
    <row r="18" spans="1:21">
      <c r="A18" t="s">
        <v>2993</v>
      </c>
      <c r="B18" t="s">
        <v>2886</v>
      </c>
      <c r="C18" t="s">
        <v>2994</v>
      </c>
      <c r="D18" t="s">
        <v>37</v>
      </c>
      <c r="E18" t="s">
        <v>2930</v>
      </c>
      <c r="F18" t="s">
        <v>2995</v>
      </c>
      <c r="G18" s="49">
        <v>44855</v>
      </c>
      <c r="H18">
        <v>101</v>
      </c>
      <c r="I18">
        <v>49</v>
      </c>
      <c r="J18">
        <v>0.48514851485148514</v>
      </c>
      <c r="K18" t="s">
        <v>2996</v>
      </c>
      <c r="L18" t="s">
        <v>2166</v>
      </c>
      <c r="M18" t="s">
        <v>2948</v>
      </c>
      <c r="N18" t="s">
        <v>471</v>
      </c>
      <c r="O18" t="s">
        <v>2933</v>
      </c>
      <c r="P18" t="s">
        <v>2934</v>
      </c>
      <c r="Q18" t="s">
        <v>2997</v>
      </c>
      <c r="R18">
        <v>20221024</v>
      </c>
      <c r="T18" t="s">
        <v>2998</v>
      </c>
    </row>
    <row r="19" spans="1:21">
      <c r="A19" t="s">
        <v>2999</v>
      </c>
      <c r="B19" t="s">
        <v>2886</v>
      </c>
      <c r="C19" t="s">
        <v>3000</v>
      </c>
      <c r="D19" t="s">
        <v>37</v>
      </c>
      <c r="E19" t="s">
        <v>2930</v>
      </c>
      <c r="F19" t="s">
        <v>3001</v>
      </c>
      <c r="G19" s="49">
        <v>44856</v>
      </c>
      <c r="H19">
        <v>53</v>
      </c>
      <c r="I19">
        <v>2</v>
      </c>
      <c r="J19">
        <v>3.7735849056603772E-2</v>
      </c>
      <c r="K19" t="s">
        <v>2968</v>
      </c>
      <c r="L19" t="s">
        <v>2166</v>
      </c>
      <c r="M19" t="s">
        <v>2948</v>
      </c>
      <c r="N19" t="s">
        <v>471</v>
      </c>
      <c r="O19" t="s">
        <v>2933</v>
      </c>
      <c r="P19" t="s">
        <v>2934</v>
      </c>
      <c r="Q19" t="s">
        <v>3002</v>
      </c>
      <c r="T19" t="s">
        <v>3003</v>
      </c>
    </row>
    <row r="20" spans="1:21">
      <c r="A20" t="s">
        <v>3004</v>
      </c>
      <c r="B20" t="s">
        <v>228</v>
      </c>
      <c r="C20" t="s">
        <v>3005</v>
      </c>
      <c r="D20" t="s">
        <v>37</v>
      </c>
      <c r="E20" t="s">
        <v>2930</v>
      </c>
      <c r="F20" t="s">
        <v>3006</v>
      </c>
      <c r="G20" s="49">
        <v>44856</v>
      </c>
      <c r="H20">
        <v>102</v>
      </c>
      <c r="I20">
        <v>8</v>
      </c>
      <c r="J20">
        <v>7.8431372549019607E-2</v>
      </c>
      <c r="K20" t="s">
        <v>3007</v>
      </c>
      <c r="L20" t="s">
        <v>2171</v>
      </c>
      <c r="M20" t="s">
        <v>2948</v>
      </c>
      <c r="N20" t="s">
        <v>471</v>
      </c>
      <c r="O20" t="s">
        <v>2933</v>
      </c>
      <c r="P20" t="s">
        <v>2934</v>
      </c>
      <c r="Q20" t="s">
        <v>3008</v>
      </c>
    </row>
    <row r="21" spans="1:21">
      <c r="A21" t="s">
        <v>3009</v>
      </c>
      <c r="B21" t="s">
        <v>228</v>
      </c>
      <c r="C21" t="s">
        <v>3010</v>
      </c>
      <c r="D21" t="s">
        <v>37</v>
      </c>
      <c r="E21" t="s">
        <v>2930</v>
      </c>
      <c r="F21" t="s">
        <v>3011</v>
      </c>
      <c r="G21" s="49">
        <v>44858</v>
      </c>
      <c r="H21">
        <v>78</v>
      </c>
      <c r="I21">
        <v>53</v>
      </c>
      <c r="J21">
        <v>0.67948717948717952</v>
      </c>
      <c r="K21" t="s">
        <v>2984</v>
      </c>
      <c r="L21" t="s">
        <v>2166</v>
      </c>
      <c r="M21" t="s">
        <v>2948</v>
      </c>
      <c r="N21" t="s">
        <v>471</v>
      </c>
      <c r="O21" t="s">
        <v>2933</v>
      </c>
      <c r="P21" t="s">
        <v>2934</v>
      </c>
      <c r="Q21" t="s">
        <v>3012</v>
      </c>
      <c r="R21" t="s">
        <v>3013</v>
      </c>
      <c r="T21" t="s">
        <v>3014</v>
      </c>
    </row>
    <row r="22" spans="1:21">
      <c r="A22" t="s">
        <v>3015</v>
      </c>
      <c r="B22" t="s">
        <v>228</v>
      </c>
      <c r="C22" t="s">
        <v>3010</v>
      </c>
      <c r="D22" t="s">
        <v>37</v>
      </c>
      <c r="E22" t="s">
        <v>2939</v>
      </c>
      <c r="F22" t="s">
        <v>3011</v>
      </c>
      <c r="G22" s="49">
        <v>44858</v>
      </c>
      <c r="H22">
        <v>78</v>
      </c>
      <c r="I22">
        <v>28</v>
      </c>
      <c r="J22">
        <v>0.35897435897435898</v>
      </c>
      <c r="K22" t="s">
        <v>2968</v>
      </c>
      <c r="L22" t="s">
        <v>2166</v>
      </c>
      <c r="M22" t="s">
        <v>2948</v>
      </c>
      <c r="N22" t="s">
        <v>471</v>
      </c>
      <c r="O22" t="s">
        <v>2933</v>
      </c>
      <c r="P22" t="s">
        <v>2934</v>
      </c>
      <c r="Q22" t="s">
        <v>3016</v>
      </c>
      <c r="R22" t="s">
        <v>3013</v>
      </c>
      <c r="T22" t="s">
        <v>3017</v>
      </c>
    </row>
    <row r="23" spans="1:21">
      <c r="A23" t="s">
        <v>3018</v>
      </c>
      <c r="B23" t="s">
        <v>228</v>
      </c>
      <c r="C23" t="s">
        <v>3010</v>
      </c>
      <c r="D23" t="s">
        <v>37</v>
      </c>
      <c r="E23" t="s">
        <v>2939</v>
      </c>
      <c r="F23" t="s">
        <v>3011</v>
      </c>
      <c r="G23" s="49">
        <v>44858</v>
      </c>
      <c r="H23">
        <v>78</v>
      </c>
      <c r="I23">
        <v>27</v>
      </c>
      <c r="J23">
        <v>0.34615384615384615</v>
      </c>
      <c r="K23" t="s">
        <v>2968</v>
      </c>
      <c r="L23" t="s">
        <v>2166</v>
      </c>
      <c r="M23" t="s">
        <v>2948</v>
      </c>
      <c r="N23" t="s">
        <v>471</v>
      </c>
      <c r="O23" t="s">
        <v>2933</v>
      </c>
      <c r="P23" t="s">
        <v>2934</v>
      </c>
      <c r="Q23" t="s">
        <v>3019</v>
      </c>
      <c r="T23" t="s">
        <v>3020</v>
      </c>
    </row>
    <row r="24" spans="1:21">
      <c r="A24" t="s">
        <v>3021</v>
      </c>
      <c r="B24" t="s">
        <v>228</v>
      </c>
      <c r="C24" t="s">
        <v>3010</v>
      </c>
      <c r="D24" t="s">
        <v>37</v>
      </c>
      <c r="E24" t="s">
        <v>2939</v>
      </c>
      <c r="F24" t="s">
        <v>3011</v>
      </c>
      <c r="G24" s="49">
        <v>44858</v>
      </c>
      <c r="H24">
        <v>78</v>
      </c>
      <c r="I24">
        <v>26</v>
      </c>
      <c r="J24">
        <v>0.33333333333333331</v>
      </c>
      <c r="K24" t="s">
        <v>2968</v>
      </c>
      <c r="L24" t="s">
        <v>2166</v>
      </c>
      <c r="M24" t="s">
        <v>2948</v>
      </c>
      <c r="N24" t="s">
        <v>471</v>
      </c>
      <c r="O24" t="s">
        <v>2933</v>
      </c>
      <c r="P24" t="s">
        <v>2934</v>
      </c>
      <c r="Q24" t="s">
        <v>3016</v>
      </c>
      <c r="R24" t="s">
        <v>3013</v>
      </c>
      <c r="T24" t="s">
        <v>3017</v>
      </c>
    </row>
    <row r="25" spans="1:21">
      <c r="A25" t="s">
        <v>3022</v>
      </c>
      <c r="B25" t="s">
        <v>2886</v>
      </c>
      <c r="C25" t="s">
        <v>3023</v>
      </c>
      <c r="D25" t="s">
        <v>37</v>
      </c>
      <c r="E25" t="s">
        <v>2930</v>
      </c>
      <c r="F25" t="s">
        <v>3024</v>
      </c>
      <c r="G25" s="49">
        <v>44860</v>
      </c>
      <c r="H25">
        <v>101</v>
      </c>
      <c r="I25">
        <v>49</v>
      </c>
      <c r="J25">
        <v>0.48514851485148514</v>
      </c>
      <c r="K25" t="s">
        <v>2298</v>
      </c>
      <c r="L25" t="s">
        <v>2166</v>
      </c>
      <c r="M25" t="s">
        <v>2948</v>
      </c>
      <c r="N25" t="s">
        <v>471</v>
      </c>
      <c r="O25" t="s">
        <v>2933</v>
      </c>
      <c r="P25" t="s">
        <v>2934</v>
      </c>
      <c r="Q25" t="s">
        <v>3025</v>
      </c>
      <c r="R25" t="s">
        <v>3026</v>
      </c>
      <c r="T25" t="s">
        <v>3027</v>
      </c>
      <c r="U25" t="s">
        <v>3028</v>
      </c>
    </row>
    <row r="26" spans="1:21">
      <c r="A26" t="s">
        <v>3029</v>
      </c>
      <c r="B26" t="s">
        <v>295</v>
      </c>
      <c r="C26" t="s">
        <v>3030</v>
      </c>
      <c r="D26" t="s">
        <v>37</v>
      </c>
      <c r="E26" t="s">
        <v>2988</v>
      </c>
      <c r="F26" t="s">
        <v>3031</v>
      </c>
      <c r="G26" s="49">
        <v>44863</v>
      </c>
      <c r="H26">
        <v>78</v>
      </c>
      <c r="I26">
        <v>0</v>
      </c>
      <c r="J26">
        <v>0</v>
      </c>
      <c r="K26" t="s">
        <v>293</v>
      </c>
      <c r="L26" t="s">
        <v>1893</v>
      </c>
      <c r="M26" t="s">
        <v>2942</v>
      </c>
      <c r="N26" t="s">
        <v>471</v>
      </c>
      <c r="O26" t="s">
        <v>2933</v>
      </c>
      <c r="P26" t="s">
        <v>2934</v>
      </c>
      <c r="Q26" t="s">
        <v>3032</v>
      </c>
      <c r="T26" t="s">
        <v>3033</v>
      </c>
    </row>
    <row r="27" spans="1:21">
      <c r="A27" t="s">
        <v>3034</v>
      </c>
      <c r="B27" t="s">
        <v>228</v>
      </c>
      <c r="C27" t="s">
        <v>3035</v>
      </c>
      <c r="D27" t="s">
        <v>37</v>
      </c>
      <c r="E27" t="s">
        <v>2930</v>
      </c>
      <c r="F27" t="s">
        <v>3036</v>
      </c>
      <c r="G27" s="49">
        <v>44865</v>
      </c>
      <c r="H27">
        <v>100</v>
      </c>
      <c r="I27">
        <v>6</v>
      </c>
      <c r="J27">
        <v>0.06</v>
      </c>
      <c r="K27" t="s">
        <v>3007</v>
      </c>
      <c r="L27" t="s">
        <v>2171</v>
      </c>
      <c r="M27" t="s">
        <v>2948</v>
      </c>
      <c r="N27" t="s">
        <v>471</v>
      </c>
      <c r="O27" t="s">
        <v>2933</v>
      </c>
      <c r="P27" t="s">
        <v>2934</v>
      </c>
      <c r="Q27" t="s">
        <v>3037</v>
      </c>
    </row>
    <row r="28" spans="1:21">
      <c r="A28" t="s">
        <v>3038</v>
      </c>
      <c r="B28" t="s">
        <v>2886</v>
      </c>
      <c r="C28" t="s">
        <v>3039</v>
      </c>
      <c r="D28" t="s">
        <v>37</v>
      </c>
      <c r="E28" t="s">
        <v>2930</v>
      </c>
      <c r="F28" t="s">
        <v>3040</v>
      </c>
      <c r="G28" s="49">
        <v>44865</v>
      </c>
      <c r="H28">
        <v>101</v>
      </c>
      <c r="I28">
        <v>49</v>
      </c>
      <c r="J28">
        <v>0.48514851485148514</v>
      </c>
      <c r="K28" t="s">
        <v>2996</v>
      </c>
      <c r="L28" t="s">
        <v>2166</v>
      </c>
      <c r="M28" t="s">
        <v>2948</v>
      </c>
      <c r="N28" t="s">
        <v>471</v>
      </c>
      <c r="O28" t="s">
        <v>2933</v>
      </c>
      <c r="P28" t="s">
        <v>2934</v>
      </c>
      <c r="Q28" t="s">
        <v>3041</v>
      </c>
      <c r="R28" t="s">
        <v>3026</v>
      </c>
      <c r="T28" t="s">
        <v>3042</v>
      </c>
    </row>
    <row r="29" spans="1:21">
      <c r="B29" t="s">
        <v>228</v>
      </c>
      <c r="C29" t="s">
        <v>3043</v>
      </c>
      <c r="D29" t="s">
        <v>37</v>
      </c>
      <c r="E29" t="s">
        <v>2930</v>
      </c>
      <c r="F29" t="s">
        <v>3044</v>
      </c>
      <c r="G29" s="49">
        <v>44869</v>
      </c>
      <c r="H29">
        <v>81</v>
      </c>
      <c r="I29">
        <v>11</v>
      </c>
      <c r="J29">
        <v>0.13580246913580246</v>
      </c>
      <c r="K29" t="s">
        <v>3045</v>
      </c>
      <c r="L29" t="s">
        <v>2171</v>
      </c>
      <c r="M29" t="s">
        <v>2948</v>
      </c>
      <c r="O29" t="s">
        <v>2933</v>
      </c>
      <c r="P29" t="s">
        <v>2934</v>
      </c>
      <c r="Q29" t="s">
        <v>3046</v>
      </c>
    </row>
    <row r="30" spans="1:21">
      <c r="A30" t="s">
        <v>3047</v>
      </c>
      <c r="B30" t="s">
        <v>2886</v>
      </c>
      <c r="C30" t="s">
        <v>3048</v>
      </c>
      <c r="D30" t="s">
        <v>37</v>
      </c>
      <c r="E30" t="s">
        <v>2930</v>
      </c>
      <c r="F30" t="s">
        <v>3049</v>
      </c>
      <c r="G30" s="49">
        <v>44869</v>
      </c>
      <c r="H30">
        <v>100</v>
      </c>
      <c r="I30">
        <v>0</v>
      </c>
      <c r="J30">
        <v>0</v>
      </c>
      <c r="K30" t="s">
        <v>3050</v>
      </c>
      <c r="L30" t="s">
        <v>2171</v>
      </c>
      <c r="M30" t="s">
        <v>2948</v>
      </c>
      <c r="N30" t="s">
        <v>471</v>
      </c>
      <c r="O30" t="s">
        <v>2933</v>
      </c>
      <c r="P30" t="s">
        <v>2934</v>
      </c>
      <c r="Q30" t="s">
        <v>3051</v>
      </c>
    </row>
    <row r="31" spans="1:21">
      <c r="A31" t="s">
        <v>3052</v>
      </c>
      <c r="B31" t="s">
        <v>228</v>
      </c>
      <c r="C31" t="s">
        <v>3053</v>
      </c>
      <c r="D31" t="s">
        <v>37</v>
      </c>
      <c r="E31" t="s">
        <v>2930</v>
      </c>
      <c r="F31" t="s">
        <v>3054</v>
      </c>
      <c r="G31" s="49">
        <v>44870</v>
      </c>
      <c r="H31">
        <v>179</v>
      </c>
      <c r="I31">
        <v>16</v>
      </c>
      <c r="J31">
        <v>8.9385474860335198E-2</v>
      </c>
      <c r="K31" t="s">
        <v>3055</v>
      </c>
      <c r="L31" t="s">
        <v>2171</v>
      </c>
      <c r="M31" t="s">
        <v>2932</v>
      </c>
      <c r="N31" t="s">
        <v>471</v>
      </c>
      <c r="O31" t="s">
        <v>2933</v>
      </c>
      <c r="P31" t="s">
        <v>2934</v>
      </c>
      <c r="Q31" t="s">
        <v>3037</v>
      </c>
    </row>
    <row r="32" spans="1:21">
      <c r="A32" t="s">
        <v>3056</v>
      </c>
      <c r="B32" t="s">
        <v>228</v>
      </c>
      <c r="C32" t="s">
        <v>3057</v>
      </c>
      <c r="D32" t="s">
        <v>37</v>
      </c>
      <c r="E32" t="s">
        <v>2930</v>
      </c>
      <c r="F32" t="s">
        <v>3058</v>
      </c>
      <c r="G32" s="49">
        <v>44871</v>
      </c>
      <c r="H32">
        <v>102</v>
      </c>
      <c r="I32">
        <v>40</v>
      </c>
      <c r="J32">
        <v>0.39215686274509803</v>
      </c>
      <c r="K32" t="s">
        <v>3055</v>
      </c>
      <c r="L32" t="s">
        <v>2171</v>
      </c>
      <c r="M32" t="s">
        <v>2932</v>
      </c>
      <c r="N32" t="s">
        <v>471</v>
      </c>
      <c r="O32" t="s">
        <v>2933</v>
      </c>
      <c r="P32" t="s">
        <v>2934</v>
      </c>
      <c r="Q32" t="s">
        <v>3037</v>
      </c>
    </row>
    <row r="33" spans="1:20">
      <c r="A33" t="s">
        <v>3059</v>
      </c>
      <c r="B33" t="s">
        <v>228</v>
      </c>
      <c r="C33" t="s">
        <v>3060</v>
      </c>
      <c r="D33" t="s">
        <v>37</v>
      </c>
      <c r="E33" t="s">
        <v>2930</v>
      </c>
      <c r="F33" t="s">
        <v>3061</v>
      </c>
      <c r="G33" s="49">
        <v>44873</v>
      </c>
      <c r="H33">
        <v>101</v>
      </c>
      <c r="I33">
        <v>15</v>
      </c>
      <c r="J33">
        <v>0.14851485148514851</v>
      </c>
      <c r="K33" t="s">
        <v>3062</v>
      </c>
      <c r="L33" t="s">
        <v>2171</v>
      </c>
      <c r="M33" t="s">
        <v>2932</v>
      </c>
      <c r="N33" t="s">
        <v>471</v>
      </c>
      <c r="O33" t="s">
        <v>2933</v>
      </c>
      <c r="P33" t="s">
        <v>2934</v>
      </c>
      <c r="Q33" t="s">
        <v>3037</v>
      </c>
    </row>
    <row r="34" spans="1:20">
      <c r="B34" t="s">
        <v>228</v>
      </c>
      <c r="C34" t="s">
        <v>3063</v>
      </c>
      <c r="D34" t="s">
        <v>37</v>
      </c>
      <c r="E34" t="s">
        <v>2930</v>
      </c>
      <c r="F34" t="s">
        <v>3064</v>
      </c>
      <c r="G34" s="49">
        <v>44877</v>
      </c>
      <c r="H34">
        <v>102</v>
      </c>
      <c r="I34">
        <v>40</v>
      </c>
      <c r="J34">
        <v>0.39215686274509803</v>
      </c>
      <c r="K34" t="s">
        <v>3065</v>
      </c>
      <c r="L34" t="s">
        <v>2171</v>
      </c>
      <c r="M34" t="s">
        <v>2948</v>
      </c>
      <c r="O34" t="s">
        <v>2933</v>
      </c>
      <c r="P34" t="s">
        <v>2934</v>
      </c>
      <c r="Q34" t="s">
        <v>3046</v>
      </c>
    </row>
    <row r="35" spans="1:20">
      <c r="B35" t="s">
        <v>2886</v>
      </c>
      <c r="C35" t="s">
        <v>3066</v>
      </c>
      <c r="D35" t="s">
        <v>37</v>
      </c>
      <c r="E35" t="s">
        <v>2930</v>
      </c>
      <c r="F35" t="s">
        <v>3067</v>
      </c>
      <c r="G35" s="49">
        <v>44879</v>
      </c>
      <c r="H35">
        <v>101</v>
      </c>
      <c r="I35">
        <v>49</v>
      </c>
      <c r="J35">
        <v>0.48514851485148514</v>
      </c>
      <c r="K35" t="s">
        <v>2996</v>
      </c>
      <c r="L35" t="s">
        <v>2166</v>
      </c>
      <c r="M35" t="s">
        <v>2948</v>
      </c>
      <c r="O35" t="s">
        <v>2933</v>
      </c>
      <c r="P35" t="s">
        <v>2934</v>
      </c>
    </row>
    <row r="36" spans="1:20">
      <c r="B36" t="s">
        <v>228</v>
      </c>
      <c r="C36" t="s">
        <v>3068</v>
      </c>
      <c r="D36" t="s">
        <v>37</v>
      </c>
      <c r="E36" t="s">
        <v>2939</v>
      </c>
      <c r="F36" t="s">
        <v>3069</v>
      </c>
      <c r="G36" s="49">
        <v>44879</v>
      </c>
      <c r="H36">
        <v>102</v>
      </c>
      <c r="I36">
        <v>9</v>
      </c>
      <c r="J36">
        <v>8.8235294117647065E-2</v>
      </c>
      <c r="K36" t="s">
        <v>2278</v>
      </c>
      <c r="L36" t="s">
        <v>2166</v>
      </c>
      <c r="M36" t="s">
        <v>2948</v>
      </c>
      <c r="O36" t="s">
        <v>2933</v>
      </c>
      <c r="P36" t="s">
        <v>2934</v>
      </c>
    </row>
    <row r="37" spans="1:20">
      <c r="A37" t="s">
        <v>3070</v>
      </c>
      <c r="B37" t="s">
        <v>29</v>
      </c>
      <c r="C37" t="s">
        <v>3071</v>
      </c>
      <c r="D37" t="s">
        <v>37</v>
      </c>
      <c r="E37" t="s">
        <v>2939</v>
      </c>
      <c r="F37" t="s">
        <v>3072</v>
      </c>
      <c r="G37" s="49">
        <v>44895</v>
      </c>
      <c r="H37">
        <v>214</v>
      </c>
      <c r="I37">
        <v>86</v>
      </c>
      <c r="J37">
        <v>0.40186915887850466</v>
      </c>
      <c r="K37" t="s">
        <v>3073</v>
      </c>
      <c r="L37" t="s">
        <v>1893</v>
      </c>
      <c r="M37" t="s">
        <v>2942</v>
      </c>
      <c r="N37" t="s">
        <v>471</v>
      </c>
      <c r="O37" t="s">
        <v>2933</v>
      </c>
      <c r="P37" t="s">
        <v>2934</v>
      </c>
      <c r="R37" t="s">
        <v>3074</v>
      </c>
      <c r="T37" t="s">
        <v>3075</v>
      </c>
    </row>
    <row r="38" spans="1:20">
      <c r="A38" t="s">
        <v>3076</v>
      </c>
      <c r="B38" t="s">
        <v>295</v>
      </c>
      <c r="C38" t="s">
        <v>3077</v>
      </c>
      <c r="D38" t="s">
        <v>388</v>
      </c>
      <c r="E38" t="s">
        <v>2939</v>
      </c>
      <c r="F38" t="s">
        <v>3078</v>
      </c>
      <c r="G38" s="49">
        <v>44895</v>
      </c>
      <c r="H38">
        <v>139</v>
      </c>
      <c r="I38">
        <v>117</v>
      </c>
      <c r="J38">
        <v>0.84172661870503596</v>
      </c>
      <c r="K38" t="s">
        <v>3079</v>
      </c>
      <c r="L38" t="s">
        <v>1873</v>
      </c>
      <c r="M38" t="s">
        <v>2942</v>
      </c>
      <c r="N38" t="s">
        <v>471</v>
      </c>
      <c r="O38" t="s">
        <v>2933</v>
      </c>
      <c r="P38" t="s">
        <v>2934</v>
      </c>
      <c r="Q38" t="s">
        <v>3080</v>
      </c>
      <c r="R38" t="s">
        <v>3081</v>
      </c>
      <c r="T38" t="s">
        <v>3082</v>
      </c>
    </row>
    <row r="39" spans="1:20">
      <c r="A39" t="s">
        <v>3083</v>
      </c>
      <c r="B39" t="s">
        <v>295</v>
      </c>
      <c r="C39" t="s">
        <v>3084</v>
      </c>
      <c r="D39" t="s">
        <v>388</v>
      </c>
      <c r="E39" t="s">
        <v>2939</v>
      </c>
      <c r="F39" t="s">
        <v>3085</v>
      </c>
      <c r="G39" s="49">
        <v>44897</v>
      </c>
      <c r="H39">
        <v>214</v>
      </c>
      <c r="I39">
        <v>179</v>
      </c>
      <c r="J39">
        <v>0.83644859813084116</v>
      </c>
      <c r="K39" t="s">
        <v>365</v>
      </c>
      <c r="L39" t="s">
        <v>1893</v>
      </c>
      <c r="M39" t="s">
        <v>2942</v>
      </c>
      <c r="N39" t="s">
        <v>471</v>
      </c>
      <c r="O39" t="s">
        <v>2933</v>
      </c>
      <c r="P39" t="s">
        <v>2934</v>
      </c>
      <c r="Q39" t="s">
        <v>3086</v>
      </c>
    </row>
    <row r="40" spans="1:20">
      <c r="B40" t="s">
        <v>2886</v>
      </c>
      <c r="C40" t="s">
        <v>3087</v>
      </c>
      <c r="D40" t="s">
        <v>37</v>
      </c>
      <c r="E40" t="s">
        <v>2939</v>
      </c>
      <c r="F40" t="s">
        <v>3088</v>
      </c>
      <c r="G40" s="49">
        <v>44900</v>
      </c>
      <c r="H40">
        <v>85</v>
      </c>
      <c r="I40">
        <v>42</v>
      </c>
      <c r="J40">
        <v>0.49411764705882355</v>
      </c>
      <c r="K40" t="s">
        <v>3089</v>
      </c>
      <c r="L40" t="s">
        <v>3090</v>
      </c>
      <c r="M40" t="s">
        <v>2932</v>
      </c>
      <c r="O40" t="s">
        <v>2933</v>
      </c>
      <c r="P40" t="s">
        <v>2934</v>
      </c>
    </row>
    <row r="41" spans="1:20">
      <c r="A41" t="s">
        <v>3091</v>
      </c>
      <c r="B41" t="s">
        <v>2886</v>
      </c>
      <c r="C41" t="s">
        <v>3092</v>
      </c>
      <c r="D41" t="s">
        <v>37</v>
      </c>
      <c r="E41" t="s">
        <v>2939</v>
      </c>
      <c r="F41" t="s">
        <v>3093</v>
      </c>
      <c r="G41" s="49">
        <v>44901</v>
      </c>
      <c r="H41">
        <v>62</v>
      </c>
      <c r="I41">
        <v>6</v>
      </c>
      <c r="J41">
        <v>9.6774193548387094E-2</v>
      </c>
      <c r="K41" t="s">
        <v>3094</v>
      </c>
      <c r="L41" t="s">
        <v>2171</v>
      </c>
      <c r="M41" t="s">
        <v>2932</v>
      </c>
      <c r="N41" t="s">
        <v>471</v>
      </c>
      <c r="O41" t="s">
        <v>2933</v>
      </c>
      <c r="P41" t="s">
        <v>2934</v>
      </c>
    </row>
    <row r="42" spans="1:20">
      <c r="B42" t="s">
        <v>29</v>
      </c>
      <c r="C42" t="s">
        <v>3095</v>
      </c>
      <c r="D42" t="s">
        <v>37</v>
      </c>
      <c r="E42" t="s">
        <v>2939</v>
      </c>
      <c r="F42" t="s">
        <v>3096</v>
      </c>
      <c r="G42" s="49">
        <v>44901</v>
      </c>
      <c r="H42">
        <v>166</v>
      </c>
      <c r="I42">
        <v>131</v>
      </c>
      <c r="J42">
        <v>0.78915662650602414</v>
      </c>
      <c r="K42" t="s">
        <v>365</v>
      </c>
      <c r="L42" t="s">
        <v>1893</v>
      </c>
      <c r="M42" t="s">
        <v>2942</v>
      </c>
      <c r="O42" t="s">
        <v>2933</v>
      </c>
      <c r="P42" t="s">
        <v>2934</v>
      </c>
    </row>
    <row r="43" spans="1:20">
      <c r="B43" t="s">
        <v>29</v>
      </c>
      <c r="C43" t="s">
        <v>3097</v>
      </c>
      <c r="D43" t="s">
        <v>388</v>
      </c>
      <c r="E43" t="s">
        <v>2939</v>
      </c>
      <c r="F43" t="s">
        <v>3098</v>
      </c>
      <c r="G43" s="49">
        <v>44902</v>
      </c>
      <c r="H43">
        <v>140</v>
      </c>
      <c r="I43">
        <v>3</v>
      </c>
      <c r="J43">
        <v>2.1428571428571429E-2</v>
      </c>
      <c r="K43" t="s">
        <v>3099</v>
      </c>
      <c r="L43" t="s">
        <v>1873</v>
      </c>
      <c r="M43" t="s">
        <v>2942</v>
      </c>
      <c r="O43" t="s">
        <v>2933</v>
      </c>
      <c r="P43" t="s">
        <v>2934</v>
      </c>
    </row>
    <row r="44" spans="1:20">
      <c r="B44" t="s">
        <v>2886</v>
      </c>
      <c r="C44" t="s">
        <v>3100</v>
      </c>
      <c r="D44" t="s">
        <v>388</v>
      </c>
      <c r="E44" t="s">
        <v>2939</v>
      </c>
      <c r="F44" t="s">
        <v>3101</v>
      </c>
      <c r="G44" s="49">
        <v>44903</v>
      </c>
      <c r="H44">
        <v>76</v>
      </c>
      <c r="I44">
        <v>41</v>
      </c>
      <c r="J44">
        <v>0.53947368421052633</v>
      </c>
      <c r="K44" t="s">
        <v>3102</v>
      </c>
      <c r="L44" t="s">
        <v>3103</v>
      </c>
      <c r="M44" t="s">
        <v>2932</v>
      </c>
      <c r="O44" t="s">
        <v>2933</v>
      </c>
      <c r="P44" t="s">
        <v>2934</v>
      </c>
    </row>
    <row r="45" spans="1:20">
      <c r="A45" t="s">
        <v>3104</v>
      </c>
      <c r="B45" t="s">
        <v>295</v>
      </c>
      <c r="C45" t="s">
        <v>3105</v>
      </c>
      <c r="D45" t="s">
        <v>388</v>
      </c>
      <c r="E45" t="s">
        <v>2939</v>
      </c>
      <c r="F45" t="s">
        <v>3106</v>
      </c>
      <c r="G45" s="49">
        <v>44903</v>
      </c>
      <c r="H45">
        <v>194</v>
      </c>
      <c r="I45">
        <v>159</v>
      </c>
      <c r="J45">
        <v>0.81958762886597936</v>
      </c>
      <c r="K45" t="s">
        <v>365</v>
      </c>
      <c r="L45" t="s">
        <v>1893</v>
      </c>
      <c r="M45" t="s">
        <v>2942</v>
      </c>
      <c r="N45" t="s">
        <v>471</v>
      </c>
      <c r="O45" t="s">
        <v>2933</v>
      </c>
      <c r="P45" t="s">
        <v>2934</v>
      </c>
      <c r="Q45" t="s">
        <v>3107</v>
      </c>
    </row>
    <row r="46" spans="1:20">
      <c r="A46" t="s">
        <v>3108</v>
      </c>
      <c r="B46" t="s">
        <v>29</v>
      </c>
      <c r="C46" t="s">
        <v>3109</v>
      </c>
      <c r="D46" t="s">
        <v>388</v>
      </c>
      <c r="E46" t="s">
        <v>2939</v>
      </c>
      <c r="F46" t="s">
        <v>3110</v>
      </c>
      <c r="G46" s="49">
        <v>44904</v>
      </c>
      <c r="H46">
        <v>181</v>
      </c>
      <c r="I46">
        <v>76</v>
      </c>
      <c r="J46">
        <v>0.41988950276243092</v>
      </c>
      <c r="K46" t="s">
        <v>416</v>
      </c>
      <c r="L46" t="s">
        <v>1893</v>
      </c>
      <c r="M46" t="s">
        <v>2942</v>
      </c>
      <c r="N46" t="s">
        <v>471</v>
      </c>
      <c r="O46" t="s">
        <v>2933</v>
      </c>
      <c r="P46" t="s">
        <v>2934</v>
      </c>
      <c r="Q46" t="s">
        <v>3107</v>
      </c>
    </row>
    <row r="47" spans="1:20">
      <c r="A47" t="s">
        <v>3111</v>
      </c>
      <c r="B47" t="s">
        <v>228</v>
      </c>
      <c r="C47" t="s">
        <v>3112</v>
      </c>
      <c r="D47" t="s">
        <v>388</v>
      </c>
      <c r="E47" t="s">
        <v>2939</v>
      </c>
      <c r="F47" t="s">
        <v>3113</v>
      </c>
      <c r="G47" s="49">
        <v>44904</v>
      </c>
      <c r="H47">
        <v>84</v>
      </c>
      <c r="I47">
        <v>81</v>
      </c>
      <c r="J47">
        <v>0.9642857142857143</v>
      </c>
      <c r="K47" t="s">
        <v>3114</v>
      </c>
      <c r="L47" t="s">
        <v>3103</v>
      </c>
      <c r="M47" t="s">
        <v>2932</v>
      </c>
      <c r="N47" t="s">
        <v>471</v>
      </c>
      <c r="O47" t="s">
        <v>2933</v>
      </c>
      <c r="P47" t="s">
        <v>2934</v>
      </c>
    </row>
    <row r="48" spans="1:20">
      <c r="A48" t="s">
        <v>3115</v>
      </c>
      <c r="B48" t="s">
        <v>228</v>
      </c>
      <c r="C48" t="s">
        <v>3112</v>
      </c>
      <c r="D48" t="s">
        <v>388</v>
      </c>
      <c r="E48" t="s">
        <v>2939</v>
      </c>
      <c r="F48" t="s">
        <v>3116</v>
      </c>
      <c r="G48" s="49">
        <v>44904</v>
      </c>
      <c r="H48">
        <v>84</v>
      </c>
      <c r="I48">
        <v>73</v>
      </c>
      <c r="J48">
        <v>0.86904761904761907</v>
      </c>
      <c r="K48" t="s">
        <v>3117</v>
      </c>
      <c r="L48" t="s">
        <v>3103</v>
      </c>
      <c r="M48" t="s">
        <v>2932</v>
      </c>
      <c r="N48" t="s">
        <v>471</v>
      </c>
      <c r="O48" t="s">
        <v>2933</v>
      </c>
      <c r="P48" t="s">
        <v>2934</v>
      </c>
    </row>
    <row r="49" spans="1:17">
      <c r="A49" t="s">
        <v>3118</v>
      </c>
      <c r="B49" t="s">
        <v>29</v>
      </c>
      <c r="C49" t="s">
        <v>3109</v>
      </c>
      <c r="D49" t="s">
        <v>388</v>
      </c>
      <c r="E49" t="s">
        <v>2939</v>
      </c>
      <c r="F49" t="s">
        <v>3119</v>
      </c>
      <c r="G49" s="49">
        <v>44905</v>
      </c>
      <c r="H49">
        <v>181</v>
      </c>
      <c r="I49">
        <v>146</v>
      </c>
      <c r="J49">
        <v>0.8066298342541437</v>
      </c>
      <c r="K49" t="s">
        <v>365</v>
      </c>
      <c r="L49" t="s">
        <v>1893</v>
      </c>
      <c r="M49" t="s">
        <v>2942</v>
      </c>
      <c r="N49" t="s">
        <v>471</v>
      </c>
      <c r="O49" t="s">
        <v>2933</v>
      </c>
      <c r="P49" t="s">
        <v>2934</v>
      </c>
      <c r="Q49" t="s">
        <v>3107</v>
      </c>
    </row>
    <row r="50" spans="1:17">
      <c r="B50" t="s">
        <v>2886</v>
      </c>
      <c r="C50" t="s">
        <v>3120</v>
      </c>
      <c r="D50" t="s">
        <v>37</v>
      </c>
      <c r="E50" t="s">
        <v>2939</v>
      </c>
      <c r="F50" t="s">
        <v>3121</v>
      </c>
      <c r="G50" s="49">
        <v>44908</v>
      </c>
      <c r="H50">
        <v>180</v>
      </c>
      <c r="I50">
        <v>65</v>
      </c>
      <c r="J50">
        <v>0.3611111111111111</v>
      </c>
      <c r="K50" t="s">
        <v>3122</v>
      </c>
      <c r="L50" t="s">
        <v>3123</v>
      </c>
      <c r="M50" t="s">
        <v>2932</v>
      </c>
      <c r="O50" t="s">
        <v>2933</v>
      </c>
      <c r="P50" t="s">
        <v>2934</v>
      </c>
    </row>
    <row r="51" spans="1:17">
      <c r="B51" t="s">
        <v>2886</v>
      </c>
      <c r="C51" t="s">
        <v>3120</v>
      </c>
      <c r="D51" t="s">
        <v>37</v>
      </c>
      <c r="E51" t="s">
        <v>2939</v>
      </c>
      <c r="F51" t="s">
        <v>3124</v>
      </c>
      <c r="G51" s="49">
        <v>44908</v>
      </c>
      <c r="H51">
        <v>180</v>
      </c>
      <c r="I51">
        <v>25</v>
      </c>
      <c r="J51">
        <v>0.1388888888888889</v>
      </c>
      <c r="K51" t="s">
        <v>3125</v>
      </c>
      <c r="L51" t="s">
        <v>3123</v>
      </c>
      <c r="M51" t="s">
        <v>2932</v>
      </c>
      <c r="O51" t="s">
        <v>2933</v>
      </c>
      <c r="P51" t="s">
        <v>2934</v>
      </c>
    </row>
    <row r="52" spans="1:17">
      <c r="B52" t="s">
        <v>2886</v>
      </c>
      <c r="C52" t="s">
        <v>3126</v>
      </c>
      <c r="D52" t="s">
        <v>388</v>
      </c>
      <c r="E52" t="s">
        <v>2939</v>
      </c>
      <c r="F52" t="s">
        <v>3127</v>
      </c>
      <c r="G52" s="49">
        <v>44910</v>
      </c>
      <c r="H52">
        <v>63</v>
      </c>
      <c r="I52">
        <v>48</v>
      </c>
      <c r="J52">
        <v>0.76190476190476186</v>
      </c>
      <c r="K52" t="s">
        <v>3128</v>
      </c>
      <c r="L52" t="s">
        <v>3103</v>
      </c>
      <c r="M52" t="s">
        <v>2932</v>
      </c>
      <c r="O52" t="s">
        <v>2933</v>
      </c>
      <c r="P52" t="s">
        <v>2934</v>
      </c>
    </row>
    <row r="53" spans="1:17">
      <c r="A53" t="s">
        <v>3129</v>
      </c>
      <c r="B53" t="s">
        <v>2886</v>
      </c>
      <c r="C53" t="s">
        <v>3130</v>
      </c>
      <c r="D53" t="s">
        <v>388</v>
      </c>
      <c r="E53" t="s">
        <v>2939</v>
      </c>
      <c r="F53" t="s">
        <v>3131</v>
      </c>
      <c r="G53" s="49">
        <v>44912</v>
      </c>
      <c r="H53">
        <v>89</v>
      </c>
      <c r="I53">
        <v>51</v>
      </c>
      <c r="J53">
        <v>0.5730337078651685</v>
      </c>
      <c r="K53" t="s">
        <v>3132</v>
      </c>
      <c r="L53" t="s">
        <v>3103</v>
      </c>
      <c r="M53" t="s">
        <v>2932</v>
      </c>
      <c r="N53" t="s">
        <v>471</v>
      </c>
      <c r="O53" t="s">
        <v>2933</v>
      </c>
      <c r="P53" t="s">
        <v>2934</v>
      </c>
    </row>
    <row r="54" spans="1:17">
      <c r="A54" t="s">
        <v>3133</v>
      </c>
      <c r="B54" t="s">
        <v>2886</v>
      </c>
      <c r="C54" t="s">
        <v>3134</v>
      </c>
      <c r="D54" t="s">
        <v>37</v>
      </c>
      <c r="E54" t="s">
        <v>2939</v>
      </c>
      <c r="F54" t="s">
        <v>3135</v>
      </c>
      <c r="G54" s="49">
        <v>44913</v>
      </c>
      <c r="H54">
        <v>92</v>
      </c>
      <c r="I54">
        <v>6</v>
      </c>
      <c r="J54">
        <v>6.5217391304347824E-2</v>
      </c>
      <c r="K54" t="s">
        <v>3136</v>
      </c>
      <c r="L54" t="s">
        <v>3090</v>
      </c>
      <c r="M54" t="s">
        <v>2932</v>
      </c>
      <c r="N54" t="s">
        <v>471</v>
      </c>
      <c r="O54" t="s">
        <v>2933</v>
      </c>
      <c r="P54" t="s">
        <v>2934</v>
      </c>
    </row>
    <row r="55" spans="1:17">
      <c r="A55" t="s">
        <v>3137</v>
      </c>
      <c r="B55" t="s">
        <v>2886</v>
      </c>
      <c r="C55" t="s">
        <v>3134</v>
      </c>
      <c r="D55" t="s">
        <v>37</v>
      </c>
      <c r="E55" t="s">
        <v>2939</v>
      </c>
      <c r="F55" t="s">
        <v>3138</v>
      </c>
      <c r="G55" s="49">
        <v>44913</v>
      </c>
      <c r="H55">
        <v>92</v>
      </c>
      <c r="I55">
        <v>2</v>
      </c>
      <c r="J55">
        <v>2.1739130434782608E-2</v>
      </c>
      <c r="K55" t="s">
        <v>3139</v>
      </c>
      <c r="L55" t="s">
        <v>3090</v>
      </c>
      <c r="M55" t="s">
        <v>2932</v>
      </c>
      <c r="N55" t="s">
        <v>471</v>
      </c>
      <c r="O55" t="s">
        <v>2933</v>
      </c>
      <c r="P55" t="s">
        <v>2934</v>
      </c>
    </row>
    <row r="56" spans="1:17">
      <c r="A56" t="s">
        <v>3140</v>
      </c>
      <c r="B56" t="s">
        <v>29</v>
      </c>
      <c r="C56" t="s">
        <v>3141</v>
      </c>
      <c r="D56" t="s">
        <v>388</v>
      </c>
      <c r="E56" t="s">
        <v>2939</v>
      </c>
      <c r="F56" t="s">
        <v>3142</v>
      </c>
      <c r="G56" s="49">
        <v>44914</v>
      </c>
      <c r="H56">
        <v>153</v>
      </c>
      <c r="I56">
        <v>30</v>
      </c>
      <c r="J56">
        <v>0.19607843137254902</v>
      </c>
      <c r="K56" t="s">
        <v>382</v>
      </c>
      <c r="L56" t="s">
        <v>1893</v>
      </c>
      <c r="M56" t="s">
        <v>2942</v>
      </c>
      <c r="N56" t="s">
        <v>471</v>
      </c>
      <c r="O56" t="s">
        <v>2933</v>
      </c>
      <c r="P56" t="s">
        <v>2934</v>
      </c>
    </row>
    <row r="57" spans="1:17">
      <c r="A57" t="s">
        <v>3143</v>
      </c>
      <c r="B57" t="s">
        <v>29</v>
      </c>
      <c r="C57" t="s">
        <v>3141</v>
      </c>
      <c r="D57" t="s">
        <v>388</v>
      </c>
      <c r="E57" t="s">
        <v>2939</v>
      </c>
      <c r="F57" t="s">
        <v>3144</v>
      </c>
      <c r="G57" s="49">
        <v>44914</v>
      </c>
      <c r="H57">
        <v>153</v>
      </c>
      <c r="I57">
        <v>24</v>
      </c>
      <c r="J57">
        <v>0.15686274509803921</v>
      </c>
      <c r="K57" t="s">
        <v>3145</v>
      </c>
      <c r="L57" t="s">
        <v>1893</v>
      </c>
      <c r="M57" t="s">
        <v>2942</v>
      </c>
      <c r="N57" t="s">
        <v>471</v>
      </c>
      <c r="O57" t="s">
        <v>2933</v>
      </c>
      <c r="P57" t="s">
        <v>2934</v>
      </c>
    </row>
    <row r="58" spans="1:17">
      <c r="B58" t="s">
        <v>29</v>
      </c>
      <c r="C58" t="s">
        <v>3146</v>
      </c>
      <c r="D58" t="s">
        <v>388</v>
      </c>
      <c r="E58" t="s">
        <v>2939</v>
      </c>
      <c r="F58" t="s">
        <v>3147</v>
      </c>
      <c r="G58" s="49">
        <v>44915</v>
      </c>
      <c r="H58">
        <v>214</v>
      </c>
      <c r="I58">
        <v>109</v>
      </c>
      <c r="J58">
        <v>0.50934579439252337</v>
      </c>
      <c r="K58" t="s">
        <v>416</v>
      </c>
      <c r="L58" t="s">
        <v>1893</v>
      </c>
      <c r="M58" t="s">
        <v>2942</v>
      </c>
      <c r="O58" t="s">
        <v>2933</v>
      </c>
      <c r="P58" t="s">
        <v>2934</v>
      </c>
    </row>
    <row r="59" spans="1:17">
      <c r="A59" t="s">
        <v>3148</v>
      </c>
      <c r="B59" t="s">
        <v>29</v>
      </c>
      <c r="C59" t="s">
        <v>3141</v>
      </c>
      <c r="D59" t="s">
        <v>388</v>
      </c>
      <c r="E59" t="s">
        <v>2939</v>
      </c>
      <c r="F59" t="s">
        <v>3149</v>
      </c>
      <c r="G59" s="49">
        <v>44915</v>
      </c>
      <c r="H59">
        <v>153</v>
      </c>
      <c r="I59">
        <v>135</v>
      </c>
      <c r="J59">
        <v>0.88235294117647056</v>
      </c>
      <c r="K59" t="s">
        <v>3150</v>
      </c>
      <c r="L59" t="s">
        <v>1893</v>
      </c>
      <c r="M59" t="s">
        <v>2942</v>
      </c>
      <c r="N59" t="s">
        <v>471</v>
      </c>
      <c r="O59" t="s">
        <v>2933</v>
      </c>
      <c r="P59" t="s">
        <v>2934</v>
      </c>
    </row>
    <row r="60" spans="1:17">
      <c r="A60" t="s">
        <v>3151</v>
      </c>
      <c r="B60" t="s">
        <v>29</v>
      </c>
      <c r="C60" t="s">
        <v>3141</v>
      </c>
      <c r="D60" t="s">
        <v>388</v>
      </c>
      <c r="E60" t="s">
        <v>2939</v>
      </c>
      <c r="F60" t="s">
        <v>3152</v>
      </c>
      <c r="G60" s="49">
        <v>44915</v>
      </c>
      <c r="H60">
        <v>153</v>
      </c>
      <c r="I60">
        <v>118</v>
      </c>
      <c r="J60">
        <v>0.77124183006535951</v>
      </c>
      <c r="K60" t="s">
        <v>365</v>
      </c>
      <c r="L60" t="s">
        <v>1893</v>
      </c>
      <c r="M60" t="s">
        <v>2942</v>
      </c>
      <c r="N60" t="s">
        <v>471</v>
      </c>
      <c r="O60" t="s">
        <v>2933</v>
      </c>
      <c r="P60" t="s">
        <v>2934</v>
      </c>
    </row>
    <row r="61" spans="1:17">
      <c r="B61" t="s">
        <v>29</v>
      </c>
      <c r="C61" t="s">
        <v>3146</v>
      </c>
      <c r="D61" t="s">
        <v>388</v>
      </c>
      <c r="E61" t="s">
        <v>2939</v>
      </c>
      <c r="F61" t="s">
        <v>3153</v>
      </c>
      <c r="G61" s="49">
        <v>44916</v>
      </c>
      <c r="H61">
        <v>214</v>
      </c>
      <c r="I61">
        <v>179</v>
      </c>
      <c r="J61">
        <v>0.83644859813084116</v>
      </c>
      <c r="K61" t="s">
        <v>365</v>
      </c>
      <c r="L61" t="s">
        <v>1893</v>
      </c>
      <c r="M61" t="s">
        <v>2942</v>
      </c>
      <c r="O61" t="s">
        <v>2933</v>
      </c>
      <c r="P61" t="s">
        <v>2934</v>
      </c>
    </row>
    <row r="62" spans="1:17">
      <c r="A62" t="s">
        <v>3154</v>
      </c>
      <c r="B62" t="s">
        <v>295</v>
      </c>
      <c r="C62" t="s">
        <v>3155</v>
      </c>
      <c r="D62" t="s">
        <v>388</v>
      </c>
      <c r="E62" t="s">
        <v>2939</v>
      </c>
      <c r="F62" t="s">
        <v>3156</v>
      </c>
      <c r="G62" s="49">
        <v>44916</v>
      </c>
      <c r="H62">
        <v>140</v>
      </c>
      <c r="I62">
        <v>122</v>
      </c>
      <c r="J62">
        <v>0.87142857142857144</v>
      </c>
      <c r="K62" t="s">
        <v>3157</v>
      </c>
      <c r="L62" t="s">
        <v>1873</v>
      </c>
      <c r="M62" t="s">
        <v>2942</v>
      </c>
      <c r="N62" t="s">
        <v>471</v>
      </c>
      <c r="O62" t="s">
        <v>2933</v>
      </c>
      <c r="P62" t="s">
        <v>2934</v>
      </c>
    </row>
    <row r="63" spans="1:17">
      <c r="A63" t="s">
        <v>3158</v>
      </c>
      <c r="B63" t="s">
        <v>295</v>
      </c>
      <c r="C63" t="s">
        <v>3159</v>
      </c>
      <c r="D63" t="s">
        <v>37</v>
      </c>
      <c r="E63" t="s">
        <v>2939</v>
      </c>
      <c r="F63" t="s">
        <v>3160</v>
      </c>
      <c r="G63" s="49">
        <v>44917</v>
      </c>
      <c r="H63">
        <v>77</v>
      </c>
      <c r="I63">
        <v>68</v>
      </c>
      <c r="J63">
        <v>0.88311688311688308</v>
      </c>
      <c r="K63" t="s">
        <v>3161</v>
      </c>
      <c r="L63" t="s">
        <v>1873</v>
      </c>
      <c r="M63" t="s">
        <v>3162</v>
      </c>
      <c r="N63" t="s">
        <v>471</v>
      </c>
      <c r="O63" t="s">
        <v>2933</v>
      </c>
      <c r="P63" t="s">
        <v>2934</v>
      </c>
    </row>
    <row r="64" spans="1:17">
      <c r="A64" t="s">
        <v>3163</v>
      </c>
      <c r="B64" t="s">
        <v>295</v>
      </c>
      <c r="C64" t="s">
        <v>3159</v>
      </c>
      <c r="D64" t="s">
        <v>37</v>
      </c>
      <c r="E64" t="s">
        <v>2939</v>
      </c>
      <c r="F64" t="s">
        <v>3164</v>
      </c>
      <c r="G64" s="49">
        <v>44917</v>
      </c>
      <c r="H64">
        <v>77</v>
      </c>
      <c r="I64">
        <v>56</v>
      </c>
      <c r="J64">
        <v>0.72727272727272729</v>
      </c>
      <c r="K64" t="s">
        <v>3165</v>
      </c>
      <c r="L64" t="s">
        <v>1873</v>
      </c>
      <c r="M64" t="s">
        <v>3162</v>
      </c>
      <c r="N64" t="s">
        <v>471</v>
      </c>
      <c r="O64" t="s">
        <v>2933</v>
      </c>
      <c r="P64" t="s">
        <v>2934</v>
      </c>
    </row>
    <row r="65" spans="1:16">
      <c r="A65" t="s">
        <v>3166</v>
      </c>
      <c r="B65" t="s">
        <v>295</v>
      </c>
      <c r="C65" t="s">
        <v>3159</v>
      </c>
      <c r="D65" t="s">
        <v>37</v>
      </c>
      <c r="E65" t="s">
        <v>2939</v>
      </c>
      <c r="F65" t="s">
        <v>3167</v>
      </c>
      <c r="G65" s="49">
        <v>44917</v>
      </c>
      <c r="H65">
        <v>77</v>
      </c>
      <c r="I65">
        <v>36</v>
      </c>
      <c r="J65">
        <v>0.46753246753246752</v>
      </c>
      <c r="K65" t="s">
        <v>74</v>
      </c>
      <c r="L65" t="s">
        <v>1873</v>
      </c>
      <c r="M65" t="s">
        <v>3162</v>
      </c>
      <c r="N65" t="s">
        <v>471</v>
      </c>
      <c r="O65" t="s">
        <v>2933</v>
      </c>
      <c r="P65" t="s">
        <v>2934</v>
      </c>
    </row>
    <row r="66" spans="1:16">
      <c r="A66" t="s">
        <v>3168</v>
      </c>
      <c r="B66" t="s">
        <v>295</v>
      </c>
      <c r="C66" t="s">
        <v>3169</v>
      </c>
      <c r="D66" t="s">
        <v>37</v>
      </c>
      <c r="E66" t="s">
        <v>2939</v>
      </c>
      <c r="F66" t="s">
        <v>3170</v>
      </c>
      <c r="G66" s="49">
        <v>44918</v>
      </c>
      <c r="H66">
        <v>75</v>
      </c>
      <c r="I66">
        <v>39</v>
      </c>
      <c r="J66">
        <v>0.52</v>
      </c>
      <c r="K66" t="s">
        <v>209</v>
      </c>
      <c r="L66" t="s">
        <v>1873</v>
      </c>
      <c r="M66" t="s">
        <v>3162</v>
      </c>
      <c r="N66" t="s">
        <v>471</v>
      </c>
      <c r="O66" t="s">
        <v>2933</v>
      </c>
      <c r="P66" t="s">
        <v>2934</v>
      </c>
    </row>
    <row r="67" spans="1:16">
      <c r="A67" t="s">
        <v>3171</v>
      </c>
      <c r="B67" t="s">
        <v>295</v>
      </c>
      <c r="C67" t="s">
        <v>3169</v>
      </c>
      <c r="D67" t="s">
        <v>37</v>
      </c>
      <c r="E67" t="s">
        <v>2939</v>
      </c>
      <c r="F67" t="s">
        <v>3172</v>
      </c>
      <c r="G67" s="49">
        <v>44918</v>
      </c>
      <c r="H67">
        <v>75</v>
      </c>
      <c r="I67">
        <v>37</v>
      </c>
      <c r="J67">
        <v>0.49333333333333335</v>
      </c>
      <c r="K67" t="s">
        <v>3173</v>
      </c>
      <c r="L67" t="s">
        <v>1873</v>
      </c>
      <c r="M67" t="s">
        <v>3162</v>
      </c>
      <c r="N67" t="s">
        <v>471</v>
      </c>
      <c r="O67" t="s">
        <v>2933</v>
      </c>
      <c r="P67" t="s">
        <v>2934</v>
      </c>
    </row>
    <row r="68" spans="1:16">
      <c r="A68" t="s">
        <v>3174</v>
      </c>
      <c r="B68" t="s">
        <v>295</v>
      </c>
      <c r="C68" t="s">
        <v>3169</v>
      </c>
      <c r="D68" t="s">
        <v>37</v>
      </c>
      <c r="E68" t="s">
        <v>2939</v>
      </c>
      <c r="F68" t="s">
        <v>3175</v>
      </c>
      <c r="G68" s="49">
        <v>44918</v>
      </c>
      <c r="H68">
        <v>75</v>
      </c>
      <c r="I68">
        <v>25</v>
      </c>
      <c r="J68">
        <v>0.33333333333333331</v>
      </c>
      <c r="K68" t="s">
        <v>3176</v>
      </c>
      <c r="L68" t="s">
        <v>1873</v>
      </c>
      <c r="M68" t="s">
        <v>3162</v>
      </c>
      <c r="N68" t="s">
        <v>471</v>
      </c>
      <c r="O68" t="s">
        <v>2933</v>
      </c>
      <c r="P68" t="s">
        <v>2934</v>
      </c>
    </row>
    <row r="69" spans="1:16">
      <c r="B69" t="s">
        <v>2886</v>
      </c>
      <c r="C69" t="s">
        <v>3177</v>
      </c>
      <c r="D69" t="s">
        <v>388</v>
      </c>
      <c r="E69" t="s">
        <v>2939</v>
      </c>
      <c r="F69" t="s">
        <v>3178</v>
      </c>
      <c r="G69" s="49">
        <v>44921</v>
      </c>
      <c r="H69">
        <v>103</v>
      </c>
      <c r="I69">
        <v>48</v>
      </c>
      <c r="J69">
        <v>0.46601941747572817</v>
      </c>
      <c r="K69" t="s">
        <v>3094</v>
      </c>
      <c r="L69" t="s">
        <v>2171</v>
      </c>
      <c r="M69" t="s">
        <v>2932</v>
      </c>
      <c r="O69" t="s">
        <v>2933</v>
      </c>
      <c r="P69" t="s">
        <v>2934</v>
      </c>
    </row>
    <row r="70" spans="1:16">
      <c r="A70" t="s">
        <v>3179</v>
      </c>
      <c r="B70" t="s">
        <v>295</v>
      </c>
      <c r="C70" t="s">
        <v>3180</v>
      </c>
      <c r="D70" t="s">
        <v>388</v>
      </c>
      <c r="E70" t="s">
        <v>2939</v>
      </c>
      <c r="F70" t="s">
        <v>3181</v>
      </c>
      <c r="G70" s="49">
        <v>44923</v>
      </c>
      <c r="H70">
        <v>140</v>
      </c>
      <c r="I70">
        <v>3</v>
      </c>
      <c r="J70">
        <v>2.1428571428571429E-2</v>
      </c>
      <c r="K70" t="s">
        <v>3182</v>
      </c>
      <c r="L70" t="s">
        <v>1873</v>
      </c>
      <c r="M70" t="s">
        <v>2942</v>
      </c>
      <c r="N70" t="s">
        <v>471</v>
      </c>
      <c r="O70" t="s">
        <v>2933</v>
      </c>
      <c r="P70" t="s">
        <v>2934</v>
      </c>
    </row>
    <row r="71" spans="1:16">
      <c r="A71" t="s">
        <v>3183</v>
      </c>
      <c r="B71" t="s">
        <v>29</v>
      </c>
      <c r="C71" t="s">
        <v>3184</v>
      </c>
      <c r="D71" t="s">
        <v>37</v>
      </c>
      <c r="E71" t="s">
        <v>2939</v>
      </c>
      <c r="F71" t="s">
        <v>3185</v>
      </c>
      <c r="G71" s="49">
        <v>44924</v>
      </c>
      <c r="H71">
        <v>117</v>
      </c>
      <c r="I71">
        <v>67</v>
      </c>
      <c r="J71">
        <v>0.57264957264957261</v>
      </c>
      <c r="K71" t="s">
        <v>416</v>
      </c>
      <c r="L71" t="s">
        <v>1893</v>
      </c>
      <c r="M71" t="s">
        <v>2942</v>
      </c>
      <c r="N71" t="s">
        <v>471</v>
      </c>
      <c r="O71" t="s">
        <v>2933</v>
      </c>
      <c r="P71" t="s">
        <v>2934</v>
      </c>
    </row>
    <row r="72" spans="1:16">
      <c r="A72" t="s">
        <v>3186</v>
      </c>
      <c r="B72" t="s">
        <v>295</v>
      </c>
      <c r="C72" t="s">
        <v>3187</v>
      </c>
      <c r="D72" t="s">
        <v>388</v>
      </c>
      <c r="E72" t="s">
        <v>2939</v>
      </c>
      <c r="F72" t="s">
        <v>3188</v>
      </c>
      <c r="G72" s="49">
        <v>44924</v>
      </c>
      <c r="H72">
        <v>146</v>
      </c>
      <c r="I72">
        <v>57</v>
      </c>
      <c r="J72">
        <v>0.3904109589041096</v>
      </c>
      <c r="K72" t="s">
        <v>3189</v>
      </c>
      <c r="L72" t="s">
        <v>1893</v>
      </c>
      <c r="M72" t="s">
        <v>3162</v>
      </c>
      <c r="N72" t="s">
        <v>471</v>
      </c>
      <c r="O72" t="s">
        <v>2933</v>
      </c>
      <c r="P72" t="s">
        <v>2934</v>
      </c>
    </row>
    <row r="73" spans="1:16">
      <c r="A73" t="s">
        <v>3190</v>
      </c>
      <c r="B73" t="s">
        <v>29</v>
      </c>
      <c r="C73" t="s">
        <v>3184</v>
      </c>
      <c r="D73" t="s">
        <v>37</v>
      </c>
      <c r="E73" t="s">
        <v>2939</v>
      </c>
      <c r="F73" t="s">
        <v>3191</v>
      </c>
      <c r="G73" s="49">
        <v>44924</v>
      </c>
      <c r="H73">
        <v>117</v>
      </c>
      <c r="I73">
        <v>24</v>
      </c>
      <c r="J73">
        <v>0.20512820512820512</v>
      </c>
      <c r="K73" t="s">
        <v>3192</v>
      </c>
      <c r="L73" t="s">
        <v>1893</v>
      </c>
      <c r="M73" t="s">
        <v>2942</v>
      </c>
      <c r="N73" t="s">
        <v>471</v>
      </c>
      <c r="O73" t="s">
        <v>2933</v>
      </c>
      <c r="P73" t="s">
        <v>2934</v>
      </c>
    </row>
    <row r="74" spans="1:16">
      <c r="A74" t="s">
        <v>3193</v>
      </c>
      <c r="B74" t="s">
        <v>29</v>
      </c>
      <c r="C74" t="s">
        <v>3194</v>
      </c>
      <c r="D74" t="s">
        <v>37</v>
      </c>
      <c r="E74" t="s">
        <v>2939</v>
      </c>
      <c r="F74" t="s">
        <v>3195</v>
      </c>
      <c r="G74" s="49">
        <v>44925</v>
      </c>
      <c r="H74">
        <v>48</v>
      </c>
      <c r="I74">
        <v>22</v>
      </c>
      <c r="J74">
        <v>0.45833333333333331</v>
      </c>
      <c r="K74" t="s">
        <v>3145</v>
      </c>
      <c r="L74" t="s">
        <v>1893</v>
      </c>
      <c r="M74" t="s">
        <v>2942</v>
      </c>
      <c r="N74" t="s">
        <v>471</v>
      </c>
      <c r="O74" t="s">
        <v>2933</v>
      </c>
      <c r="P74" t="s">
        <v>2934</v>
      </c>
    </row>
    <row r="75" spans="1:16">
      <c r="B75" t="s">
        <v>29</v>
      </c>
      <c r="C75" t="s">
        <v>3196</v>
      </c>
      <c r="D75" t="s">
        <v>388</v>
      </c>
      <c r="E75" t="s">
        <v>2939</v>
      </c>
      <c r="F75" t="s">
        <v>3197</v>
      </c>
      <c r="G75" s="49">
        <v>44928</v>
      </c>
      <c r="H75">
        <v>108</v>
      </c>
      <c r="I75">
        <v>58</v>
      </c>
      <c r="J75">
        <v>0.53703703703703709</v>
      </c>
      <c r="K75" t="s">
        <v>416</v>
      </c>
      <c r="L75" t="s">
        <v>1893</v>
      </c>
      <c r="M75" t="s">
        <v>2942</v>
      </c>
      <c r="O75" t="s">
        <v>2933</v>
      </c>
      <c r="P75" t="s">
        <v>2934</v>
      </c>
    </row>
    <row r="76" spans="1:16">
      <c r="A76" t="s">
        <v>3198</v>
      </c>
      <c r="B76" t="s">
        <v>29</v>
      </c>
      <c r="C76" t="s">
        <v>3199</v>
      </c>
      <c r="D76" t="s">
        <v>388</v>
      </c>
      <c r="E76" t="s">
        <v>2939</v>
      </c>
      <c r="F76" t="s">
        <v>3200</v>
      </c>
      <c r="G76" s="49">
        <v>44931</v>
      </c>
      <c r="H76">
        <v>188</v>
      </c>
      <c r="I76">
        <v>83</v>
      </c>
      <c r="J76">
        <v>0.44148936170212766</v>
      </c>
      <c r="K76" t="s">
        <v>416</v>
      </c>
      <c r="L76" t="s">
        <v>1893</v>
      </c>
      <c r="M76" t="s">
        <v>2942</v>
      </c>
      <c r="N76" t="s">
        <v>471</v>
      </c>
      <c r="O76" t="s">
        <v>2933</v>
      </c>
      <c r="P76" t="s">
        <v>2934</v>
      </c>
    </row>
    <row r="77" spans="1:16">
      <c r="A77" t="s">
        <v>3201</v>
      </c>
      <c r="B77" t="s">
        <v>3202</v>
      </c>
      <c r="C77" t="s">
        <v>3203</v>
      </c>
      <c r="D77" t="s">
        <v>37</v>
      </c>
      <c r="E77" t="s">
        <v>3204</v>
      </c>
      <c r="F77" t="s">
        <v>3205</v>
      </c>
      <c r="G77" s="49">
        <v>44943</v>
      </c>
      <c r="H77">
        <v>19</v>
      </c>
      <c r="I77">
        <v>18</v>
      </c>
      <c r="J77">
        <v>0.94736842105263153</v>
      </c>
      <c r="K77" t="s">
        <v>3206</v>
      </c>
      <c r="L77" t="s">
        <v>3207</v>
      </c>
      <c r="M77" t="s">
        <v>3208</v>
      </c>
      <c r="N77" t="s">
        <v>471</v>
      </c>
      <c r="O77" t="s">
        <v>2933</v>
      </c>
      <c r="P77" t="s">
        <v>2934</v>
      </c>
    </row>
    <row r="78" spans="1:16">
      <c r="A78" t="s">
        <v>3209</v>
      </c>
      <c r="B78" t="s">
        <v>3202</v>
      </c>
      <c r="C78" t="s">
        <v>3210</v>
      </c>
      <c r="D78" t="s">
        <v>37</v>
      </c>
      <c r="E78" t="s">
        <v>3204</v>
      </c>
      <c r="F78" t="s">
        <v>3211</v>
      </c>
      <c r="G78" s="49">
        <v>44943</v>
      </c>
      <c r="H78">
        <v>20</v>
      </c>
      <c r="I78">
        <v>1</v>
      </c>
      <c r="J78">
        <v>0.05</v>
      </c>
      <c r="K78" t="s">
        <v>3212</v>
      </c>
      <c r="L78" t="s">
        <v>3207</v>
      </c>
      <c r="M78" t="s">
        <v>3208</v>
      </c>
      <c r="N78" t="s">
        <v>471</v>
      </c>
      <c r="O78" t="s">
        <v>2933</v>
      </c>
      <c r="P78" t="s">
        <v>2934</v>
      </c>
    </row>
    <row r="79" spans="1:16">
      <c r="A79" t="s">
        <v>3213</v>
      </c>
      <c r="B79" t="s">
        <v>3202</v>
      </c>
      <c r="C79" t="s">
        <v>3214</v>
      </c>
      <c r="D79" t="s">
        <v>37</v>
      </c>
      <c r="E79" t="s">
        <v>2939</v>
      </c>
      <c r="F79" t="s">
        <v>3215</v>
      </c>
      <c r="G79" s="49">
        <v>44943</v>
      </c>
      <c r="H79">
        <v>36</v>
      </c>
      <c r="I79">
        <v>16</v>
      </c>
      <c r="J79">
        <v>0.44444444444444442</v>
      </c>
      <c r="K79" t="s">
        <v>3216</v>
      </c>
      <c r="L79" t="s">
        <v>3207</v>
      </c>
      <c r="M79" t="s">
        <v>3208</v>
      </c>
      <c r="N79" t="s">
        <v>471</v>
      </c>
      <c r="O79" t="s">
        <v>2933</v>
      </c>
      <c r="P79" t="s">
        <v>2934</v>
      </c>
    </row>
    <row r="80" spans="1:16">
      <c r="B80" t="s">
        <v>3202</v>
      </c>
      <c r="C80" t="s">
        <v>3217</v>
      </c>
      <c r="D80" t="s">
        <v>22</v>
      </c>
      <c r="E80" t="s">
        <v>2939</v>
      </c>
      <c r="F80" t="s">
        <v>3218</v>
      </c>
      <c r="G80" s="49">
        <v>44945</v>
      </c>
      <c r="H80">
        <v>31</v>
      </c>
      <c r="I80">
        <v>0</v>
      </c>
      <c r="J80">
        <v>0</v>
      </c>
      <c r="K80" t="s">
        <v>3219</v>
      </c>
      <c r="L80" t="s">
        <v>3207</v>
      </c>
      <c r="M80" t="s">
        <v>3208</v>
      </c>
      <c r="O80" t="s">
        <v>2933</v>
      </c>
      <c r="P80" t="s">
        <v>2934</v>
      </c>
    </row>
    <row r="81" spans="1:16">
      <c r="A81" t="s">
        <v>3220</v>
      </c>
      <c r="B81" t="s">
        <v>3202</v>
      </c>
      <c r="C81" t="s">
        <v>3221</v>
      </c>
      <c r="D81" t="s">
        <v>388</v>
      </c>
      <c r="E81" t="s">
        <v>2939</v>
      </c>
      <c r="F81" t="s">
        <v>3222</v>
      </c>
      <c r="G81" s="49">
        <v>44946</v>
      </c>
      <c r="H81">
        <v>30</v>
      </c>
      <c r="I81">
        <v>7</v>
      </c>
      <c r="J81">
        <v>0.23333333333333334</v>
      </c>
      <c r="K81" t="s">
        <v>3223</v>
      </c>
      <c r="L81" t="s">
        <v>3207</v>
      </c>
      <c r="M81" t="s">
        <v>3208</v>
      </c>
      <c r="N81" t="s">
        <v>471</v>
      </c>
      <c r="O81" t="s">
        <v>2933</v>
      </c>
      <c r="P81" t="s">
        <v>2934</v>
      </c>
    </row>
    <row r="82" spans="1:16">
      <c r="A82" t="s">
        <v>3224</v>
      </c>
      <c r="B82" t="s">
        <v>3202</v>
      </c>
      <c r="C82" t="s">
        <v>3221</v>
      </c>
      <c r="D82" t="s">
        <v>388</v>
      </c>
      <c r="E82" t="s">
        <v>2939</v>
      </c>
      <c r="F82" t="s">
        <v>3225</v>
      </c>
      <c r="G82" s="49">
        <v>44946</v>
      </c>
      <c r="H82">
        <v>30</v>
      </c>
      <c r="I82">
        <v>1</v>
      </c>
      <c r="J82">
        <v>3.3333333333333333E-2</v>
      </c>
      <c r="K82" t="s">
        <v>3226</v>
      </c>
      <c r="L82" t="s">
        <v>3207</v>
      </c>
      <c r="M82" t="s">
        <v>3208</v>
      </c>
      <c r="N82" t="s">
        <v>471</v>
      </c>
      <c r="O82" t="s">
        <v>2933</v>
      </c>
      <c r="P82" t="s">
        <v>2934</v>
      </c>
    </row>
    <row r="83" spans="1:16">
      <c r="A83" t="s">
        <v>3227</v>
      </c>
      <c r="B83" t="s">
        <v>3202</v>
      </c>
      <c r="C83" t="s">
        <v>3221</v>
      </c>
      <c r="D83" t="s">
        <v>388</v>
      </c>
      <c r="E83" t="s">
        <v>2939</v>
      </c>
      <c r="F83" t="s">
        <v>3228</v>
      </c>
      <c r="G83" s="49">
        <v>44946</v>
      </c>
      <c r="H83">
        <v>30</v>
      </c>
      <c r="I83">
        <v>0</v>
      </c>
      <c r="J83">
        <v>0</v>
      </c>
      <c r="K83" t="s">
        <v>3229</v>
      </c>
      <c r="L83" t="s">
        <v>3207</v>
      </c>
      <c r="M83" t="s">
        <v>3208</v>
      </c>
      <c r="N83" t="s">
        <v>471</v>
      </c>
      <c r="O83" t="s">
        <v>2933</v>
      </c>
      <c r="P83" t="s">
        <v>2934</v>
      </c>
    </row>
    <row r="84" spans="1:16">
      <c r="A84" t="s">
        <v>3230</v>
      </c>
      <c r="B84" t="s">
        <v>3202</v>
      </c>
      <c r="C84" t="s">
        <v>3231</v>
      </c>
      <c r="D84" t="s">
        <v>37</v>
      </c>
      <c r="E84" t="s">
        <v>2939</v>
      </c>
      <c r="F84" t="s">
        <v>3232</v>
      </c>
      <c r="G84" s="49">
        <v>44946</v>
      </c>
      <c r="H84">
        <v>45</v>
      </c>
      <c r="I84">
        <v>1</v>
      </c>
      <c r="J84">
        <v>2.2222222222222223E-2</v>
      </c>
      <c r="K84" t="s">
        <v>3233</v>
      </c>
      <c r="L84" t="s">
        <v>3207</v>
      </c>
      <c r="M84" t="s">
        <v>3208</v>
      </c>
      <c r="N84" t="s">
        <v>471</v>
      </c>
      <c r="O84" t="s">
        <v>2933</v>
      </c>
      <c r="P84" t="s">
        <v>2934</v>
      </c>
    </row>
    <row r="85" spans="1:16">
      <c r="A85" t="s">
        <v>3234</v>
      </c>
      <c r="B85" t="s">
        <v>3202</v>
      </c>
      <c r="C85" t="s">
        <v>3235</v>
      </c>
      <c r="D85" t="s">
        <v>37</v>
      </c>
      <c r="E85" t="s">
        <v>2939</v>
      </c>
      <c r="F85" t="s">
        <v>3236</v>
      </c>
      <c r="G85" s="49">
        <v>44949</v>
      </c>
      <c r="H85">
        <v>43</v>
      </c>
      <c r="I85">
        <v>1</v>
      </c>
      <c r="J85">
        <v>2.3255813953488372E-2</v>
      </c>
      <c r="K85" t="s">
        <v>3229</v>
      </c>
      <c r="L85" t="s">
        <v>3207</v>
      </c>
      <c r="M85" t="s">
        <v>3237</v>
      </c>
      <c r="N85" t="s">
        <v>471</v>
      </c>
      <c r="O85" t="s">
        <v>2933</v>
      </c>
      <c r="P85" t="s">
        <v>2934</v>
      </c>
    </row>
    <row r="86" spans="1:16">
      <c r="B86" t="s">
        <v>3202</v>
      </c>
      <c r="C86" t="s">
        <v>3238</v>
      </c>
      <c r="F86" t="s">
        <v>3239</v>
      </c>
      <c r="G86" s="49">
        <v>44950</v>
      </c>
      <c r="H86">
        <v>43</v>
      </c>
      <c r="I86">
        <v>42</v>
      </c>
      <c r="J86">
        <v>0.97674418604651159</v>
      </c>
      <c r="K86" t="s">
        <v>3233</v>
      </c>
      <c r="L86" t="s">
        <v>3207</v>
      </c>
      <c r="M86" t="s">
        <v>3208</v>
      </c>
      <c r="O86" t="s">
        <v>2933</v>
      </c>
      <c r="P86" t="s">
        <v>2934</v>
      </c>
    </row>
    <row r="87" spans="1:16">
      <c r="A87" t="s">
        <v>3240</v>
      </c>
      <c r="B87" t="s">
        <v>3202</v>
      </c>
      <c r="C87" t="s">
        <v>3241</v>
      </c>
      <c r="E87" t="s">
        <v>3242</v>
      </c>
      <c r="F87" t="s">
        <v>3243</v>
      </c>
      <c r="G87" s="49">
        <v>44953</v>
      </c>
      <c r="H87">
        <v>46</v>
      </c>
      <c r="I87">
        <v>45</v>
      </c>
      <c r="J87">
        <v>0.97826086956521741</v>
      </c>
      <c r="K87" t="s">
        <v>3233</v>
      </c>
      <c r="L87" t="s">
        <v>3207</v>
      </c>
      <c r="M87" t="s">
        <v>3237</v>
      </c>
      <c r="N87" t="s">
        <v>471</v>
      </c>
      <c r="O87" t="s">
        <v>2933</v>
      </c>
      <c r="P87" t="s">
        <v>2934</v>
      </c>
    </row>
    <row r="88" spans="1:16">
      <c r="A88" t="s">
        <v>3244</v>
      </c>
      <c r="B88" t="s">
        <v>3202</v>
      </c>
      <c r="C88" t="s">
        <v>3241</v>
      </c>
      <c r="E88" t="s">
        <v>2939</v>
      </c>
      <c r="F88" t="s">
        <v>3245</v>
      </c>
      <c r="G88" s="49">
        <v>44953</v>
      </c>
      <c r="H88">
        <v>46</v>
      </c>
      <c r="I88">
        <v>1</v>
      </c>
      <c r="J88">
        <v>2.1739130434782608E-2</v>
      </c>
      <c r="K88" t="s">
        <v>3229</v>
      </c>
      <c r="L88" t="s">
        <v>3207</v>
      </c>
      <c r="M88" t="s">
        <v>3237</v>
      </c>
      <c r="N88" t="s">
        <v>471</v>
      </c>
      <c r="O88" t="s">
        <v>2933</v>
      </c>
      <c r="P88" t="s">
        <v>2934</v>
      </c>
    </row>
    <row r="89" spans="1:16">
      <c r="B89" t="s">
        <v>3202</v>
      </c>
      <c r="C89" t="s">
        <v>3246</v>
      </c>
      <c r="F89" t="s">
        <v>3247</v>
      </c>
      <c r="G89" s="49">
        <v>44956</v>
      </c>
      <c r="H89">
        <v>1</v>
      </c>
      <c r="I89">
        <v>0</v>
      </c>
      <c r="J89">
        <v>0</v>
      </c>
      <c r="K89" t="s">
        <v>3233</v>
      </c>
      <c r="L89" t="s">
        <v>3207</v>
      </c>
      <c r="M89" t="s">
        <v>3208</v>
      </c>
      <c r="O89" t="s">
        <v>2933</v>
      </c>
      <c r="P89" t="s">
        <v>2934</v>
      </c>
    </row>
    <row r="90" spans="1:16">
      <c r="B90" t="s">
        <v>3202</v>
      </c>
      <c r="C90" t="s">
        <v>3248</v>
      </c>
      <c r="D90" t="s">
        <v>37</v>
      </c>
      <c r="E90" t="s">
        <v>3204</v>
      </c>
      <c r="F90" t="s">
        <v>3249</v>
      </c>
      <c r="G90" s="49">
        <v>44956</v>
      </c>
      <c r="H90">
        <v>38</v>
      </c>
      <c r="I90">
        <v>37</v>
      </c>
      <c r="J90">
        <v>0.97368421052631582</v>
      </c>
      <c r="K90" t="s">
        <v>3233</v>
      </c>
      <c r="L90" t="s">
        <v>3207</v>
      </c>
      <c r="M90" t="s">
        <v>3208</v>
      </c>
      <c r="O90" t="s">
        <v>2933</v>
      </c>
      <c r="P90" t="s">
        <v>2934</v>
      </c>
    </row>
    <row r="91" spans="1:16">
      <c r="B91" t="s">
        <v>3202</v>
      </c>
      <c r="C91" t="s">
        <v>3248</v>
      </c>
      <c r="D91" t="s">
        <v>37</v>
      </c>
      <c r="E91" t="s">
        <v>2939</v>
      </c>
      <c r="F91" t="s">
        <v>3250</v>
      </c>
      <c r="G91" s="49">
        <v>44956</v>
      </c>
      <c r="H91">
        <v>38</v>
      </c>
      <c r="I91">
        <v>1</v>
      </c>
      <c r="J91">
        <v>2.6315789473684209E-2</v>
      </c>
      <c r="K91" t="s">
        <v>3251</v>
      </c>
      <c r="L91" t="s">
        <v>3207</v>
      </c>
      <c r="M91" t="s">
        <v>3208</v>
      </c>
      <c r="O91" t="s">
        <v>2933</v>
      </c>
      <c r="P91" t="s">
        <v>2934</v>
      </c>
    </row>
    <row r="92" spans="1:16">
      <c r="B92" t="s">
        <v>3202</v>
      </c>
      <c r="C92" t="s">
        <v>3252</v>
      </c>
      <c r="E92" t="s">
        <v>3253</v>
      </c>
      <c r="F92" t="s">
        <v>3254</v>
      </c>
      <c r="G92" s="49">
        <v>44957</v>
      </c>
      <c r="H92">
        <v>45</v>
      </c>
      <c r="I92">
        <v>44</v>
      </c>
      <c r="J92">
        <v>0.97777777777777797</v>
      </c>
      <c r="K92" t="s">
        <v>3233</v>
      </c>
      <c r="L92" t="s">
        <v>3207</v>
      </c>
      <c r="M92">
        <v>64</v>
      </c>
      <c r="O92" t="s">
        <v>2933</v>
      </c>
      <c r="P92" t="s">
        <v>2934</v>
      </c>
    </row>
    <row r="93" spans="1:16">
      <c r="B93" t="s">
        <v>3202</v>
      </c>
      <c r="C93" t="s">
        <v>3252</v>
      </c>
      <c r="E93" t="s">
        <v>2939</v>
      </c>
      <c r="F93" t="s">
        <v>3255</v>
      </c>
      <c r="G93" s="49">
        <v>44957</v>
      </c>
      <c r="H93">
        <v>45</v>
      </c>
      <c r="I93">
        <v>1</v>
      </c>
      <c r="J93">
        <v>2.2222222222222001E-2</v>
      </c>
      <c r="K93" t="s">
        <v>3229</v>
      </c>
      <c r="L93" t="s">
        <v>3207</v>
      </c>
      <c r="M93">
        <v>64</v>
      </c>
      <c r="O93" t="s">
        <v>2933</v>
      </c>
      <c r="P93" t="s">
        <v>2934</v>
      </c>
    </row>
    <row r="94" spans="1:16">
      <c r="A94" t="s">
        <v>3256</v>
      </c>
      <c r="B94" t="s">
        <v>86</v>
      </c>
      <c r="C94" t="s">
        <v>3257</v>
      </c>
      <c r="E94" t="s">
        <v>3242</v>
      </c>
      <c r="F94" t="s">
        <v>3258</v>
      </c>
      <c r="G94" s="49">
        <v>44959</v>
      </c>
      <c r="H94">
        <v>6</v>
      </c>
      <c r="I94">
        <v>1</v>
      </c>
      <c r="J94">
        <v>0.16666666666666666</v>
      </c>
      <c r="K94" t="s">
        <v>3259</v>
      </c>
      <c r="L94" t="s">
        <v>3260</v>
      </c>
      <c r="M94" t="s">
        <v>3261</v>
      </c>
      <c r="N94" t="s">
        <v>471</v>
      </c>
      <c r="O94" t="s">
        <v>2933</v>
      </c>
      <c r="P94" t="s">
        <v>2934</v>
      </c>
    </row>
    <row r="95" spans="1:16">
      <c r="A95" t="s">
        <v>3256</v>
      </c>
      <c r="B95" t="s">
        <v>86</v>
      </c>
      <c r="C95" t="s">
        <v>3257</v>
      </c>
      <c r="E95" t="s">
        <v>3242</v>
      </c>
      <c r="F95" t="s">
        <v>3258</v>
      </c>
      <c r="G95" s="49">
        <v>44959</v>
      </c>
      <c r="H95">
        <v>6</v>
      </c>
      <c r="I95">
        <v>1</v>
      </c>
      <c r="J95">
        <v>0.16666666666666666</v>
      </c>
      <c r="K95" t="s">
        <v>3259</v>
      </c>
      <c r="L95" t="s">
        <v>3260</v>
      </c>
      <c r="M95" t="s">
        <v>3261</v>
      </c>
      <c r="N95" t="s">
        <v>471</v>
      </c>
      <c r="O95" t="s">
        <v>2933</v>
      </c>
      <c r="P95" t="s">
        <v>2934</v>
      </c>
    </row>
    <row r="96" spans="1:16">
      <c r="A96" t="s">
        <v>3262</v>
      </c>
      <c r="B96" t="s">
        <v>3263</v>
      </c>
      <c r="C96" t="s">
        <v>3264</v>
      </c>
      <c r="D96" t="s">
        <v>37</v>
      </c>
      <c r="E96" t="s">
        <v>3265</v>
      </c>
      <c r="F96" t="s">
        <v>3266</v>
      </c>
      <c r="G96" s="49">
        <v>44960</v>
      </c>
      <c r="H96">
        <v>61</v>
      </c>
      <c r="I96">
        <v>28</v>
      </c>
      <c r="J96">
        <v>0.45901639344262296</v>
      </c>
      <c r="K96" t="s">
        <v>3267</v>
      </c>
      <c r="L96" t="s">
        <v>3268</v>
      </c>
      <c r="M96" t="s">
        <v>3269</v>
      </c>
      <c r="N96" t="s">
        <v>471</v>
      </c>
      <c r="O96" t="s">
        <v>2933</v>
      </c>
      <c r="P96" t="s">
        <v>2934</v>
      </c>
    </row>
    <row r="97" spans="1:17">
      <c r="A97" t="s">
        <v>3262</v>
      </c>
      <c r="B97" t="s">
        <v>3263</v>
      </c>
      <c r="C97" t="s">
        <v>3264</v>
      </c>
      <c r="D97" t="s">
        <v>37</v>
      </c>
      <c r="E97" t="s">
        <v>3265</v>
      </c>
      <c r="F97" t="s">
        <v>3266</v>
      </c>
      <c r="G97" s="49">
        <v>44960</v>
      </c>
      <c r="H97">
        <v>61</v>
      </c>
      <c r="I97">
        <v>28</v>
      </c>
      <c r="J97">
        <v>0.45901639344262302</v>
      </c>
      <c r="K97" t="s">
        <v>3267</v>
      </c>
      <c r="L97" t="s">
        <v>3268</v>
      </c>
      <c r="M97">
        <v>22</v>
      </c>
      <c r="N97" t="s">
        <v>471</v>
      </c>
      <c r="O97" t="s">
        <v>2933</v>
      </c>
      <c r="P97" t="s">
        <v>2934</v>
      </c>
    </row>
    <row r="98" spans="1:17">
      <c r="A98" t="s">
        <v>3270</v>
      </c>
      <c r="B98" t="s">
        <v>86</v>
      </c>
      <c r="C98" t="s">
        <v>3271</v>
      </c>
      <c r="E98" t="s">
        <v>3242</v>
      </c>
      <c r="F98" t="s">
        <v>3272</v>
      </c>
      <c r="G98" s="49">
        <v>44961</v>
      </c>
      <c r="H98">
        <v>116</v>
      </c>
      <c r="I98">
        <v>1</v>
      </c>
      <c r="J98">
        <v>8.6206896551724137E-3</v>
      </c>
      <c r="K98" t="s">
        <v>3259</v>
      </c>
      <c r="L98" t="s">
        <v>3260</v>
      </c>
      <c r="M98" t="s">
        <v>3261</v>
      </c>
      <c r="N98" t="s">
        <v>471</v>
      </c>
      <c r="O98" t="s">
        <v>2933</v>
      </c>
      <c r="P98" t="s">
        <v>2934</v>
      </c>
    </row>
    <row r="99" spans="1:17">
      <c r="A99" t="s">
        <v>3273</v>
      </c>
      <c r="B99" t="s">
        <v>86</v>
      </c>
      <c r="C99" t="s">
        <v>3274</v>
      </c>
      <c r="E99" t="s">
        <v>3242</v>
      </c>
      <c r="F99" t="s">
        <v>3275</v>
      </c>
      <c r="G99" s="49">
        <v>44961</v>
      </c>
      <c r="H99">
        <v>117</v>
      </c>
      <c r="I99">
        <v>2</v>
      </c>
      <c r="J99">
        <v>1.7094017094017096E-2</v>
      </c>
      <c r="K99" t="s">
        <v>3259</v>
      </c>
      <c r="L99" t="s">
        <v>3260</v>
      </c>
      <c r="M99" t="s">
        <v>3261</v>
      </c>
      <c r="N99" t="s">
        <v>471</v>
      </c>
      <c r="O99" t="s">
        <v>2933</v>
      </c>
      <c r="P99" t="s">
        <v>2934</v>
      </c>
    </row>
    <row r="100" spans="1:17">
      <c r="A100" t="s">
        <v>3276</v>
      </c>
      <c r="B100" t="s">
        <v>3263</v>
      </c>
      <c r="C100" t="s">
        <v>3277</v>
      </c>
      <c r="D100" t="s">
        <v>37</v>
      </c>
      <c r="E100" t="s">
        <v>3204</v>
      </c>
      <c r="F100" t="s">
        <v>3278</v>
      </c>
      <c r="G100" s="49">
        <v>44961</v>
      </c>
      <c r="H100">
        <v>81</v>
      </c>
      <c r="I100">
        <v>1</v>
      </c>
      <c r="J100">
        <v>1.2345679012345678E-2</v>
      </c>
      <c r="K100" t="s">
        <v>3279</v>
      </c>
      <c r="L100" t="s">
        <v>3280</v>
      </c>
      <c r="M100" t="s">
        <v>3269</v>
      </c>
      <c r="N100" t="s">
        <v>471</v>
      </c>
      <c r="O100" t="s">
        <v>2933</v>
      </c>
      <c r="P100" t="s">
        <v>2934</v>
      </c>
    </row>
    <row r="101" spans="1:17">
      <c r="B101" t="s">
        <v>3202</v>
      </c>
      <c r="C101" t="s">
        <v>3281</v>
      </c>
      <c r="E101" t="s">
        <v>3253</v>
      </c>
      <c r="F101" t="s">
        <v>3282</v>
      </c>
      <c r="G101" s="49">
        <v>44961</v>
      </c>
      <c r="H101">
        <v>44</v>
      </c>
      <c r="I101">
        <v>43</v>
      </c>
      <c r="J101">
        <v>0.97727272727272729</v>
      </c>
      <c r="K101" t="s">
        <v>3233</v>
      </c>
      <c r="L101" t="s">
        <v>3207</v>
      </c>
      <c r="M101" t="s">
        <v>3237</v>
      </c>
      <c r="O101" t="s">
        <v>2933</v>
      </c>
      <c r="P101" t="s">
        <v>2934</v>
      </c>
    </row>
    <row r="102" spans="1:17">
      <c r="B102" t="s">
        <v>3202</v>
      </c>
      <c r="C102" t="s">
        <v>3281</v>
      </c>
      <c r="E102" t="s">
        <v>2939</v>
      </c>
      <c r="F102" t="s">
        <v>3283</v>
      </c>
      <c r="G102" s="49">
        <v>44961</v>
      </c>
      <c r="H102">
        <v>44</v>
      </c>
      <c r="I102">
        <v>23</v>
      </c>
      <c r="J102">
        <v>0.52272727272727271</v>
      </c>
      <c r="K102" t="s">
        <v>3284</v>
      </c>
      <c r="L102" t="s">
        <v>3207</v>
      </c>
      <c r="M102" t="s">
        <v>3237</v>
      </c>
      <c r="O102" t="s">
        <v>2933</v>
      </c>
      <c r="P102" t="s">
        <v>2934</v>
      </c>
    </row>
    <row r="103" spans="1:17">
      <c r="B103" t="s">
        <v>3202</v>
      </c>
      <c r="C103" t="s">
        <v>3281</v>
      </c>
      <c r="E103" t="s">
        <v>2939</v>
      </c>
      <c r="F103" t="s">
        <v>3285</v>
      </c>
      <c r="G103" s="49">
        <v>44961</v>
      </c>
      <c r="H103">
        <v>44</v>
      </c>
      <c r="I103">
        <v>0</v>
      </c>
      <c r="J103">
        <v>0</v>
      </c>
      <c r="K103" t="s">
        <v>3229</v>
      </c>
      <c r="L103" t="s">
        <v>3207</v>
      </c>
      <c r="M103" t="s">
        <v>3237</v>
      </c>
      <c r="O103" t="s">
        <v>2933</v>
      </c>
      <c r="P103" t="s">
        <v>2934</v>
      </c>
    </row>
    <row r="104" spans="1:17">
      <c r="A104" t="s">
        <v>3270</v>
      </c>
      <c r="B104" t="s">
        <v>86</v>
      </c>
      <c r="C104" t="s">
        <v>3271</v>
      </c>
      <c r="E104" t="s">
        <v>3242</v>
      </c>
      <c r="F104" t="s">
        <v>3272</v>
      </c>
      <c r="G104" s="49">
        <v>44961</v>
      </c>
      <c r="H104">
        <v>116</v>
      </c>
      <c r="I104">
        <v>1</v>
      </c>
      <c r="J104">
        <v>8.6206896551724137E-3</v>
      </c>
      <c r="K104" t="s">
        <v>3259</v>
      </c>
      <c r="L104" t="s">
        <v>3260</v>
      </c>
      <c r="M104" t="s">
        <v>3261</v>
      </c>
      <c r="N104" t="s">
        <v>471</v>
      </c>
      <c r="O104" t="s">
        <v>2933</v>
      </c>
      <c r="P104" t="s">
        <v>2934</v>
      </c>
    </row>
    <row r="105" spans="1:17">
      <c r="A105" t="s">
        <v>3273</v>
      </c>
      <c r="B105" t="s">
        <v>86</v>
      </c>
      <c r="C105" t="s">
        <v>3274</v>
      </c>
      <c r="E105" t="s">
        <v>3242</v>
      </c>
      <c r="F105" t="s">
        <v>3275</v>
      </c>
      <c r="G105" s="49">
        <v>44961</v>
      </c>
      <c r="H105">
        <v>117</v>
      </c>
      <c r="I105">
        <v>2</v>
      </c>
      <c r="J105">
        <v>1.7094017094017096E-2</v>
      </c>
      <c r="K105" t="s">
        <v>3259</v>
      </c>
      <c r="L105" t="s">
        <v>3260</v>
      </c>
      <c r="M105" t="s">
        <v>3261</v>
      </c>
      <c r="N105" t="s">
        <v>471</v>
      </c>
      <c r="O105" t="s">
        <v>2933</v>
      </c>
      <c r="P105" t="s">
        <v>2934</v>
      </c>
    </row>
    <row r="106" spans="1:17">
      <c r="A106" t="s">
        <v>3276</v>
      </c>
      <c r="B106" t="s">
        <v>3263</v>
      </c>
      <c r="C106" t="s">
        <v>3277</v>
      </c>
      <c r="D106" t="s">
        <v>37</v>
      </c>
      <c r="E106" t="s">
        <v>3204</v>
      </c>
      <c r="F106" t="s">
        <v>3278</v>
      </c>
      <c r="G106" s="49">
        <v>44961</v>
      </c>
      <c r="H106">
        <v>81</v>
      </c>
      <c r="I106">
        <v>1</v>
      </c>
      <c r="J106">
        <v>1.2345679012345999E-2</v>
      </c>
      <c r="K106" t="s">
        <v>3279</v>
      </c>
      <c r="L106" t="s">
        <v>3280</v>
      </c>
      <c r="M106">
        <v>22</v>
      </c>
      <c r="N106" t="s">
        <v>471</v>
      </c>
      <c r="O106" t="s">
        <v>2933</v>
      </c>
      <c r="P106" t="s">
        <v>2934</v>
      </c>
    </row>
    <row r="107" spans="1:17">
      <c r="B107" t="s">
        <v>3202</v>
      </c>
      <c r="C107" t="s">
        <v>3281</v>
      </c>
      <c r="E107" t="s">
        <v>3253</v>
      </c>
      <c r="F107" t="s">
        <v>3282</v>
      </c>
      <c r="G107" s="49">
        <v>44961</v>
      </c>
      <c r="H107">
        <v>44</v>
      </c>
      <c r="I107">
        <v>43</v>
      </c>
      <c r="J107">
        <v>0.97727272727272696</v>
      </c>
      <c r="K107" t="s">
        <v>3233</v>
      </c>
      <c r="L107" t="s">
        <v>3207</v>
      </c>
      <c r="M107">
        <v>64</v>
      </c>
      <c r="O107" t="s">
        <v>2933</v>
      </c>
      <c r="P107" t="s">
        <v>2934</v>
      </c>
    </row>
    <row r="108" spans="1:17">
      <c r="B108" t="s">
        <v>3202</v>
      </c>
      <c r="C108" t="s">
        <v>3281</v>
      </c>
      <c r="E108" t="s">
        <v>2939</v>
      </c>
      <c r="F108" t="s">
        <v>3283</v>
      </c>
      <c r="G108" s="49">
        <v>44961</v>
      </c>
      <c r="H108">
        <v>44</v>
      </c>
      <c r="I108">
        <v>23</v>
      </c>
      <c r="J108">
        <v>0.52272727272727304</v>
      </c>
      <c r="K108" t="s">
        <v>3284</v>
      </c>
      <c r="L108" t="s">
        <v>3207</v>
      </c>
      <c r="M108">
        <v>64</v>
      </c>
      <c r="O108" t="s">
        <v>2933</v>
      </c>
      <c r="P108" t="s">
        <v>2934</v>
      </c>
    </row>
    <row r="109" spans="1:17">
      <c r="B109" t="s">
        <v>3202</v>
      </c>
      <c r="C109" t="s">
        <v>3281</v>
      </c>
      <c r="E109" t="s">
        <v>2939</v>
      </c>
      <c r="F109" t="s">
        <v>3285</v>
      </c>
      <c r="G109" s="49">
        <v>44961</v>
      </c>
      <c r="H109">
        <v>44</v>
      </c>
      <c r="I109">
        <v>0</v>
      </c>
      <c r="J109">
        <v>0</v>
      </c>
      <c r="K109" t="s">
        <v>3229</v>
      </c>
      <c r="L109" t="s">
        <v>3207</v>
      </c>
      <c r="M109">
        <v>64</v>
      </c>
      <c r="O109" t="s">
        <v>2933</v>
      </c>
      <c r="P109" t="s">
        <v>2934</v>
      </c>
    </row>
    <row r="110" spans="1:17">
      <c r="A110" t="s">
        <v>3286</v>
      </c>
      <c r="B110" t="s">
        <v>86</v>
      </c>
      <c r="C110" t="s">
        <v>3287</v>
      </c>
      <c r="D110" t="s">
        <v>37</v>
      </c>
      <c r="E110" t="s">
        <v>3288</v>
      </c>
      <c r="F110" t="s">
        <v>3289</v>
      </c>
      <c r="G110" s="49">
        <v>44962</v>
      </c>
      <c r="H110">
        <v>120</v>
      </c>
      <c r="I110">
        <v>3</v>
      </c>
      <c r="J110">
        <v>2.5000000000000001E-2</v>
      </c>
      <c r="K110" t="s">
        <v>3290</v>
      </c>
      <c r="L110" t="s">
        <v>3291</v>
      </c>
      <c r="M110" t="s">
        <v>3261</v>
      </c>
      <c r="N110" t="s">
        <v>471</v>
      </c>
      <c r="O110" t="s">
        <v>2933</v>
      </c>
      <c r="P110" t="s">
        <v>2934</v>
      </c>
    </row>
    <row r="111" spans="1:17">
      <c r="A111" t="s">
        <v>3286</v>
      </c>
      <c r="B111" t="s">
        <v>86</v>
      </c>
      <c r="C111" t="s">
        <v>3287</v>
      </c>
      <c r="D111" t="s">
        <v>37</v>
      </c>
      <c r="E111" t="s">
        <v>3288</v>
      </c>
      <c r="F111" t="s">
        <v>3289</v>
      </c>
      <c r="G111" s="49">
        <v>44962</v>
      </c>
      <c r="H111">
        <v>120</v>
      </c>
      <c r="I111">
        <v>3</v>
      </c>
      <c r="J111">
        <v>2.5000000000000001E-2</v>
      </c>
      <c r="K111" t="s">
        <v>3290</v>
      </c>
      <c r="L111" t="s">
        <v>3291</v>
      </c>
      <c r="M111" t="s">
        <v>3261</v>
      </c>
      <c r="N111" t="s">
        <v>471</v>
      </c>
      <c r="O111" t="s">
        <v>2933</v>
      </c>
      <c r="P111" t="s">
        <v>2934</v>
      </c>
    </row>
    <row r="112" spans="1:17">
      <c r="A112" t="s">
        <v>3292</v>
      </c>
      <c r="B112" t="s">
        <v>3293</v>
      </c>
      <c r="C112" t="s">
        <v>3294</v>
      </c>
      <c r="D112" t="s">
        <v>388</v>
      </c>
      <c r="E112" t="s">
        <v>2939</v>
      </c>
      <c r="F112" t="s">
        <v>3295</v>
      </c>
      <c r="G112" s="49">
        <v>44963</v>
      </c>
      <c r="H112">
        <v>23</v>
      </c>
      <c r="I112">
        <v>19</v>
      </c>
      <c r="J112">
        <v>0.82608695652173914</v>
      </c>
      <c r="K112" t="s">
        <v>3296</v>
      </c>
      <c r="L112" t="s">
        <v>3207</v>
      </c>
      <c r="M112" t="s">
        <v>3297</v>
      </c>
      <c r="N112" t="s">
        <v>471</v>
      </c>
      <c r="O112" t="s">
        <v>2933</v>
      </c>
      <c r="P112" t="s">
        <v>2934</v>
      </c>
      <c r="Q112" t="s">
        <v>3298</v>
      </c>
    </row>
    <row r="113" spans="1:17">
      <c r="B113" t="s">
        <v>3202</v>
      </c>
      <c r="C113" t="s">
        <v>3299</v>
      </c>
      <c r="E113" t="s">
        <v>2939</v>
      </c>
      <c r="F113" t="s">
        <v>3300</v>
      </c>
      <c r="G113" s="49">
        <v>44963</v>
      </c>
      <c r="H113">
        <v>37</v>
      </c>
      <c r="I113">
        <v>26</v>
      </c>
      <c r="J113">
        <v>0.70270270270270274</v>
      </c>
      <c r="K113" t="s">
        <v>3301</v>
      </c>
      <c r="L113" t="s">
        <v>3207</v>
      </c>
      <c r="M113" t="s">
        <v>3302</v>
      </c>
      <c r="O113" t="s">
        <v>2933</v>
      </c>
      <c r="P113" t="s">
        <v>2934</v>
      </c>
    </row>
    <row r="114" spans="1:17">
      <c r="B114" t="s">
        <v>3202</v>
      </c>
      <c r="C114" t="s">
        <v>3299</v>
      </c>
      <c r="E114" t="s">
        <v>2939</v>
      </c>
      <c r="F114" t="s">
        <v>3303</v>
      </c>
      <c r="G114" s="49">
        <v>44963</v>
      </c>
      <c r="H114">
        <v>37</v>
      </c>
      <c r="I114">
        <v>3</v>
      </c>
      <c r="J114">
        <v>8.1081081081081086E-2</v>
      </c>
      <c r="K114" t="s">
        <v>3304</v>
      </c>
      <c r="L114" t="s">
        <v>3207</v>
      </c>
      <c r="M114" t="s">
        <v>3302</v>
      </c>
      <c r="O114" t="s">
        <v>2933</v>
      </c>
      <c r="P114" t="s">
        <v>2934</v>
      </c>
    </row>
    <row r="115" spans="1:17">
      <c r="B115" t="s">
        <v>3202</v>
      </c>
      <c r="C115" t="s">
        <v>3299</v>
      </c>
      <c r="E115" t="s">
        <v>2939</v>
      </c>
      <c r="F115" t="s">
        <v>3305</v>
      </c>
      <c r="G115" s="49">
        <v>44963</v>
      </c>
      <c r="H115">
        <v>37</v>
      </c>
      <c r="I115">
        <v>2</v>
      </c>
      <c r="J115">
        <v>5.4054054054054057E-2</v>
      </c>
      <c r="K115" t="s">
        <v>3226</v>
      </c>
      <c r="L115" t="s">
        <v>3207</v>
      </c>
      <c r="M115" t="s">
        <v>3302</v>
      </c>
      <c r="O115" t="s">
        <v>2933</v>
      </c>
      <c r="P115" t="s">
        <v>2934</v>
      </c>
    </row>
    <row r="116" spans="1:17">
      <c r="A116" t="s">
        <v>3292</v>
      </c>
      <c r="B116" t="s">
        <v>3293</v>
      </c>
      <c r="C116" t="s">
        <v>3294</v>
      </c>
      <c r="D116" t="s">
        <v>388</v>
      </c>
      <c r="E116" t="s">
        <v>2939</v>
      </c>
      <c r="F116" t="s">
        <v>3295</v>
      </c>
      <c r="G116" s="49">
        <v>44963</v>
      </c>
      <c r="H116">
        <v>23</v>
      </c>
      <c r="I116">
        <v>19</v>
      </c>
      <c r="J116">
        <v>0.82608695652173914</v>
      </c>
      <c r="K116" t="s">
        <v>3296</v>
      </c>
      <c r="L116" t="s">
        <v>3207</v>
      </c>
      <c r="M116" t="s">
        <v>3297</v>
      </c>
      <c r="N116" t="s">
        <v>471</v>
      </c>
      <c r="O116" t="s">
        <v>2933</v>
      </c>
      <c r="P116" t="s">
        <v>2934</v>
      </c>
      <c r="Q116" t="s">
        <v>3298</v>
      </c>
    </row>
    <row r="117" spans="1:17">
      <c r="B117" t="s">
        <v>3202</v>
      </c>
      <c r="C117" t="s">
        <v>3299</v>
      </c>
      <c r="E117" t="s">
        <v>2939</v>
      </c>
      <c r="F117" t="s">
        <v>3300</v>
      </c>
      <c r="G117" s="49">
        <v>44963</v>
      </c>
      <c r="H117">
        <v>37</v>
      </c>
      <c r="I117">
        <v>26</v>
      </c>
      <c r="J117">
        <v>0.70270270270270274</v>
      </c>
      <c r="K117" t="s">
        <v>3301</v>
      </c>
      <c r="L117" t="s">
        <v>3207</v>
      </c>
      <c r="M117" t="s">
        <v>3302</v>
      </c>
      <c r="O117" t="s">
        <v>2933</v>
      </c>
      <c r="P117" t="s">
        <v>2934</v>
      </c>
    </row>
    <row r="118" spans="1:17">
      <c r="B118" t="s">
        <v>3202</v>
      </c>
      <c r="C118" t="s">
        <v>3299</v>
      </c>
      <c r="E118" t="s">
        <v>2939</v>
      </c>
      <c r="F118" t="s">
        <v>3303</v>
      </c>
      <c r="G118" s="49">
        <v>44963</v>
      </c>
      <c r="H118">
        <v>37</v>
      </c>
      <c r="I118">
        <v>3</v>
      </c>
      <c r="J118">
        <v>8.1081081081081086E-2</v>
      </c>
      <c r="K118" t="s">
        <v>3304</v>
      </c>
      <c r="L118" t="s">
        <v>3207</v>
      </c>
      <c r="M118" t="s">
        <v>3302</v>
      </c>
      <c r="O118" t="s">
        <v>2933</v>
      </c>
      <c r="P118" t="s">
        <v>2934</v>
      </c>
    </row>
    <row r="119" spans="1:17">
      <c r="B119" t="s">
        <v>3202</v>
      </c>
      <c r="C119" t="s">
        <v>3299</v>
      </c>
      <c r="E119" t="s">
        <v>2939</v>
      </c>
      <c r="F119" t="s">
        <v>3305</v>
      </c>
      <c r="G119" s="49">
        <v>44963</v>
      </c>
      <c r="H119">
        <v>37</v>
      </c>
      <c r="I119">
        <v>2</v>
      </c>
      <c r="J119">
        <v>5.4054054054054057E-2</v>
      </c>
      <c r="K119" t="s">
        <v>3226</v>
      </c>
      <c r="L119" t="s">
        <v>3207</v>
      </c>
      <c r="M119" t="s">
        <v>3302</v>
      </c>
      <c r="O119" t="s">
        <v>2933</v>
      </c>
      <c r="P119" t="s">
        <v>2934</v>
      </c>
    </row>
    <row r="120" spans="1:17">
      <c r="A120" t="s">
        <v>3306</v>
      </c>
      <c r="B120" t="s">
        <v>3202</v>
      </c>
      <c r="C120" t="s">
        <v>3307</v>
      </c>
      <c r="E120" t="s">
        <v>2939</v>
      </c>
      <c r="F120" t="s">
        <v>3308</v>
      </c>
      <c r="G120" s="49">
        <v>44965</v>
      </c>
      <c r="H120">
        <v>47</v>
      </c>
      <c r="I120">
        <v>1</v>
      </c>
      <c r="J120">
        <v>2.1276595744680851E-2</v>
      </c>
      <c r="K120" t="s">
        <v>3229</v>
      </c>
      <c r="L120" t="s">
        <v>3207</v>
      </c>
      <c r="M120" t="s">
        <v>3237</v>
      </c>
      <c r="N120" t="s">
        <v>471</v>
      </c>
      <c r="O120" t="s">
        <v>2933</v>
      </c>
      <c r="P120" t="s">
        <v>2934</v>
      </c>
      <c r="Q120" t="s">
        <v>3309</v>
      </c>
    </row>
    <row r="121" spans="1:17">
      <c r="A121" t="s">
        <v>3310</v>
      </c>
      <c r="B121" t="s">
        <v>86</v>
      </c>
      <c r="C121" t="s">
        <v>3311</v>
      </c>
      <c r="D121" t="s">
        <v>22</v>
      </c>
      <c r="E121" t="s">
        <v>2939</v>
      </c>
      <c r="F121" t="s">
        <v>3312</v>
      </c>
      <c r="G121" s="49">
        <v>44966</v>
      </c>
      <c r="H121">
        <v>118</v>
      </c>
      <c r="I121">
        <v>2</v>
      </c>
      <c r="J121">
        <v>1.6949152542372881E-2</v>
      </c>
      <c r="K121" t="s">
        <v>3219</v>
      </c>
      <c r="L121" t="s">
        <v>3260</v>
      </c>
      <c r="M121" t="s">
        <v>3261</v>
      </c>
      <c r="N121" t="s">
        <v>471</v>
      </c>
      <c r="O121" t="s">
        <v>2933</v>
      </c>
      <c r="P121" t="s">
        <v>2934</v>
      </c>
    </row>
    <row r="122" spans="1:17">
      <c r="A122" t="s">
        <v>3313</v>
      </c>
      <c r="B122" t="s">
        <v>86</v>
      </c>
      <c r="C122" t="s">
        <v>3311</v>
      </c>
      <c r="D122" t="s">
        <v>22</v>
      </c>
      <c r="E122" t="s">
        <v>2939</v>
      </c>
      <c r="F122" t="s">
        <v>3314</v>
      </c>
      <c r="G122" s="49">
        <v>44966</v>
      </c>
      <c r="H122">
        <v>118</v>
      </c>
      <c r="I122">
        <v>0</v>
      </c>
      <c r="J122">
        <v>0</v>
      </c>
      <c r="K122" t="s">
        <v>3315</v>
      </c>
      <c r="L122" t="s">
        <v>3260</v>
      </c>
      <c r="M122" t="s">
        <v>3261</v>
      </c>
      <c r="N122" t="s">
        <v>471</v>
      </c>
      <c r="O122" t="s">
        <v>2933</v>
      </c>
      <c r="P122" t="s">
        <v>2934</v>
      </c>
      <c r="Q122" t="s">
        <v>3316</v>
      </c>
    </row>
    <row r="123" spans="1:17">
      <c r="A123" t="s">
        <v>3317</v>
      </c>
      <c r="B123" t="s">
        <v>86</v>
      </c>
      <c r="C123" t="s">
        <v>3318</v>
      </c>
      <c r="D123" t="s">
        <v>37</v>
      </c>
      <c r="E123" t="s">
        <v>3204</v>
      </c>
      <c r="F123" t="s">
        <v>3319</v>
      </c>
      <c r="G123" s="49">
        <v>44966</v>
      </c>
      <c r="H123">
        <v>4</v>
      </c>
      <c r="I123">
        <v>0</v>
      </c>
      <c r="J123">
        <v>0</v>
      </c>
      <c r="K123" t="s">
        <v>3315</v>
      </c>
      <c r="L123" t="s">
        <v>3320</v>
      </c>
      <c r="M123" t="s">
        <v>3261</v>
      </c>
      <c r="N123" t="s">
        <v>471</v>
      </c>
      <c r="O123" t="s">
        <v>2933</v>
      </c>
      <c r="P123" t="s">
        <v>2934</v>
      </c>
      <c r="Q123" t="s">
        <v>3321</v>
      </c>
    </row>
    <row r="124" spans="1:17">
      <c r="B124" t="s">
        <v>295</v>
      </c>
      <c r="C124" t="s">
        <v>3322</v>
      </c>
      <c r="D124" t="s">
        <v>388</v>
      </c>
      <c r="E124" t="s">
        <v>2939</v>
      </c>
      <c r="F124" t="s">
        <v>3323</v>
      </c>
      <c r="G124" s="49">
        <v>44966</v>
      </c>
      <c r="H124">
        <v>120</v>
      </c>
      <c r="I124">
        <v>47</v>
      </c>
      <c r="J124">
        <v>0.39166666666666666</v>
      </c>
      <c r="K124" t="s">
        <v>3324</v>
      </c>
      <c r="L124" t="s">
        <v>1873</v>
      </c>
      <c r="M124" t="s">
        <v>3325</v>
      </c>
      <c r="O124" t="s">
        <v>2933</v>
      </c>
      <c r="P124" t="s">
        <v>2934</v>
      </c>
      <c r="Q124" t="s">
        <v>3326</v>
      </c>
    </row>
    <row r="125" spans="1:17">
      <c r="B125" t="s">
        <v>295</v>
      </c>
      <c r="C125" t="s">
        <v>3322</v>
      </c>
      <c r="D125" t="s">
        <v>388</v>
      </c>
      <c r="E125" t="s">
        <v>2939</v>
      </c>
      <c r="F125" t="s">
        <v>3327</v>
      </c>
      <c r="G125" s="49">
        <v>44966</v>
      </c>
      <c r="H125">
        <v>120</v>
      </c>
      <c r="I125">
        <v>16</v>
      </c>
      <c r="J125">
        <v>0.13333333333333333</v>
      </c>
      <c r="K125" t="s">
        <v>3328</v>
      </c>
      <c r="L125" t="s">
        <v>1873</v>
      </c>
      <c r="M125" t="s">
        <v>3325</v>
      </c>
      <c r="O125" t="s">
        <v>2933</v>
      </c>
      <c r="P125" t="s">
        <v>2934</v>
      </c>
      <c r="Q125" t="s">
        <v>3326</v>
      </c>
    </row>
    <row r="126" spans="1:17">
      <c r="A126" t="s">
        <v>3329</v>
      </c>
      <c r="B126" t="s">
        <v>3293</v>
      </c>
      <c r="C126" t="s">
        <v>3330</v>
      </c>
      <c r="D126" t="s">
        <v>388</v>
      </c>
      <c r="E126" t="s">
        <v>2939</v>
      </c>
      <c r="F126" t="s">
        <v>3331</v>
      </c>
      <c r="G126" s="49">
        <v>44967</v>
      </c>
      <c r="H126">
        <v>23</v>
      </c>
      <c r="I126">
        <v>19</v>
      </c>
      <c r="J126">
        <v>0.82608695652173914</v>
      </c>
      <c r="K126" t="s">
        <v>3296</v>
      </c>
      <c r="L126" t="s">
        <v>3207</v>
      </c>
      <c r="M126" t="s">
        <v>3297</v>
      </c>
      <c r="N126" t="s">
        <v>471</v>
      </c>
      <c r="O126" t="s">
        <v>2933</v>
      </c>
      <c r="P126" t="s">
        <v>2934</v>
      </c>
    </row>
    <row r="127" spans="1:17">
      <c r="A127" t="s">
        <v>3332</v>
      </c>
      <c r="B127" t="s">
        <v>3202</v>
      </c>
      <c r="C127" t="s">
        <v>3333</v>
      </c>
      <c r="F127" t="s">
        <v>3334</v>
      </c>
      <c r="G127" s="49">
        <v>44967</v>
      </c>
      <c r="H127">
        <v>37</v>
      </c>
      <c r="I127">
        <v>36</v>
      </c>
      <c r="J127">
        <v>0.97297297297297303</v>
      </c>
      <c r="K127" t="s">
        <v>3335</v>
      </c>
      <c r="L127" t="s">
        <v>3207</v>
      </c>
      <c r="M127" t="s">
        <v>3302</v>
      </c>
      <c r="N127" t="s">
        <v>471</v>
      </c>
      <c r="O127" t="s">
        <v>2933</v>
      </c>
      <c r="P127" t="s">
        <v>2934</v>
      </c>
    </row>
    <row r="128" spans="1:17">
      <c r="A128" t="s">
        <v>3336</v>
      </c>
      <c r="B128" t="s">
        <v>3202</v>
      </c>
      <c r="C128" t="s">
        <v>3333</v>
      </c>
      <c r="E128" t="s">
        <v>2939</v>
      </c>
      <c r="F128" t="s">
        <v>3337</v>
      </c>
      <c r="G128" s="49">
        <v>44967</v>
      </c>
      <c r="H128">
        <v>37</v>
      </c>
      <c r="I128">
        <v>35</v>
      </c>
      <c r="J128">
        <v>0.94594594594594594</v>
      </c>
      <c r="K128" t="s">
        <v>3338</v>
      </c>
      <c r="L128" t="s">
        <v>3207</v>
      </c>
      <c r="M128" t="s">
        <v>3302</v>
      </c>
      <c r="N128" t="s">
        <v>471</v>
      </c>
      <c r="O128" t="s">
        <v>2933</v>
      </c>
      <c r="P128" t="s">
        <v>2934</v>
      </c>
    </row>
    <row r="129" spans="1:19">
      <c r="A129" t="s">
        <v>3339</v>
      </c>
      <c r="B129" t="s">
        <v>3202</v>
      </c>
      <c r="C129" t="s">
        <v>3333</v>
      </c>
      <c r="E129" t="s">
        <v>2939</v>
      </c>
      <c r="F129" t="s">
        <v>3340</v>
      </c>
      <c r="G129" s="49">
        <v>44967</v>
      </c>
      <c r="H129">
        <v>37</v>
      </c>
      <c r="I129">
        <v>25</v>
      </c>
      <c r="J129">
        <v>0.67567567567567566</v>
      </c>
      <c r="K129" t="s">
        <v>3341</v>
      </c>
      <c r="L129" t="s">
        <v>3207</v>
      </c>
      <c r="M129" t="s">
        <v>3302</v>
      </c>
      <c r="N129" t="s">
        <v>471</v>
      </c>
      <c r="O129" t="s">
        <v>2933</v>
      </c>
      <c r="P129" t="s">
        <v>2934</v>
      </c>
    </row>
    <row r="130" spans="1:19">
      <c r="A130" t="s">
        <v>3342</v>
      </c>
      <c r="B130" t="s">
        <v>3202</v>
      </c>
      <c r="C130" t="s">
        <v>3333</v>
      </c>
      <c r="E130" t="s">
        <v>2939</v>
      </c>
      <c r="F130" t="s">
        <v>3343</v>
      </c>
      <c r="G130" s="49">
        <v>44967</v>
      </c>
      <c r="H130">
        <v>37</v>
      </c>
      <c r="I130">
        <v>21</v>
      </c>
      <c r="J130">
        <v>0.56756756756756754</v>
      </c>
      <c r="K130" t="s">
        <v>3344</v>
      </c>
      <c r="L130" t="s">
        <v>3207</v>
      </c>
      <c r="M130" t="s">
        <v>3302</v>
      </c>
      <c r="N130" t="s">
        <v>471</v>
      </c>
      <c r="O130" t="s">
        <v>2933</v>
      </c>
      <c r="P130" t="s">
        <v>2934</v>
      </c>
    </row>
    <row r="131" spans="1:19">
      <c r="A131" t="s">
        <v>3345</v>
      </c>
      <c r="B131" t="s">
        <v>3202</v>
      </c>
      <c r="C131" t="s">
        <v>3333</v>
      </c>
      <c r="E131" t="s">
        <v>2939</v>
      </c>
      <c r="F131" t="s">
        <v>3346</v>
      </c>
      <c r="G131" s="49">
        <v>44967</v>
      </c>
      <c r="H131">
        <v>37</v>
      </c>
      <c r="I131">
        <v>16</v>
      </c>
      <c r="J131">
        <v>0.43243243243243246</v>
      </c>
      <c r="K131" t="s">
        <v>3347</v>
      </c>
      <c r="L131" t="s">
        <v>3207</v>
      </c>
      <c r="M131" t="s">
        <v>3302</v>
      </c>
      <c r="N131" t="s">
        <v>471</v>
      </c>
      <c r="O131" t="s">
        <v>2933</v>
      </c>
      <c r="P131" t="s">
        <v>2934</v>
      </c>
    </row>
    <row r="132" spans="1:19">
      <c r="A132" t="s">
        <v>3348</v>
      </c>
      <c r="B132" t="s">
        <v>3202</v>
      </c>
      <c r="C132" t="s">
        <v>3333</v>
      </c>
      <c r="E132" t="s">
        <v>2939</v>
      </c>
      <c r="F132" t="s">
        <v>3349</v>
      </c>
      <c r="G132" s="49">
        <v>44967</v>
      </c>
      <c r="H132">
        <v>37</v>
      </c>
      <c r="I132">
        <v>11</v>
      </c>
      <c r="J132">
        <v>0.29729729729729731</v>
      </c>
      <c r="K132" t="s">
        <v>3350</v>
      </c>
      <c r="L132" t="s">
        <v>3207</v>
      </c>
      <c r="M132" t="s">
        <v>3302</v>
      </c>
      <c r="N132" t="s">
        <v>471</v>
      </c>
      <c r="O132" t="s">
        <v>2933</v>
      </c>
      <c r="P132" t="s">
        <v>2934</v>
      </c>
    </row>
    <row r="133" spans="1:19">
      <c r="A133" t="s">
        <v>3351</v>
      </c>
      <c r="B133" t="s">
        <v>3202</v>
      </c>
      <c r="C133" t="s">
        <v>3333</v>
      </c>
      <c r="E133" t="s">
        <v>2939</v>
      </c>
      <c r="F133" t="s">
        <v>3352</v>
      </c>
      <c r="G133" s="49">
        <v>44967</v>
      </c>
      <c r="H133">
        <v>37</v>
      </c>
      <c r="I133">
        <v>4</v>
      </c>
      <c r="J133">
        <v>0.10810810810810811</v>
      </c>
      <c r="K133" t="s">
        <v>3353</v>
      </c>
      <c r="L133" t="s">
        <v>3207</v>
      </c>
      <c r="M133" t="s">
        <v>3302</v>
      </c>
      <c r="N133" t="s">
        <v>471</v>
      </c>
      <c r="O133" t="s">
        <v>2933</v>
      </c>
      <c r="P133" t="s">
        <v>2934</v>
      </c>
    </row>
    <row r="134" spans="1:19">
      <c r="A134" t="s">
        <v>3354</v>
      </c>
      <c r="B134" t="s">
        <v>295</v>
      </c>
      <c r="C134" t="s">
        <v>3355</v>
      </c>
      <c r="D134" t="s">
        <v>388</v>
      </c>
      <c r="E134" t="s">
        <v>2939</v>
      </c>
      <c r="F134" t="s">
        <v>3356</v>
      </c>
      <c r="G134" s="49">
        <v>44968</v>
      </c>
      <c r="H134">
        <v>153</v>
      </c>
      <c r="I134">
        <v>146</v>
      </c>
      <c r="J134">
        <v>0.95424836601307195</v>
      </c>
      <c r="K134" t="s">
        <v>3357</v>
      </c>
      <c r="L134" t="s">
        <v>1873</v>
      </c>
      <c r="M134" t="s">
        <v>3358</v>
      </c>
      <c r="N134" t="s">
        <v>471</v>
      </c>
      <c r="O134" t="s">
        <v>2933</v>
      </c>
      <c r="P134" t="s">
        <v>2934</v>
      </c>
    </row>
    <row r="135" spans="1:19">
      <c r="A135" t="s">
        <v>3359</v>
      </c>
      <c r="B135" t="s">
        <v>295</v>
      </c>
      <c r="C135" t="s">
        <v>3355</v>
      </c>
      <c r="D135" t="s">
        <v>388</v>
      </c>
      <c r="E135" t="s">
        <v>2939</v>
      </c>
      <c r="F135" t="s">
        <v>3360</v>
      </c>
      <c r="G135" s="49">
        <v>44968</v>
      </c>
      <c r="H135">
        <v>153</v>
      </c>
      <c r="I135">
        <v>136</v>
      </c>
      <c r="J135">
        <v>0.88888888888888884</v>
      </c>
      <c r="K135" t="s">
        <v>3361</v>
      </c>
      <c r="L135" t="s">
        <v>1873</v>
      </c>
      <c r="M135" t="s">
        <v>3358</v>
      </c>
      <c r="N135" t="s">
        <v>471</v>
      </c>
      <c r="O135" t="s">
        <v>2933</v>
      </c>
      <c r="P135" t="s">
        <v>2934</v>
      </c>
    </row>
    <row r="136" spans="1:19">
      <c r="B136" t="s">
        <v>3202</v>
      </c>
      <c r="C136" t="s">
        <v>3362</v>
      </c>
      <c r="D136" t="s">
        <v>37</v>
      </c>
      <c r="E136" t="s">
        <v>2939</v>
      </c>
      <c r="F136" t="s">
        <v>3363</v>
      </c>
      <c r="G136" s="49">
        <v>44969</v>
      </c>
      <c r="H136">
        <v>43</v>
      </c>
      <c r="I136">
        <v>0</v>
      </c>
      <c r="J136">
        <v>0</v>
      </c>
      <c r="K136" t="s">
        <v>3229</v>
      </c>
      <c r="L136" t="s">
        <v>3207</v>
      </c>
      <c r="M136" t="s">
        <v>3237</v>
      </c>
      <c r="O136" t="s">
        <v>2933</v>
      </c>
      <c r="P136" t="s">
        <v>2934</v>
      </c>
    </row>
    <row r="137" spans="1:19">
      <c r="B137" t="s">
        <v>3202</v>
      </c>
      <c r="C137" t="s">
        <v>3364</v>
      </c>
      <c r="F137" t="s">
        <v>3365</v>
      </c>
      <c r="G137" s="49">
        <v>44969</v>
      </c>
      <c r="H137">
        <v>31</v>
      </c>
      <c r="I137">
        <v>30</v>
      </c>
      <c r="J137">
        <v>0.967741935483871</v>
      </c>
      <c r="K137" t="s">
        <v>3233</v>
      </c>
      <c r="L137" t="s">
        <v>3207</v>
      </c>
      <c r="M137" t="s">
        <v>3237</v>
      </c>
      <c r="O137" t="s">
        <v>2933</v>
      </c>
      <c r="P137" t="s">
        <v>2934</v>
      </c>
    </row>
    <row r="138" spans="1:19">
      <c r="B138" t="s">
        <v>3202</v>
      </c>
      <c r="C138" t="s">
        <v>3364</v>
      </c>
      <c r="E138" t="s">
        <v>2939</v>
      </c>
      <c r="F138" t="s">
        <v>3366</v>
      </c>
      <c r="G138" s="49">
        <v>44969</v>
      </c>
      <c r="H138">
        <v>31</v>
      </c>
      <c r="I138">
        <v>22</v>
      </c>
      <c r="J138">
        <v>0.70967741935483875</v>
      </c>
      <c r="K138" t="s">
        <v>3367</v>
      </c>
      <c r="L138" t="s">
        <v>3207</v>
      </c>
      <c r="M138" t="s">
        <v>3237</v>
      </c>
      <c r="O138" t="s">
        <v>2933</v>
      </c>
      <c r="P138" t="s">
        <v>2934</v>
      </c>
    </row>
    <row r="139" spans="1:19">
      <c r="A139" t="s">
        <v>3368</v>
      </c>
      <c r="B139" t="s">
        <v>3293</v>
      </c>
      <c r="C139" t="s">
        <v>3369</v>
      </c>
      <c r="D139" t="s">
        <v>388</v>
      </c>
      <c r="E139" t="s">
        <v>2939</v>
      </c>
      <c r="F139" t="s">
        <v>3370</v>
      </c>
      <c r="G139" s="49">
        <v>44970</v>
      </c>
      <c r="H139">
        <v>22</v>
      </c>
      <c r="I139">
        <v>18</v>
      </c>
      <c r="J139">
        <v>0.81818181818181823</v>
      </c>
      <c r="K139" t="s">
        <v>3296</v>
      </c>
      <c r="L139" t="s">
        <v>3207</v>
      </c>
      <c r="M139" t="s">
        <v>3297</v>
      </c>
      <c r="N139" t="s">
        <v>471</v>
      </c>
      <c r="O139" t="s">
        <v>2933</v>
      </c>
      <c r="P139" t="s">
        <v>2934</v>
      </c>
      <c r="S139" t="s">
        <v>2896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22CB5-AA7E-494F-AFF8-1C867C3FB0F0}">
  <sheetPr filterMode="1"/>
  <dimension ref="A1:S144"/>
  <sheetViews>
    <sheetView workbookViewId="0">
      <pane ySplit="1" topLeftCell="L127" activePane="bottomLeft" state="frozen"/>
      <selection pane="bottomLeft" activeCell="L127" sqref="L127"/>
    </sheetView>
  </sheetViews>
  <sheetFormatPr defaultRowHeight="15"/>
  <cols>
    <col min="1" max="1" width="7" bestFit="1" customWidth="1"/>
    <col min="2" max="2" width="43.28515625" customWidth="1"/>
    <col min="3" max="3" width="15.85546875" customWidth="1"/>
    <col min="4" max="4" width="21.28515625" customWidth="1"/>
    <col min="7" max="7" width="10" bestFit="1" customWidth="1"/>
    <col min="9" max="9" width="9.7109375" customWidth="1"/>
    <col min="10" max="10" width="7.5703125" customWidth="1"/>
    <col min="11" max="11" width="19.85546875" customWidth="1"/>
    <col min="12" max="12" width="14.7109375" customWidth="1"/>
    <col min="13" max="13" width="14.5703125" customWidth="1"/>
    <col min="14" max="14" width="29.28515625" customWidth="1"/>
    <col min="16" max="16" width="43" customWidth="1"/>
    <col min="17" max="17" width="19.42578125" customWidth="1"/>
    <col min="18" max="18" width="49.140625" customWidth="1"/>
    <col min="19" max="19" width="40.28515625" customWidth="1"/>
  </cols>
  <sheetData>
    <row r="1" spans="1:19">
      <c r="A1" s="39" t="s">
        <v>3371</v>
      </c>
      <c r="B1" s="39" t="s">
        <v>0</v>
      </c>
      <c r="C1" s="39" t="s">
        <v>3372</v>
      </c>
      <c r="D1" s="39" t="s">
        <v>3373</v>
      </c>
      <c r="E1" s="39" t="s">
        <v>2913</v>
      </c>
      <c r="F1" s="39" t="s">
        <v>3374</v>
      </c>
      <c r="G1" s="39" t="s">
        <v>3375</v>
      </c>
      <c r="H1" s="39" t="s">
        <v>3376</v>
      </c>
      <c r="I1" s="39" t="s">
        <v>2917</v>
      </c>
      <c r="J1" s="40" t="s">
        <v>388</v>
      </c>
      <c r="K1" s="39" t="s">
        <v>3377</v>
      </c>
      <c r="L1" s="39" t="s">
        <v>2922</v>
      </c>
      <c r="M1" s="39" t="s">
        <v>2923</v>
      </c>
      <c r="N1" s="39" t="s">
        <v>2924</v>
      </c>
      <c r="O1" t="s">
        <v>17</v>
      </c>
      <c r="P1" s="39" t="s">
        <v>2925</v>
      </c>
      <c r="Q1" s="39" t="s">
        <v>2926</v>
      </c>
      <c r="R1" s="40" t="s">
        <v>2928</v>
      </c>
      <c r="S1" s="39" t="s">
        <v>2929</v>
      </c>
    </row>
    <row r="2" spans="1:19" hidden="1">
      <c r="A2">
        <v>1</v>
      </c>
      <c r="B2" s="1" t="s">
        <v>18</v>
      </c>
      <c r="C2" t="str">
        <f>_xlfn.XLOOKUP(_xlfn.XLOOKUP(B2,Errors!A:A,Errors!B:B),Robots!C:C,Robots!D:D)</f>
        <v>LumionFix 023</v>
      </c>
      <c r="D2" t="str">
        <f>_xlfn.XLOOKUP($B2,Errors!$A:$A,Errors!D:D)</f>
        <v>612cab5d-3467-4308-a4b7-76fdc2b421a4</v>
      </c>
      <c r="E2" s="42" t="str">
        <f>_xlfn.XLOOKUP($B2,Errors!$A:$A,Errors!E:E)</f>
        <v>stopped</v>
      </c>
      <c r="F2" t="str">
        <f>_xlfn.XLOOKUP($B2,Errors!$A:$A,Errors!K:K)</f>
        <v>Recovery</v>
      </c>
      <c r="G2" s="43">
        <f>_xlfn.XLOOKUP($B2,Errors!$A:$A,Errors!F:F)</f>
        <v>44732</v>
      </c>
      <c r="H2" s="44">
        <f>_xlfn.XLOOKUP($B2,Errors!$A:$A,Errors!H:H)</f>
        <v>0.79166666666666663</v>
      </c>
      <c r="I2">
        <f>_xlfn.XLOOKUP($D2,NimbusTreatments!B:B,NimbusTreatments!G:G)</f>
        <v>52</v>
      </c>
      <c r="J2">
        <f>_xlfn.XLOOKUP($D2,NimbusTreatments!$B:$B,NimbusTreatments!H:H)</f>
        <v>2</v>
      </c>
      <c r="K2">
        <f>_xlfn.XLOOKUP($B2,Errors!$A:$A,Errors!L:L)</f>
        <v>0</v>
      </c>
      <c r="L2" s="45" t="str" cm="1">
        <f t="array" aca="1" ref="L2" ca="1">HYPERLINK("#" &amp; CELL("address", _xlfn.XLOOKUP($B2,Errors!$A:$A,Errors!M:M)))</f>
        <v>#[VRS_RobotData.xlsx]Errors!$M$2</v>
      </c>
      <c r="M2" t="str">
        <f>_xlfn.XLOOKUP($B2,Errors!$A:$A,Errors!O:O)</f>
        <v>0x1040105</v>
      </c>
      <c r="N2" t="str">
        <f>_xlfn.XLOOKUP($M2,'Error-codes'!$A:$A,'Error-codes'!B:B)</f>
        <v>xtheta sensor error</v>
      </c>
      <c r="O2" s="42">
        <f>_xlfn.XLOOKUP($B2,Errors!$A:$A,Errors!R:R)</f>
        <v>0</v>
      </c>
      <c r="P2" s="46"/>
      <c r="Q2" s="46"/>
      <c r="R2" s="46"/>
      <c r="S2" s="46"/>
    </row>
    <row r="3" spans="1:19" hidden="1">
      <c r="A3">
        <v>2</v>
      </c>
      <c r="B3" s="7" t="s">
        <v>28</v>
      </c>
      <c r="C3" t="str">
        <f>_xlfn.XLOOKUP(_xlfn.XLOOKUP(B3,Errors!A:A,Errors!B:B),Robots!C:C,Robots!D:D)</f>
        <v>LumionFix 023</v>
      </c>
      <c r="D3" t="str">
        <f>_xlfn.XLOOKUP($B3,Errors!$A:$A,Errors!D:D)</f>
        <v>612cab5d-3467-4308-a4b7-76fdc2b421a4</v>
      </c>
      <c r="E3" s="42" t="str">
        <f>_xlfn.XLOOKUP($B3,Errors!$A:$A,Errors!E:E)</f>
        <v>stopped</v>
      </c>
      <c r="F3" t="str">
        <f>_xlfn.XLOOKUP($B3,Errors!$A:$A,Errors!K:K)</f>
        <v>Recovery</v>
      </c>
      <c r="G3" s="43">
        <f>_xlfn.XLOOKUP($B3,Errors!$A:$A,Errors!F:F)</f>
        <v>44732</v>
      </c>
      <c r="H3" s="44">
        <f>_xlfn.XLOOKUP($B3,Errors!$A:$A,Errors!H:H)</f>
        <v>0.79652777777777783</v>
      </c>
      <c r="I3">
        <f>_xlfn.XLOOKUP($D3,NimbusTreatments!B:B,NimbusTreatments!G:G)</f>
        <v>52</v>
      </c>
      <c r="J3">
        <f>_xlfn.XLOOKUP($D3,NimbusTreatments!$B:$B,NimbusTreatments!H:H)</f>
        <v>2</v>
      </c>
      <c r="K3">
        <f>_xlfn.XLOOKUP($B3,Errors!$A:$A,Errors!L:L)</f>
        <v>0</v>
      </c>
      <c r="L3" s="45" t="str" cm="1">
        <f t="array" aca="1" ref="L3" ca="1">HYPERLINK("#" &amp; CELL("address", _xlfn.XLOOKUP($B3,Errors!$A:$A,Errors!M:M)))</f>
        <v>#[VRS_RobotData.xlsx]Errors!$M$3</v>
      </c>
      <c r="M3" t="str">
        <f>_xlfn.XLOOKUP($B3,Errors!$A:$A,Errors!O:O)</f>
        <v>0x1040102</v>
      </c>
      <c r="N3" t="str">
        <f>_xlfn.XLOOKUP($M3,'Error-codes'!$A:$A,'Error-codes'!B:B)</f>
        <v>inductive sensor error</v>
      </c>
      <c r="O3" s="42">
        <f>_xlfn.XLOOKUP($B3,Errors!$A:$A,Errors!R:R)</f>
        <v>0</v>
      </c>
      <c r="P3" s="46"/>
      <c r="Q3" s="46"/>
      <c r="R3" s="46"/>
      <c r="S3" s="46"/>
    </row>
    <row r="4" spans="1:19" hidden="1">
      <c r="A4">
        <v>3</v>
      </c>
      <c r="B4" s="1" t="s">
        <v>32</v>
      </c>
      <c r="C4" t="str">
        <f>_xlfn.XLOOKUP(_xlfn.XLOOKUP(B4,Errors!A:A,Errors!B:B),Robots!C:C,Robots!D:D)</f>
        <v>LumionFix 023</v>
      </c>
      <c r="D4" t="str">
        <f>_xlfn.XLOOKUP($B4,Errors!$A:$A,Errors!D:D)</f>
        <v>612cab5d-3467-4308-a4b7-76fdc2b421a4</v>
      </c>
      <c r="E4" s="42" t="str">
        <f>_xlfn.XLOOKUP($B4,Errors!$A:$A,Errors!E:E)</f>
        <v>stopped</v>
      </c>
      <c r="F4" t="str">
        <f>_xlfn.XLOOKUP($B4,Errors!$A:$A,Errors!K:K)</f>
        <v>Fatal</v>
      </c>
      <c r="G4" s="43">
        <f>_xlfn.XLOOKUP($B4,Errors!$A:$A,Errors!F:F)</f>
        <v>44732</v>
      </c>
      <c r="H4" s="44">
        <f>_xlfn.XLOOKUP($B4,Errors!$A:$A,Errors!H:H)</f>
        <v>0.79722222222222217</v>
      </c>
      <c r="I4">
        <f>_xlfn.XLOOKUP($D4,NimbusTreatments!B:B,NimbusTreatments!G:G)</f>
        <v>52</v>
      </c>
      <c r="J4">
        <f>_xlfn.XLOOKUP($D4,NimbusTreatments!$B:$B,NimbusTreatments!H:H)</f>
        <v>2</v>
      </c>
      <c r="K4">
        <f>_xlfn.XLOOKUP($B4,Errors!$A:$A,Errors!L:L)</f>
        <v>0</v>
      </c>
      <c r="L4" s="45" t="str" cm="1">
        <f t="array" aca="1" ref="L4" ca="1">HYPERLINK("#" &amp; CELL("address", _xlfn.XLOOKUP($B4,Errors!$A:$A,Errors!M:M)))</f>
        <v>#[VRS_RobotData.xlsx]Errors!$M$4</v>
      </c>
      <c r="M4" t="str">
        <f>_xlfn.XLOOKUP($B4,Errors!$A:$A,Errors!O:O)</f>
        <v>0x1040102</v>
      </c>
      <c r="N4" t="str">
        <f>_xlfn.XLOOKUP($M4,'Error-codes'!$A:$A,'Error-codes'!B:B)</f>
        <v>inductive sensor error</v>
      </c>
      <c r="O4" s="42">
        <f>_xlfn.XLOOKUP($B4,Errors!$A:$A,Errors!R:R)</f>
        <v>0</v>
      </c>
      <c r="P4" s="46"/>
      <c r="Q4" s="46"/>
      <c r="R4" s="46"/>
      <c r="S4" s="46"/>
    </row>
    <row r="5" spans="1:19">
      <c r="A5">
        <v>4</v>
      </c>
      <c r="B5" s="7" t="s">
        <v>34</v>
      </c>
      <c r="C5" t="str">
        <f>_xlfn.XLOOKUP(_xlfn.XLOOKUP(B5,Errors!A:A,Errors!B:B),Robots!C:C,Robots!D:D)</f>
        <v>LumionFix 024</v>
      </c>
      <c r="D5" t="str">
        <f>_xlfn.XLOOKUP($B5,Errors!$A:$A,Errors!D:D)</f>
        <v>9ffe7f4b-3f9c-4cc6-beb6-316ab069e995</v>
      </c>
      <c r="E5" s="42" t="str">
        <f>_xlfn.XLOOKUP($B5,Errors!$A:$A,Errors!E:E)</f>
        <v>failed</v>
      </c>
      <c r="F5" t="str">
        <f>_xlfn.XLOOKUP($B5,Errors!$A:$A,Errors!K:K)</f>
        <v>Fatal</v>
      </c>
      <c r="G5" s="43">
        <f>_xlfn.XLOOKUP($B5,Errors!$A:$A,Errors!F:F)</f>
        <v>44732</v>
      </c>
      <c r="H5" s="44">
        <f>_xlfn.XLOOKUP($B5,Errors!$A:$A,Errors!H:H)</f>
        <v>0.80625000000000002</v>
      </c>
      <c r="I5">
        <f>_xlfn.XLOOKUP($D5,NimbusTreatments!B:B,NimbusTreatments!G:G)</f>
        <v>48</v>
      </c>
      <c r="J5">
        <f>_xlfn.XLOOKUP($D5,NimbusTreatments!$B:$B,NimbusTreatments!H:H)</f>
        <v>8</v>
      </c>
      <c r="K5" t="str">
        <f>_xlfn.XLOOKUP($B5,Errors!$A:$A,Errors!L:L)</f>
        <v>right_3811</v>
      </c>
      <c r="L5" s="45" t="str" cm="1">
        <f t="array" aca="1" ref="L5" ca="1">HYPERLINK("#" &amp; CELL("address", _xlfn.XLOOKUP($B5,Errors!$A:$A,Errors!M:M)))</f>
        <v>#[VRS_RobotData.xlsx]Errors!$M$5</v>
      </c>
      <c r="M5" t="str">
        <f>_xlfn.XLOOKUP($B5,Errors!$A:$A,Errors!O:O)</f>
        <v>0x1070001</v>
      </c>
      <c r="N5" t="str">
        <f>_xlfn.XLOOKUP($M5,'Error-codes'!$A:$A,'Error-codes'!B:B)</f>
        <v>battery level critical low</v>
      </c>
      <c r="O5" s="42">
        <f>_xlfn.XLOOKUP($B5,Errors!$A:$A,Errors!R:R)</f>
        <v>0</v>
      </c>
      <c r="P5" s="46"/>
      <c r="Q5" s="46"/>
      <c r="R5" s="46"/>
      <c r="S5" s="46"/>
    </row>
    <row r="6" spans="1:19" hidden="1">
      <c r="A6">
        <v>5</v>
      </c>
      <c r="B6" s="1" t="s">
        <v>41</v>
      </c>
      <c r="C6" t="str">
        <f>_xlfn.XLOOKUP(_xlfn.XLOOKUP(B6,Errors!A:A,Errors!B:B),Robots!C:C,Robots!D:D)</f>
        <v>LumionFix 023</v>
      </c>
      <c r="D6" t="str">
        <f>_xlfn.XLOOKUP($B6,Errors!$A:$A,Errors!D:D)</f>
        <v>bb4732e9-3e3a-4848-b63d-5349e7871572</v>
      </c>
      <c r="E6" s="42" t="str">
        <f>_xlfn.XLOOKUP($B6,Errors!$A:$A,Errors!E:E)</f>
        <v>failed</v>
      </c>
      <c r="F6" t="str">
        <f>_xlfn.XLOOKUP($B6,Errors!$A:$A,Errors!K:K)</f>
        <v>Recovery</v>
      </c>
      <c r="G6" s="43">
        <f>_xlfn.XLOOKUP($B6,Errors!$A:$A,Errors!F:F)</f>
        <v>44732</v>
      </c>
      <c r="H6" s="44">
        <f>_xlfn.XLOOKUP($B6,Errors!$A:$A,Errors!H:H)</f>
        <v>0.80625000000000002</v>
      </c>
      <c r="I6">
        <f>_xlfn.XLOOKUP($D6,NimbusTreatments!B:B,NimbusTreatments!G:G)</f>
        <v>41</v>
      </c>
      <c r="J6">
        <f>_xlfn.XLOOKUP($D6,NimbusTreatments!$B:$B,NimbusTreatments!H:H)</f>
        <v>0</v>
      </c>
      <c r="K6">
        <f>_xlfn.XLOOKUP($B6,Errors!$A:$A,Errors!L:L)</f>
        <v>0</v>
      </c>
      <c r="L6" s="45" t="str" cm="1">
        <f t="array" aca="1" ref="L6" ca="1">HYPERLINK("#" &amp; CELL("address", _xlfn.XLOOKUP($B6,Errors!$A:$A,Errors!M:M)))</f>
        <v>#[VRS_RobotData.xlsx]Errors!$M$6</v>
      </c>
      <c r="M6" t="str">
        <f>_xlfn.XLOOKUP($B6,Errors!$A:$A,Errors!O:O)</f>
        <v>0x1040102</v>
      </c>
      <c r="N6" t="str">
        <f>_xlfn.XLOOKUP($M6,'Error-codes'!$A:$A,'Error-codes'!B:B)</f>
        <v>inductive sensor error</v>
      </c>
      <c r="O6" s="42">
        <f>_xlfn.XLOOKUP($B6,Errors!$A:$A,Errors!R:R)</f>
        <v>0</v>
      </c>
      <c r="P6" s="46"/>
      <c r="Q6" s="46"/>
      <c r="R6" s="46"/>
      <c r="S6" s="46"/>
    </row>
    <row r="7" spans="1:19" hidden="1">
      <c r="A7">
        <v>6</v>
      </c>
      <c r="B7" s="7" t="s">
        <v>44</v>
      </c>
      <c r="C7" t="str">
        <f>_xlfn.XLOOKUP(_xlfn.XLOOKUP(B7,Errors!A:A,Errors!B:B),Robots!C:C,Robots!D:D)</f>
        <v>LumionFix 023</v>
      </c>
      <c r="D7" t="str">
        <f>_xlfn.XLOOKUP($B7,Errors!$A:$A,Errors!D:D)</f>
        <v>bb4732e9-3e3a-4848-b63d-5349e7871572</v>
      </c>
      <c r="E7" s="42" t="str">
        <f>_xlfn.XLOOKUP($B7,Errors!$A:$A,Errors!E:E)</f>
        <v>failed</v>
      </c>
      <c r="F7" t="str">
        <f>_xlfn.XLOOKUP($B7,Errors!$A:$A,Errors!K:K)</f>
        <v>Fatal</v>
      </c>
      <c r="G7" s="43">
        <f>_xlfn.XLOOKUP($B7,Errors!$A:$A,Errors!F:F)</f>
        <v>44732</v>
      </c>
      <c r="H7" s="44">
        <f>_xlfn.XLOOKUP($B7,Errors!$A:$A,Errors!H:H)</f>
        <v>0.80694444444444446</v>
      </c>
      <c r="I7">
        <f>_xlfn.XLOOKUP($D7,NimbusTreatments!B:B,NimbusTreatments!G:G)</f>
        <v>41</v>
      </c>
      <c r="J7">
        <f>_xlfn.XLOOKUP($D7,NimbusTreatments!$B:$B,NimbusTreatments!H:H)</f>
        <v>0</v>
      </c>
      <c r="K7" t="str">
        <f>_xlfn.XLOOKUP($B7,Errors!$A:$A,Errors!L:L)</f>
        <v>left_lane3726</v>
      </c>
      <c r="L7" s="45" t="str" cm="1">
        <f t="array" aca="1" ref="L7" ca="1">HYPERLINK("#" &amp; CELL("address", _xlfn.XLOOKUP($B7,Errors!$A:$A,Errors!M:M)))</f>
        <v>#[VRS_RobotData.xlsx]Errors!$M$7</v>
      </c>
      <c r="M7" t="str">
        <f>_xlfn.XLOOKUP($B7,Errors!$A:$A,Errors!O:O)</f>
        <v>0x1040102</v>
      </c>
      <c r="N7" t="str">
        <f>_xlfn.XLOOKUP($M7,'Error-codes'!$A:$A,'Error-codes'!B:B)</f>
        <v>inductive sensor error</v>
      </c>
      <c r="O7" s="42">
        <f>_xlfn.XLOOKUP($B7,Errors!$A:$A,Errors!R:R)</f>
        <v>0</v>
      </c>
    </row>
    <row r="8" spans="1:19">
      <c r="A8">
        <v>7</v>
      </c>
      <c r="B8" s="1" t="s">
        <v>46</v>
      </c>
      <c r="C8" t="str">
        <f>_xlfn.XLOOKUP(_xlfn.XLOOKUP(B8,Errors!A:A,Errors!B:B),Robots!C:C,Robots!D:D)</f>
        <v>LumionFix 024</v>
      </c>
      <c r="D8" t="str">
        <f>_xlfn.XLOOKUP($B8,Errors!$A:$A,Errors!D:D)</f>
        <v>2d046aba-41b3-4d25-9166-cd57c4594628</v>
      </c>
      <c r="E8" s="42" t="str">
        <f>_xlfn.XLOOKUP($B8,Errors!$A:$A,Errors!E:E)</f>
        <v>failed</v>
      </c>
      <c r="F8" t="str">
        <f>_xlfn.XLOOKUP($B8,Errors!$A:$A,Errors!K:K)</f>
        <v>Fatal</v>
      </c>
      <c r="G8" s="43">
        <f>_xlfn.XLOOKUP($B8,Errors!$A:$A,Errors!F:F)</f>
        <v>44733</v>
      </c>
      <c r="H8" s="44">
        <f>_xlfn.XLOOKUP($B8,Errors!$A:$A,Errors!H:H)</f>
        <v>0.86736111111111114</v>
      </c>
      <c r="I8">
        <f>_xlfn.XLOOKUP($D8,NimbusTreatments!B:B,NimbusTreatments!G:G)</f>
        <v>41</v>
      </c>
      <c r="J8">
        <f>_xlfn.XLOOKUP($D8,NimbusTreatments!$B:$B,NimbusTreatments!H:H)</f>
        <v>34</v>
      </c>
      <c r="K8" t="str">
        <f>_xlfn.XLOOKUP($B8,Errors!$A:$A,Errors!L:L)</f>
        <v>right_3735</v>
      </c>
      <c r="L8" s="45" t="str" cm="1">
        <f t="array" aca="1" ref="L8" ca="1">HYPERLINK("#" &amp; CELL("address", _xlfn.XLOOKUP($B8,Errors!$A:$A,Errors!M:M)))</f>
        <v>#[VRS_RobotData.xlsx]Errors!$M$8</v>
      </c>
      <c r="M8" t="str">
        <f>_xlfn.XLOOKUP($B8,Errors!$A:$A,Errors!O:O)</f>
        <v>0x1070001</v>
      </c>
      <c r="N8" t="str">
        <f>_xlfn.XLOOKUP($M8,'Error-codes'!$A:$A,'Error-codes'!B:B)</f>
        <v>battery level critical low</v>
      </c>
      <c r="O8" s="42">
        <f>_xlfn.XLOOKUP($B8,Errors!$A:$A,Errors!R:R)</f>
        <v>0</v>
      </c>
      <c r="P8" s="46"/>
      <c r="Q8" s="46"/>
      <c r="R8" s="46"/>
      <c r="S8" s="46"/>
    </row>
    <row r="9" spans="1:19">
      <c r="A9">
        <v>8</v>
      </c>
      <c r="B9" s="7" t="s">
        <v>50</v>
      </c>
      <c r="C9" t="str">
        <f>_xlfn.XLOOKUP(_xlfn.XLOOKUP(B9,Errors!A:A,Errors!B:B),Robots!C:C,Robots!D:D)</f>
        <v>LumionFix 024</v>
      </c>
      <c r="D9" t="str">
        <f>_xlfn.XLOOKUP($B9,Errors!$A:$A,Errors!D:D)</f>
        <v>5234bbd9-05ac-4e44-93e6-2290371576b7</v>
      </c>
      <c r="E9" s="42" t="str">
        <f>_xlfn.XLOOKUP($B9,Errors!$A:$A,Errors!E:E)</f>
        <v>failed</v>
      </c>
      <c r="F9" t="str">
        <f>_xlfn.XLOOKUP($B9,Errors!$A:$A,Errors!K:K)</f>
        <v>Fatal</v>
      </c>
      <c r="G9" s="43">
        <f>_xlfn.XLOOKUP($B9,Errors!$A:$A,Errors!F:F)</f>
        <v>44739</v>
      </c>
      <c r="H9" s="44">
        <f>_xlfn.XLOOKUP($B9,Errors!$A:$A,Errors!H:H)</f>
        <v>0.89930555555555547</v>
      </c>
      <c r="I9">
        <f>_xlfn.XLOOKUP($D9,NimbusTreatments!B:B,NimbusTreatments!G:G)</f>
        <v>96</v>
      </c>
      <c r="J9">
        <f>_xlfn.XLOOKUP($D9,NimbusTreatments!$B:$B,NimbusTreatments!H:H)</f>
        <v>26</v>
      </c>
      <c r="K9" t="str">
        <f>_xlfn.XLOOKUP($B9,Errors!$A:$A,Errors!L:L)</f>
        <v>left_lane3562</v>
      </c>
      <c r="L9" s="45" t="str" cm="1">
        <f t="array" aca="1" ref="L9" ca="1">HYPERLINK("#" &amp; CELL("address", _xlfn.XLOOKUP($B9,Errors!$A:$A,Errors!M:M)))</f>
        <v>#[VRS_RobotData.xlsx]Errors!$M$9</v>
      </c>
      <c r="M9" t="str">
        <f>_xlfn.XLOOKUP($B9,Errors!$A:$A,Errors!O:O)</f>
        <v>0x1040102</v>
      </c>
      <c r="N9" t="str">
        <f>_xlfn.XLOOKUP($M9,'Error-codes'!$A:$A,'Error-codes'!B:B)</f>
        <v>inductive sensor error</v>
      </c>
      <c r="O9" s="42">
        <f>_xlfn.XLOOKUP($B9,Errors!$A:$A,Errors!R:R)</f>
        <v>0</v>
      </c>
      <c r="P9" s="46"/>
      <c r="Q9" s="46"/>
      <c r="R9" s="46"/>
      <c r="S9" s="46"/>
    </row>
    <row r="10" spans="1:19">
      <c r="A10">
        <v>9</v>
      </c>
      <c r="B10" s="13" t="s">
        <v>54</v>
      </c>
      <c r="C10" t="str">
        <f>_xlfn.XLOOKUP(_xlfn.XLOOKUP(B10,Errors!A:A,Errors!B:B),Robots!C:C,Robots!D:D)</f>
        <v>LumionFix 024</v>
      </c>
      <c r="D10" t="str">
        <f>_xlfn.XLOOKUP($B10,Errors!$A:$A,Errors!D:D)</f>
        <v>f208feab-73dc-4a8a-b63e-878156a8e6b3</v>
      </c>
      <c r="E10" s="42" t="str">
        <f>_xlfn.XLOOKUP($B10,Errors!$A:$A,Errors!E:E)</f>
        <v>failed</v>
      </c>
      <c r="F10" t="str">
        <f>_xlfn.XLOOKUP($B10,Errors!$A:$A,Errors!K:K)</f>
        <v>Fatal</v>
      </c>
      <c r="G10" s="43">
        <f>_xlfn.XLOOKUP($B10,Errors!$A:$A,Errors!F:F)</f>
        <v>44740</v>
      </c>
      <c r="H10" s="44">
        <f>_xlfn.XLOOKUP($B10,Errors!$A:$A,Errors!H:H)</f>
        <v>0.80208333333333337</v>
      </c>
      <c r="I10">
        <f>_xlfn.XLOOKUP($D10,NimbusTreatments!B:B,NimbusTreatments!G:G)</f>
        <v>83</v>
      </c>
      <c r="J10">
        <f>_xlfn.XLOOKUP($D10,NimbusTreatments!$B:$B,NimbusTreatments!H:H)</f>
        <v>0</v>
      </c>
      <c r="K10" t="str">
        <f>_xlfn.XLOOKUP($B10,Errors!$A:$A,Errors!L:L)</f>
        <v>right_3533</v>
      </c>
      <c r="L10" s="45" t="str" cm="1">
        <f t="array" aca="1" ref="L10" ca="1">HYPERLINK("#" &amp; CELL("address", _xlfn.XLOOKUP($B10,Errors!$A:$A,Errors!M:M)))</f>
        <v>#[VRS_RobotData.xlsx]Errors!$M$10</v>
      </c>
      <c r="M10" t="str">
        <f>_xlfn.XLOOKUP($B10,Errors!$A:$A,Errors!O:O)</f>
        <v>0x1040102</v>
      </c>
      <c r="N10" t="str">
        <f>_xlfn.XLOOKUP($M10,'Error-codes'!$A:$A,'Error-codes'!B:B)</f>
        <v>inductive sensor error</v>
      </c>
      <c r="O10" s="42">
        <f>_xlfn.XLOOKUP($B10,Errors!$A:$A,Errors!R:R)</f>
        <v>0</v>
      </c>
    </row>
    <row r="11" spans="1:19" hidden="1">
      <c r="A11">
        <v>10</v>
      </c>
      <c r="B11" s="7" t="s">
        <v>57</v>
      </c>
      <c r="C11" t="str">
        <f>_xlfn.XLOOKUP(_xlfn.XLOOKUP(B11,Errors!A:A,Errors!B:B),Robots!C:C,Robots!D:D)</f>
        <v>LumionFix 023</v>
      </c>
      <c r="D11" t="str">
        <f>_xlfn.XLOOKUP($B11,Errors!$A:$A,Errors!D:D)</f>
        <v>61593c3e-21ee-4a9e-bfdd-b9f484885e8c</v>
      </c>
      <c r="E11" s="42" t="str">
        <f>_xlfn.XLOOKUP($B11,Errors!$A:$A,Errors!E:E)</f>
        <v>failed</v>
      </c>
      <c r="F11" t="str">
        <f>_xlfn.XLOOKUP($B11,Errors!$A:$A,Errors!K:K)</f>
        <v>Fatal</v>
      </c>
      <c r="G11" s="43">
        <f>_xlfn.XLOOKUP($B11,Errors!$A:$A,Errors!F:F)</f>
        <v>44746</v>
      </c>
      <c r="H11" s="44">
        <f>_xlfn.XLOOKUP($B11,Errors!$A:$A,Errors!H:H)</f>
        <v>0.79861111111111116</v>
      </c>
      <c r="I11">
        <f>_xlfn.XLOOKUP($D11,NimbusTreatments!B:B,NimbusTreatments!G:G)</f>
        <v>78</v>
      </c>
      <c r="J11">
        <f>_xlfn.XLOOKUP($D11,NimbusTreatments!$B:$B,NimbusTreatments!H:H)</f>
        <v>2</v>
      </c>
      <c r="K11" t="str">
        <f>_xlfn.XLOOKUP($B11,Errors!$A:$A,Errors!L:L)</f>
        <v>left_lane3716</v>
      </c>
      <c r="L11" s="45" t="str" cm="1">
        <f t="array" aca="1" ref="L11" ca="1">HYPERLINK("#" &amp; CELL("address", _xlfn.XLOOKUP($B11,Errors!$A:$A,Errors!M:M)))</f>
        <v>#[VRS_RobotData.xlsx]Errors!$M$11</v>
      </c>
      <c r="M11" t="str">
        <f>_xlfn.XLOOKUP($B11,Errors!$A:$A,Errors!O:O)</f>
        <v>0x1040103</v>
      </c>
      <c r="N11" t="str">
        <f>_xlfn.XLOOKUP($M11,'Error-codes'!$A:$A,'Error-codes'!B:B)</f>
        <v>end of lane wall sensor error</v>
      </c>
      <c r="O11" s="42">
        <f>_xlfn.XLOOKUP($B11,Errors!$A:$A,Errors!R:R)</f>
        <v>0</v>
      </c>
    </row>
    <row r="12" spans="1:19">
      <c r="A12">
        <v>11</v>
      </c>
      <c r="B12" s="1" t="s">
        <v>63</v>
      </c>
      <c r="C12" t="str">
        <f>_xlfn.XLOOKUP(_xlfn.XLOOKUP(B12,Errors!A:A,Errors!B:B),Robots!C:C,Robots!D:D)</f>
        <v>LumionFix 024</v>
      </c>
      <c r="D12" t="str">
        <f>_xlfn.XLOOKUP($B12,Errors!$A:$A,Errors!D:D)</f>
        <v>f58c6f39-f2c2-4352-acbf-8520805635fd</v>
      </c>
      <c r="E12" s="42" t="str">
        <f>_xlfn.XLOOKUP($B12,Errors!$A:$A,Errors!E:E)</f>
        <v>failed</v>
      </c>
      <c r="F12" t="str">
        <f>_xlfn.XLOOKUP($B12,Errors!$A:$A,Errors!K:K)</f>
        <v>Fatal</v>
      </c>
      <c r="G12" s="43">
        <f>_xlfn.XLOOKUP($B12,Errors!$A:$A,Errors!F:F)</f>
        <v>44760</v>
      </c>
      <c r="H12" s="44">
        <f>_xlfn.XLOOKUP($B12,Errors!$A:$A,Errors!H:H)</f>
        <v>0.7914930555555556</v>
      </c>
      <c r="I12">
        <f>_xlfn.XLOOKUP($D12,NimbusTreatments!B:B,NimbusTreatments!G:G)</f>
        <v>28</v>
      </c>
      <c r="J12">
        <f>_xlfn.XLOOKUP($D12,NimbusTreatments!$B:$B,NimbusTreatments!H:H)</f>
        <v>0</v>
      </c>
      <c r="K12" t="str">
        <f>_xlfn.XLOOKUP($B12,Errors!$A:$A,Errors!L:L)</f>
        <v>right_3659</v>
      </c>
      <c r="L12" s="45" t="str" cm="1">
        <f t="array" aca="1" ref="L12" ca="1">HYPERLINK("#" &amp; CELL("address", _xlfn.XLOOKUP($B12,Errors!$A:$A,Errors!M:M)))</f>
        <v>#[VRS_RobotData.xlsx]Errors!$M$12</v>
      </c>
      <c r="M12" t="str">
        <f>_xlfn.XLOOKUP($B12,Errors!$A:$A,Errors!O:O)</f>
        <v>0x1040102</v>
      </c>
      <c r="N12" t="str">
        <f>_xlfn.XLOOKUP($M12,'Error-codes'!$A:$A,'Error-codes'!B:B)</f>
        <v>inductive sensor error</v>
      </c>
      <c r="O12" s="42">
        <f>_xlfn.XLOOKUP($B12,Errors!$A:$A,Errors!R:R)</f>
        <v>0</v>
      </c>
    </row>
    <row r="13" spans="1:19">
      <c r="A13">
        <v>12</v>
      </c>
      <c r="B13" s="7" t="s">
        <v>66</v>
      </c>
      <c r="C13" t="str">
        <f>_xlfn.XLOOKUP(_xlfn.XLOOKUP(B13,Errors!A:A,Errors!B:B),Robots!C:C,Robots!D:D)</f>
        <v>LumionFix 024</v>
      </c>
      <c r="D13" t="str">
        <f>_xlfn.XLOOKUP($B13,Errors!$A:$A,Errors!D:D)</f>
        <v>15cac06c-42d3-4d76-aeb1-84b897fce817</v>
      </c>
      <c r="E13" s="42" t="str">
        <f>_xlfn.XLOOKUP($B13,Errors!$A:$A,Errors!E:E)</f>
        <v>failed</v>
      </c>
      <c r="F13" t="str">
        <f>_xlfn.XLOOKUP($B13,Errors!$A:$A,Errors!K:K)</f>
        <v>Fatal</v>
      </c>
      <c r="G13" s="43">
        <f>_xlfn.XLOOKUP($B13,Errors!$A:$A,Errors!F:F)</f>
        <v>44760</v>
      </c>
      <c r="H13" s="44">
        <f>_xlfn.XLOOKUP($B13,Errors!$A:$A,Errors!H:H)</f>
        <v>0.79266203703703697</v>
      </c>
      <c r="I13">
        <f>_xlfn.XLOOKUP($D13,NimbusTreatments!B:B,NimbusTreatments!G:G)</f>
        <v>28</v>
      </c>
      <c r="J13">
        <f>_xlfn.XLOOKUP($D13,NimbusTreatments!$B:$B,NimbusTreatments!H:H)</f>
        <v>0</v>
      </c>
      <c r="K13" t="str">
        <f>_xlfn.XLOOKUP($B13,Errors!$A:$A,Errors!L:L)</f>
        <v>right_3659</v>
      </c>
      <c r="L13" s="45" t="str" cm="1">
        <f t="array" aca="1" ref="L13" ca="1">HYPERLINK("#" &amp; CELL("address", _xlfn.XLOOKUP($B13,Errors!$A:$A,Errors!M:M)))</f>
        <v>#[VRS_RobotData.xlsx]Errors!$M$13</v>
      </c>
      <c r="M13" t="str">
        <f>_xlfn.XLOOKUP($B13,Errors!$A:$A,Errors!O:O)</f>
        <v>0x1040102</v>
      </c>
      <c r="N13" t="str">
        <f>_xlfn.XLOOKUP($M13,'Error-codes'!$A:$A,'Error-codes'!B:B)</f>
        <v>inductive sensor error</v>
      </c>
      <c r="O13" s="42">
        <f>_xlfn.XLOOKUP($B13,Errors!$A:$A,Errors!R:R)</f>
        <v>0</v>
      </c>
    </row>
    <row r="14" spans="1:19">
      <c r="A14">
        <v>13</v>
      </c>
      <c r="B14" s="1" t="s">
        <v>68</v>
      </c>
      <c r="C14" t="str">
        <f>_xlfn.XLOOKUP(_xlfn.XLOOKUP(B14,Errors!A:A,Errors!B:B),Robots!C:C,Robots!D:D)</f>
        <v>LumionFix 024</v>
      </c>
      <c r="D14" t="str">
        <f>_xlfn.XLOOKUP($B14,Errors!$A:$A,Errors!D:D)</f>
        <v>7e68199d-3836-49cd-a843-f507c6ca3b2d</v>
      </c>
      <c r="E14" s="42" t="str">
        <f>_xlfn.XLOOKUP($B14,Errors!$A:$A,Errors!E:E)</f>
        <v>failed</v>
      </c>
      <c r="F14" t="str">
        <f>_xlfn.XLOOKUP($B14,Errors!$A:$A,Errors!K:K)</f>
        <v>Recovery</v>
      </c>
      <c r="G14" s="43">
        <f>_xlfn.XLOOKUP($B14,Errors!$A:$A,Errors!F:F)</f>
        <v>44760</v>
      </c>
      <c r="H14" s="44">
        <f>_xlfn.XLOOKUP($B14,Errors!$A:$A,Errors!H:H)</f>
        <v>0.79579861111111105</v>
      </c>
      <c r="I14">
        <f>_xlfn.XLOOKUP($D14,NimbusTreatments!B:B,NimbusTreatments!G:G)</f>
        <v>29</v>
      </c>
      <c r="J14">
        <f>_xlfn.XLOOKUP($D14,NimbusTreatments!$B:$B,NimbusTreatments!H:H)</f>
        <v>0</v>
      </c>
      <c r="K14">
        <f>_xlfn.XLOOKUP($B14,Errors!$A:$A,Errors!L:L)</f>
        <v>0</v>
      </c>
      <c r="L14" s="45" t="str" cm="1">
        <f t="array" aca="1" ref="L14" ca="1">HYPERLINK("#" &amp; CELL("address", _xlfn.XLOOKUP($B14,Errors!$A:$A,Errors!M:M)))</f>
        <v>#[VRS_RobotData.xlsx]Errors!$M$14</v>
      </c>
      <c r="M14" t="str">
        <f>_xlfn.XLOOKUP($B14,Errors!$A:$A,Errors!O:O)</f>
        <v>0x1040102</v>
      </c>
      <c r="N14" t="str">
        <f>_xlfn.XLOOKUP($M14,'Error-codes'!$A:$A,'Error-codes'!B:B)</f>
        <v>inductive sensor error</v>
      </c>
      <c r="O14" s="42">
        <f>_xlfn.XLOOKUP($B14,Errors!$A:$A,Errors!R:R)</f>
        <v>0</v>
      </c>
    </row>
    <row r="15" spans="1:19">
      <c r="A15">
        <v>14</v>
      </c>
      <c r="B15" s="7" t="s">
        <v>70</v>
      </c>
      <c r="C15" t="str">
        <f>_xlfn.XLOOKUP(_xlfn.XLOOKUP(B15,Errors!A:A,Errors!B:B),Robots!C:C,Robots!D:D)</f>
        <v>LumionFix 024</v>
      </c>
      <c r="D15" t="str">
        <f>_xlfn.XLOOKUP($B15,Errors!$A:$A,Errors!D:D)</f>
        <v>7e68199d-3836-49cd-a843-f507c6ca3b2d</v>
      </c>
      <c r="E15" s="42" t="str">
        <f>_xlfn.XLOOKUP($B15,Errors!$A:$A,Errors!E:E)</f>
        <v>failed</v>
      </c>
      <c r="F15" t="str">
        <f>_xlfn.XLOOKUP($B15,Errors!$A:$A,Errors!K:K)</f>
        <v>Fatal</v>
      </c>
      <c r="G15" s="43">
        <f>_xlfn.XLOOKUP($B15,Errors!$A:$A,Errors!F:F)</f>
        <v>44760</v>
      </c>
      <c r="H15" s="44">
        <f>_xlfn.XLOOKUP($B15,Errors!$A:$A,Errors!H:H)</f>
        <v>0.79606481481481473</v>
      </c>
      <c r="I15">
        <f>_xlfn.XLOOKUP($D15,NimbusTreatments!B:B,NimbusTreatments!G:G)</f>
        <v>29</v>
      </c>
      <c r="J15">
        <f>_xlfn.XLOOKUP($D15,NimbusTreatments!$B:$B,NimbusTreatments!H:H)</f>
        <v>0</v>
      </c>
      <c r="K15" t="str">
        <f>_xlfn.XLOOKUP($B15,Errors!$A:$A,Errors!L:L)</f>
        <v>right_3659</v>
      </c>
      <c r="L15" s="45" t="str" cm="1">
        <f t="array" aca="1" ref="L15" ca="1">HYPERLINK("#" &amp; CELL("address", _xlfn.XLOOKUP($B15,Errors!$A:$A,Errors!M:M)))</f>
        <v>#[VRS_RobotData.xlsx]Errors!$M$15</v>
      </c>
      <c r="M15" t="str">
        <f>_xlfn.XLOOKUP($B15,Errors!$A:$A,Errors!O:O)</f>
        <v>0x1040102</v>
      </c>
      <c r="N15" t="str">
        <f>_xlfn.XLOOKUP($M15,'Error-codes'!$A:$A,'Error-codes'!B:B)</f>
        <v>inductive sensor error</v>
      </c>
      <c r="O15" s="42">
        <f>_xlfn.XLOOKUP($B15,Errors!$A:$A,Errors!R:R)</f>
        <v>0</v>
      </c>
    </row>
    <row r="16" spans="1:19" hidden="1">
      <c r="A16">
        <v>15</v>
      </c>
      <c r="B16" s="1" t="s">
        <v>72</v>
      </c>
      <c r="C16" t="str">
        <f>_xlfn.XLOOKUP(_xlfn.XLOOKUP(B16,Errors!A:A,Errors!B:B),Robots!C:C,Robots!D:D)</f>
        <v>LumionFix 023</v>
      </c>
      <c r="D16" t="str">
        <f>_xlfn.XLOOKUP($B16,Errors!$A:$A,Errors!D:D)</f>
        <v>402df8c2-c6b3-4ffd-93eb-08164bab1590</v>
      </c>
      <c r="E16" s="42" t="str">
        <f>_xlfn.XLOOKUP($B16,Errors!$A:$A,Errors!E:E)</f>
        <v>failed</v>
      </c>
      <c r="F16" t="str">
        <f>_xlfn.XLOOKUP($B16,Errors!$A:$A,Errors!K:K)</f>
        <v>Fatal</v>
      </c>
      <c r="G16" s="43">
        <f>_xlfn.XLOOKUP($B16,Errors!$A:$A,Errors!F:F)</f>
        <v>44760</v>
      </c>
      <c r="H16" s="44">
        <f>_xlfn.XLOOKUP($B16,Errors!$A:$A,Errors!H:H)</f>
        <v>0.81726851851851856</v>
      </c>
      <c r="I16">
        <f>_xlfn.XLOOKUP($D16,NimbusTreatments!B:B,NimbusTreatments!G:G)</f>
        <v>97</v>
      </c>
      <c r="J16">
        <f>_xlfn.XLOOKUP($D16,NimbusTreatments!$B:$B,NimbusTreatments!H:H)</f>
        <v>11</v>
      </c>
      <c r="K16" t="str">
        <f>_xlfn.XLOOKUP($B16,Errors!$A:$A,Errors!L:L)</f>
        <v>left_lane3748</v>
      </c>
      <c r="L16" s="45" t="str" cm="1">
        <f t="array" aca="1" ref="L16" ca="1">HYPERLINK("#" &amp; CELL("address", _xlfn.XLOOKUP($B16,Errors!$A:$A,Errors!M:M)))</f>
        <v>#[VRS_RobotData.xlsx]Errors!$M$16</v>
      </c>
      <c r="M16" t="str">
        <f>_xlfn.XLOOKUP($B16,Errors!$A:$A,Errors!O:O)</f>
        <v>0x1040103</v>
      </c>
      <c r="N16" t="str">
        <f>_xlfn.XLOOKUP($M16,'Error-codes'!$A:$A,'Error-codes'!B:B)</f>
        <v>end of lane wall sensor error</v>
      </c>
      <c r="O16" s="42">
        <f>_xlfn.XLOOKUP($B16,Errors!$A:$A,Errors!R:R)</f>
        <v>0</v>
      </c>
    </row>
    <row r="17" spans="1:15">
      <c r="A17">
        <v>16</v>
      </c>
      <c r="B17" s="7" t="s">
        <v>75</v>
      </c>
      <c r="C17" t="str">
        <f>_xlfn.XLOOKUP(_xlfn.XLOOKUP(B17,Errors!A:A,Errors!B:B),Robots!C:C,Robots!D:D)</f>
        <v>LumionFix 024</v>
      </c>
      <c r="D17" t="str">
        <f>_xlfn.XLOOKUP($B17,Errors!$A:$A,Errors!D:D)</f>
        <v>4d0acab1-c881-4bbe-b46c-b5dacad8d9ee</v>
      </c>
      <c r="E17" s="42" t="str">
        <f>_xlfn.XLOOKUP($B17,Errors!$A:$A,Errors!E:E)</f>
        <v>failed</v>
      </c>
      <c r="F17" t="str">
        <f>_xlfn.XLOOKUP($B17,Errors!$A:$A,Errors!K:K)</f>
        <v>Fatal</v>
      </c>
      <c r="G17" s="43">
        <f>_xlfn.XLOOKUP($B17,Errors!$A:$A,Errors!F:F)</f>
        <v>44765</v>
      </c>
      <c r="H17" s="44">
        <f>_xlfn.XLOOKUP($B17,Errors!$A:$A,Errors!H:H)</f>
        <v>0.75440972222222225</v>
      </c>
      <c r="I17">
        <f>_xlfn.XLOOKUP($D17,NimbusTreatments!B:B,NimbusTreatments!G:G)</f>
        <v>52</v>
      </c>
      <c r="J17">
        <f>_xlfn.XLOOKUP($D17,NimbusTreatments!$B:$B,NimbusTreatments!H:H)</f>
        <v>2</v>
      </c>
      <c r="K17" t="str">
        <f>_xlfn.XLOOKUP($B17,Errors!$A:$A,Errors!L:L)</f>
        <v>right_3611</v>
      </c>
      <c r="L17" s="45" t="str" cm="1">
        <f t="array" aca="1" ref="L17" ca="1">HYPERLINK("#" &amp; CELL("address", _xlfn.XLOOKUP($B17,Errors!$A:$A,Errors!M:M)))</f>
        <v>#[VRS_RobotData.xlsx]Errors!$M$17</v>
      </c>
      <c r="M17" t="str">
        <f>_xlfn.XLOOKUP($B17,Errors!$A:$A,Errors!O:O)</f>
        <v>0x1040102</v>
      </c>
      <c r="N17" t="str">
        <f>_xlfn.XLOOKUP($M17,'Error-codes'!$A:$A,'Error-codes'!B:B)</f>
        <v>inductive sensor error</v>
      </c>
      <c r="O17" s="42">
        <f>_xlfn.XLOOKUP($B17,Errors!$A:$A,Errors!R:R)</f>
        <v>0</v>
      </c>
    </row>
    <row r="18" spans="1:15">
      <c r="A18">
        <v>17</v>
      </c>
      <c r="B18" s="1" t="s">
        <v>79</v>
      </c>
      <c r="C18" t="str">
        <f>_xlfn.XLOOKUP(_xlfn.XLOOKUP(B18,Errors!A:A,Errors!B:B),Robots!C:C,Robots!D:D)</f>
        <v>LumionFix 024</v>
      </c>
      <c r="D18" t="str">
        <f>_xlfn.XLOOKUP($B18,Errors!$A:$A,Errors!D:D)</f>
        <v>4d0acab1-c881-4bbe-b46c-b5dacad8d9ee</v>
      </c>
      <c r="E18" s="42" t="str">
        <f>_xlfn.XLOOKUP($B18,Errors!$A:$A,Errors!E:E)</f>
        <v>failed</v>
      </c>
      <c r="F18" t="str">
        <f>_xlfn.XLOOKUP($B18,Errors!$A:$A,Errors!K:K)</f>
        <v>Recovery</v>
      </c>
      <c r="G18" s="43">
        <f>_xlfn.XLOOKUP($B18,Errors!$A:$A,Errors!F:F)</f>
        <v>44766</v>
      </c>
      <c r="H18" s="44">
        <f>_xlfn.XLOOKUP($B18,Errors!$A:$A,Errors!H:H)</f>
        <v>6.0416666666666665E-3</v>
      </c>
      <c r="I18">
        <f>_xlfn.XLOOKUP($D18,NimbusTreatments!B:B,NimbusTreatments!G:G)</f>
        <v>52</v>
      </c>
      <c r="J18">
        <f>_xlfn.XLOOKUP($D18,NimbusTreatments!$B:$B,NimbusTreatments!H:H)</f>
        <v>2</v>
      </c>
      <c r="K18">
        <f>_xlfn.XLOOKUP($B18,Errors!$A:$A,Errors!L:L)</f>
        <v>0</v>
      </c>
      <c r="L18" s="45" t="str" cm="1">
        <f t="array" aca="1" ref="L18" ca="1">HYPERLINK("#" &amp; CELL("address", _xlfn.XLOOKUP($B18,Errors!$A:$A,Errors!M:M)))</f>
        <v>#[VRS_RobotData.xlsx]Errors!$M$18</v>
      </c>
      <c r="M18" t="str">
        <f>_xlfn.XLOOKUP($B18,Errors!$A:$A,Errors!O:O)</f>
        <v>0x1060002</v>
      </c>
      <c r="N18" t="str">
        <f>_xlfn.XLOOKUP($M18,'Error-codes'!$A:$A,'Error-codes'!B:B)</f>
        <v>motor drive: UNDER VOLTAGE</v>
      </c>
      <c r="O18" s="42">
        <f>_xlfn.XLOOKUP($B18,Errors!$A:$A,Errors!R:R)</f>
        <v>0</v>
      </c>
    </row>
    <row r="19" spans="1:15">
      <c r="A19">
        <v>18</v>
      </c>
      <c r="B19" s="7" t="s">
        <v>82</v>
      </c>
      <c r="C19" t="str">
        <f>_xlfn.XLOOKUP(_xlfn.XLOOKUP(B19,Errors!A:A,Errors!B:B),Robots!C:C,Robots!D:D)</f>
        <v>LumionFix 024</v>
      </c>
      <c r="D19" t="str">
        <f>_xlfn.XLOOKUP($B19,Errors!$A:$A,Errors!D:D)</f>
        <v>04b5b5b1-12a6-4c7d-843b-2ffdd073b709</v>
      </c>
      <c r="E19" s="42" t="str">
        <f>_xlfn.XLOOKUP($B19,Errors!$A:$A,Errors!E:E)</f>
        <v>failed</v>
      </c>
      <c r="F19" t="str">
        <f>_xlfn.XLOOKUP($B19,Errors!$A:$A,Errors!K:K)</f>
        <v>Fatal</v>
      </c>
      <c r="G19" s="43">
        <f>_xlfn.XLOOKUP($B19,Errors!$A:$A,Errors!F:F)</f>
        <v>44768</v>
      </c>
      <c r="H19" s="44">
        <f>_xlfn.XLOOKUP($B19,Errors!$A:$A,Errors!H:H)</f>
        <v>0.79258101851851848</v>
      </c>
      <c r="I19">
        <f>_xlfn.XLOOKUP($D19,NimbusTreatments!B:B,NimbusTreatments!G:G)</f>
        <v>23</v>
      </c>
      <c r="J19">
        <f>_xlfn.XLOOKUP($D19,NimbusTreatments!$B:$B,NimbusTreatments!H:H)</f>
        <v>2</v>
      </c>
      <c r="K19" t="str">
        <f>_xlfn.XLOOKUP($B19,Errors!$A:$A,Errors!L:L)</f>
        <v>right_3677</v>
      </c>
      <c r="L19" s="45" t="str" cm="1">
        <f t="array" aca="1" ref="L19" ca="1">HYPERLINK("#" &amp; CELL("address", _xlfn.XLOOKUP($B19,Errors!$A:$A,Errors!M:M)))</f>
        <v>#[VRS_RobotData.xlsx]Errors!$M$19</v>
      </c>
      <c r="M19" t="str">
        <f>_xlfn.XLOOKUP($B19,Errors!$A:$A,Errors!O:O)</f>
        <v>0x1040102</v>
      </c>
      <c r="N19" t="str">
        <f>_xlfn.XLOOKUP($M19,'Error-codes'!$A:$A,'Error-codes'!B:B)</f>
        <v>inductive sensor error</v>
      </c>
      <c r="O19" s="42">
        <f>_xlfn.XLOOKUP($B19,Errors!$A:$A,Errors!R:R)</f>
        <v>0</v>
      </c>
    </row>
    <row r="20" spans="1:15" hidden="1">
      <c r="A20">
        <v>19</v>
      </c>
      <c r="B20" s="1" t="s">
        <v>85</v>
      </c>
      <c r="C20" t="str">
        <f>_xlfn.XLOOKUP(_xlfn.XLOOKUP(B20,Errors!A:A,Errors!B:B),Robots!C:C,Robots!D:D)</f>
        <v>LumionFix 023</v>
      </c>
      <c r="D20" t="str">
        <f>_xlfn.XLOOKUP($B20,Errors!$A:$A,Errors!D:D)</f>
        <v>2bf80b45-4cbf-40c3-ba9e-da04c17c8c71</v>
      </c>
      <c r="E20" s="42" t="str">
        <f>_xlfn.XLOOKUP($B20,Errors!$A:$A,Errors!E:E)</f>
        <v>failed</v>
      </c>
      <c r="F20" t="str">
        <f>_xlfn.XLOOKUP($B20,Errors!$A:$A,Errors!K:K)</f>
        <v>Fatal</v>
      </c>
      <c r="G20" s="43">
        <f>_xlfn.XLOOKUP($B20,Errors!$A:$A,Errors!F:F)</f>
        <v>44768</v>
      </c>
      <c r="H20" s="44">
        <f>_xlfn.XLOOKUP($B20,Errors!$A:$A,Errors!H:H)</f>
        <v>0.83462962962962972</v>
      </c>
      <c r="I20">
        <f>_xlfn.XLOOKUP($D20,NimbusTreatments!B:B,NimbusTreatments!G:G)</f>
        <v>50</v>
      </c>
      <c r="J20">
        <f>_xlfn.XLOOKUP($D20,NimbusTreatments!$B:$B,NimbusTreatments!H:H)</f>
        <v>16</v>
      </c>
      <c r="K20" t="str">
        <f>_xlfn.XLOOKUP($B20,Errors!$A:$A,Errors!L:L)</f>
        <v>right_3757</v>
      </c>
      <c r="L20" s="45" t="str" cm="1">
        <f t="array" aca="1" ref="L20" ca="1">HYPERLINK("#" &amp; CELL("address", _xlfn.XLOOKUP($B20,Errors!$A:$A,Errors!M:M)))</f>
        <v>#[VRS_RobotData.xlsx]Errors!$M$20</v>
      </c>
      <c r="M20" t="str">
        <f>_xlfn.XLOOKUP($B20,Errors!$A:$A,Errors!O:O)</f>
        <v>0x1040103</v>
      </c>
      <c r="N20" t="str">
        <f>_xlfn.XLOOKUP($M20,'Error-codes'!$A:$A,'Error-codes'!B:B)</f>
        <v>end of lane wall sensor error</v>
      </c>
      <c r="O20" s="42">
        <f>_xlfn.XLOOKUP($B20,Errors!$A:$A,Errors!R:R)</f>
        <v>0</v>
      </c>
    </row>
    <row r="21" spans="1:15">
      <c r="A21">
        <v>20</v>
      </c>
      <c r="B21" s="7" t="s">
        <v>90</v>
      </c>
      <c r="C21" t="str">
        <f>_xlfn.XLOOKUP(_xlfn.XLOOKUP(B21,Errors!A:A,Errors!B:B),Robots!C:C,Robots!D:D)</f>
        <v>LumionFix 024</v>
      </c>
      <c r="D21" t="str">
        <f>_xlfn.XLOOKUP($B21,Errors!$A:$A,Errors!D:D)</f>
        <v>04b5b5b1-12a6-4c7d-843b-2ffdd073b709</v>
      </c>
      <c r="E21" s="42" t="str">
        <f>_xlfn.XLOOKUP($B21,Errors!$A:$A,Errors!E:E)</f>
        <v>failed</v>
      </c>
      <c r="F21" t="str">
        <f>_xlfn.XLOOKUP($B21,Errors!$A:$A,Errors!K:K)</f>
        <v>Recovery</v>
      </c>
      <c r="G21" s="43">
        <f>_xlfn.XLOOKUP($B21,Errors!$A:$A,Errors!F:F)</f>
        <v>44769</v>
      </c>
      <c r="H21" s="44">
        <f>_xlfn.XLOOKUP($B21,Errors!$A:$A,Errors!H:H)</f>
        <v>2.704861111111111E-2</v>
      </c>
      <c r="I21">
        <f>_xlfn.XLOOKUP($D21,NimbusTreatments!B:B,NimbusTreatments!G:G)</f>
        <v>23</v>
      </c>
      <c r="J21">
        <f>_xlfn.XLOOKUP($D21,NimbusTreatments!$B:$B,NimbusTreatments!H:H)</f>
        <v>2</v>
      </c>
      <c r="K21">
        <f>_xlfn.XLOOKUP($B21,Errors!$A:$A,Errors!L:L)</f>
        <v>0</v>
      </c>
      <c r="L21" s="45" t="str" cm="1">
        <f t="array" aca="1" ref="L21" ca="1">HYPERLINK("#" &amp; CELL("address", _xlfn.XLOOKUP($B21,Errors!$A:$A,Errors!M:M)))</f>
        <v>#[VRS_RobotData.xlsx]Errors!$M$21</v>
      </c>
      <c r="M21" t="str">
        <f>_xlfn.XLOOKUP($B21,Errors!$A:$A,Errors!O:O)</f>
        <v>0x1040001</v>
      </c>
      <c r="N21" t="str">
        <f>_xlfn.XLOOKUP($M21,'Error-codes'!$A:$A,'Error-codes'!B:B)</f>
        <v>vehicle diverged too far from trajectory</v>
      </c>
      <c r="O21" s="42">
        <f>_xlfn.XLOOKUP($B21,Errors!$A:$A,Errors!R:R)</f>
        <v>0</v>
      </c>
    </row>
    <row r="22" spans="1:15" hidden="1">
      <c r="A22">
        <v>21</v>
      </c>
      <c r="B22" s="1" t="s">
        <v>93</v>
      </c>
      <c r="C22" t="str">
        <f>_xlfn.XLOOKUP(_xlfn.XLOOKUP(B22,Errors!A:A,Errors!B:B),Robots!C:C,Robots!D:D)</f>
        <v>LumionFix 023</v>
      </c>
      <c r="D22" t="str">
        <f>_xlfn.XLOOKUP($B22,Errors!$A:$A,Errors!D:D)</f>
        <v>093fb7a7-86e6-4ca1-8880-1424f7205944</v>
      </c>
      <c r="E22" s="42" t="str">
        <f>_xlfn.XLOOKUP($B22,Errors!$A:$A,Errors!E:E)</f>
        <v>failed</v>
      </c>
      <c r="F22" t="str">
        <f>_xlfn.XLOOKUP($B22,Errors!$A:$A,Errors!K:K)</f>
        <v>Fatal</v>
      </c>
      <c r="G22" s="43">
        <f>_xlfn.XLOOKUP($B22,Errors!$A:$A,Errors!F:F)</f>
        <v>44769</v>
      </c>
      <c r="H22" s="44">
        <f>_xlfn.XLOOKUP($B22,Errors!$A:$A,Errors!H:H)</f>
        <v>0.75156250000000002</v>
      </c>
      <c r="I22">
        <f>_xlfn.XLOOKUP($D22,NimbusTreatments!B:B,NimbusTreatments!G:G)</f>
        <v>13</v>
      </c>
      <c r="J22">
        <f>_xlfn.XLOOKUP($D22,NimbusTreatments!$B:$B,NimbusTreatments!H:H)</f>
        <v>1</v>
      </c>
      <c r="K22" t="str">
        <f>_xlfn.XLOOKUP($B22,Errors!$A:$A,Errors!L:L)</f>
        <v>right_3757</v>
      </c>
      <c r="L22" s="45" t="str" cm="1">
        <f t="array" aca="1" ref="L22" ca="1">HYPERLINK("#" &amp; CELL("address", _xlfn.XLOOKUP($B22,Errors!$A:$A,Errors!M:M)))</f>
        <v>#[VRS_RobotData.xlsx]Errors!$M$22</v>
      </c>
      <c r="M22" t="str">
        <f>_xlfn.XLOOKUP($B22,Errors!$A:$A,Errors!O:O)</f>
        <v>0x1040103</v>
      </c>
      <c r="N22" t="str">
        <f>_xlfn.XLOOKUP($M22,'Error-codes'!$A:$A,'Error-codes'!B:B)</f>
        <v>end of lane wall sensor error</v>
      </c>
      <c r="O22" s="42">
        <f>_xlfn.XLOOKUP($B22,Errors!$A:$A,Errors!R:R)</f>
        <v>0</v>
      </c>
    </row>
    <row r="23" spans="1:15" hidden="1">
      <c r="A23">
        <v>22</v>
      </c>
      <c r="B23" s="7" t="s">
        <v>95</v>
      </c>
      <c r="C23" t="str">
        <f>_xlfn.XLOOKUP(_xlfn.XLOOKUP(B23,Errors!A:A,Errors!B:B),Robots!C:C,Robots!D:D)</f>
        <v>LumionFix 023</v>
      </c>
      <c r="D23" t="str">
        <f>_xlfn.XLOOKUP($B23,Errors!$A:$A,Errors!D:D)</f>
        <v>b76ddea7-5360-4ebf-a78f-9da24214c258</v>
      </c>
      <c r="E23" s="42" t="str">
        <f>_xlfn.XLOOKUP($B23,Errors!$A:$A,Errors!E:E)</f>
        <v>failed</v>
      </c>
      <c r="F23" t="str">
        <f>_xlfn.XLOOKUP($B23,Errors!$A:$A,Errors!K:K)</f>
        <v>Recovery</v>
      </c>
      <c r="G23" s="43">
        <f>_xlfn.XLOOKUP($B23,Errors!$A:$A,Errors!F:F)</f>
        <v>44770</v>
      </c>
      <c r="H23" s="44">
        <f>_xlfn.XLOOKUP($B23,Errors!$A:$A,Errors!H:H)</f>
        <v>0.79591435185185189</v>
      </c>
      <c r="I23">
        <f>_xlfn.XLOOKUP($D23,NimbusTreatments!B:B,NimbusTreatments!G:G)</f>
        <v>22</v>
      </c>
      <c r="J23">
        <f>_xlfn.XLOOKUP($D23,NimbusTreatments!$B:$B,NimbusTreatments!H:H)</f>
        <v>8</v>
      </c>
      <c r="K23">
        <f>_xlfn.XLOOKUP($B23,Errors!$A:$A,Errors!L:L)</f>
        <v>0</v>
      </c>
      <c r="L23" s="45" t="str" cm="1">
        <f t="array" aca="1" ref="L23" ca="1">HYPERLINK("#" &amp; CELL("address", _xlfn.XLOOKUP($B23,Errors!$A:$A,Errors!M:M)))</f>
        <v>#[VRS_RobotData.xlsx]Errors!$M$23</v>
      </c>
      <c r="M23" t="str">
        <f>_xlfn.XLOOKUP($B23,Errors!$A:$A,Errors!O:O)</f>
        <v>0x1040001</v>
      </c>
      <c r="N23" t="str">
        <f>_xlfn.XLOOKUP($M23,'Error-codes'!$A:$A,'Error-codes'!B:B)</f>
        <v>vehicle diverged too far from trajectory</v>
      </c>
      <c r="O23" s="42">
        <f>_xlfn.XLOOKUP($B23,Errors!$A:$A,Errors!R:R)</f>
        <v>0</v>
      </c>
    </row>
    <row r="24" spans="1:15" hidden="1">
      <c r="A24">
        <v>23</v>
      </c>
      <c r="B24" s="1" t="s">
        <v>97</v>
      </c>
      <c r="C24" t="str">
        <f>_xlfn.XLOOKUP(_xlfn.XLOOKUP(B24,Errors!A:A,Errors!B:B),Robots!C:C,Robots!D:D)</f>
        <v>LumionFix 023</v>
      </c>
      <c r="D24" t="str">
        <f>_xlfn.XLOOKUP($B24,Errors!$A:$A,Errors!D:D)</f>
        <v>b76ddea7-5360-4ebf-a78f-9da24214c258</v>
      </c>
      <c r="E24" s="42" t="str">
        <f>_xlfn.XLOOKUP($B24,Errors!$A:$A,Errors!E:E)</f>
        <v>failed</v>
      </c>
      <c r="F24" t="str">
        <f>_xlfn.XLOOKUP($B24,Errors!$A:$A,Errors!K:K)</f>
        <v>Fatal</v>
      </c>
      <c r="G24" s="43">
        <f>_xlfn.XLOOKUP($B24,Errors!$A:$A,Errors!F:F)</f>
        <v>44770</v>
      </c>
      <c r="H24" s="44">
        <f>_xlfn.XLOOKUP($B24,Errors!$A:$A,Errors!H:H)</f>
        <v>0.96351851851851855</v>
      </c>
      <c r="I24">
        <f>_xlfn.XLOOKUP($D24,NimbusTreatments!B:B,NimbusTreatments!G:G)</f>
        <v>22</v>
      </c>
      <c r="J24">
        <f>_xlfn.XLOOKUP($D24,NimbusTreatments!$B:$B,NimbusTreatments!H:H)</f>
        <v>8</v>
      </c>
      <c r="K24" t="str">
        <f>_xlfn.XLOOKUP($B24,Errors!$A:$A,Errors!L:L)</f>
        <v>right_3749</v>
      </c>
      <c r="L24" s="45" t="str" cm="1">
        <f t="array" aca="1" ref="L24" ca="1">HYPERLINK("#" &amp; CELL("address", _xlfn.XLOOKUP($B24,Errors!$A:$A,Errors!M:M)))</f>
        <v>#[VRS_RobotData.xlsx]Errors!$M$24</v>
      </c>
      <c r="M24" t="str">
        <f>_xlfn.XLOOKUP($B24,Errors!$A:$A,Errors!O:O)</f>
        <v>0x1040001</v>
      </c>
      <c r="N24" t="str">
        <f>_xlfn.XLOOKUP($M24,'Error-codes'!$A:$A,'Error-codes'!B:B)</f>
        <v>vehicle diverged too far from trajectory</v>
      </c>
      <c r="O24" s="42">
        <f>_xlfn.XLOOKUP($B24,Errors!$A:$A,Errors!R:R)</f>
        <v>0</v>
      </c>
    </row>
    <row r="25" spans="1:15" hidden="1">
      <c r="A25">
        <v>24</v>
      </c>
      <c r="B25" s="7" t="s">
        <v>100</v>
      </c>
      <c r="C25" t="str">
        <f>_xlfn.XLOOKUP(_xlfn.XLOOKUP(B25,Errors!A:A,Errors!B:B),Robots!C:C,Robots!D:D)</f>
        <v>LumionFix 023</v>
      </c>
      <c r="D25" t="str">
        <f>_xlfn.XLOOKUP($B25,Errors!$A:$A,Errors!D:D)</f>
        <v>4a2a64be-eae6-44c0-9268-baf5f7625b46</v>
      </c>
      <c r="E25" s="42" t="str">
        <f>_xlfn.XLOOKUP($B25,Errors!$A:$A,Errors!E:E)</f>
        <v>failed</v>
      </c>
      <c r="F25" t="str">
        <f>_xlfn.XLOOKUP($B25,Errors!$A:$A,Errors!K:K)</f>
        <v>Fatal</v>
      </c>
      <c r="G25" s="43">
        <f>_xlfn.XLOOKUP($B25,Errors!$A:$A,Errors!F:F)</f>
        <v>44771</v>
      </c>
      <c r="H25" s="44">
        <f>_xlfn.XLOOKUP($B25,Errors!$A:$A,Errors!H:H)</f>
        <v>0.73645833333333333</v>
      </c>
      <c r="I25">
        <f>_xlfn.XLOOKUP($D25,NimbusTreatments!B:B,NimbusTreatments!G:G)</f>
        <v>19</v>
      </c>
      <c r="J25">
        <f>_xlfn.XLOOKUP($D25,NimbusTreatments!$B:$B,NimbusTreatments!H:H)</f>
        <v>1</v>
      </c>
      <c r="K25" t="str">
        <f>_xlfn.XLOOKUP($B25,Errors!$A:$A,Errors!L:L)</f>
        <v>right_3761</v>
      </c>
      <c r="L25" s="45" t="str" cm="1">
        <f t="array" aca="1" ref="L25" ca="1">HYPERLINK("#" &amp; CELL("address", _xlfn.XLOOKUP($B25,Errors!$A:$A,Errors!M:M)))</f>
        <v>#[VRS_RobotData.xlsx]Errors!$M$25</v>
      </c>
      <c r="M25" t="str">
        <f>_xlfn.XLOOKUP($B25,Errors!$A:$A,Errors!O:O)</f>
        <v>0x1060002</v>
      </c>
      <c r="N25" t="str">
        <f>_xlfn.XLOOKUP($M25,'Error-codes'!$A:$A,'Error-codes'!B:B)</f>
        <v>motor drive: UNDER VOLTAGE</v>
      </c>
      <c r="O25" s="42">
        <f>_xlfn.XLOOKUP($B25,Errors!$A:$A,Errors!R:R)</f>
        <v>0</v>
      </c>
    </row>
    <row r="26" spans="1:15" hidden="1">
      <c r="A26">
        <v>25</v>
      </c>
      <c r="B26" s="1" t="s">
        <v>104</v>
      </c>
      <c r="C26" t="str">
        <f>_xlfn.XLOOKUP(_xlfn.XLOOKUP(B26,Errors!A:A,Errors!B:B),Robots!C:C,Robots!D:D)</f>
        <v>LumionFix 023</v>
      </c>
      <c r="D26" t="str">
        <f>_xlfn.XLOOKUP($B26,Errors!$A:$A,Errors!D:D)</f>
        <v>88dbd144-15fb-4b9b-8a5c-0ec543d7c0c4</v>
      </c>
      <c r="E26" s="42" t="str">
        <f>_xlfn.XLOOKUP($B26,Errors!$A:$A,Errors!E:E)</f>
        <v>failed</v>
      </c>
      <c r="F26" t="str">
        <f>_xlfn.XLOOKUP($B26,Errors!$A:$A,Errors!K:K)</f>
        <v>Fatal</v>
      </c>
      <c r="G26" s="43">
        <f>_xlfn.XLOOKUP($B26,Errors!$A:$A,Errors!F:F)</f>
        <v>44774</v>
      </c>
      <c r="H26" s="44">
        <f>_xlfn.XLOOKUP($B26,Errors!$A:$A,Errors!H:H)</f>
        <v>0.79829861111111111</v>
      </c>
      <c r="I26">
        <f>_xlfn.XLOOKUP($D26,NimbusTreatments!B:B,NimbusTreatments!G:G)</f>
        <v>18</v>
      </c>
      <c r="J26">
        <f>_xlfn.XLOOKUP($D26,NimbusTreatments!$B:$B,NimbusTreatments!H:H)</f>
        <v>11</v>
      </c>
      <c r="K26" t="str">
        <f>_xlfn.XLOOKUP($B26,Errors!$A:$A,Errors!L:L)</f>
        <v>right_3743</v>
      </c>
      <c r="L26" s="45" t="str" cm="1">
        <f t="array" aca="1" ref="L26" ca="1">HYPERLINK("#" &amp; CELL("address", _xlfn.XLOOKUP($B26,Errors!$A:$A,Errors!M:M)))</f>
        <v>#[VRS_RobotData.xlsx]Errors!$M$26</v>
      </c>
      <c r="M26" t="str">
        <f>_xlfn.XLOOKUP($B26,Errors!$A:$A,Errors!O:O)</f>
        <v>0x1040104</v>
      </c>
      <c r="N26" t="str">
        <f>_xlfn.XLOOKUP($M26,'Error-codes'!$A:$A,'Error-codes'!B:B)</f>
        <v>end of lane open sensor error</v>
      </c>
      <c r="O26" s="42">
        <f>_xlfn.XLOOKUP($B26,Errors!$A:$A,Errors!R:R)</f>
        <v>0</v>
      </c>
    </row>
    <row r="27" spans="1:15" hidden="1">
      <c r="A27">
        <v>26</v>
      </c>
      <c r="B27" s="7" t="s">
        <v>109</v>
      </c>
      <c r="C27" t="str">
        <f>_xlfn.XLOOKUP(_xlfn.XLOOKUP(B27,Errors!A:A,Errors!B:B),Robots!C:C,Robots!D:D)</f>
        <v>LumionFix 023</v>
      </c>
      <c r="D27" t="str">
        <f>_xlfn.XLOOKUP($B27,Errors!$A:$A,Errors!D:D)</f>
        <v>9ffedef1-f025-4484-84d2-6c015b907d28</v>
      </c>
      <c r="E27" s="42" t="str">
        <f>_xlfn.XLOOKUP($B27,Errors!$A:$A,Errors!E:E)</f>
        <v>failed</v>
      </c>
      <c r="F27" t="str">
        <f>_xlfn.XLOOKUP($B27,Errors!$A:$A,Errors!K:K)</f>
        <v>Fatal</v>
      </c>
      <c r="G27" s="43">
        <f>_xlfn.XLOOKUP($B27,Errors!$A:$A,Errors!F:F)</f>
        <v>44776</v>
      </c>
      <c r="H27" s="44">
        <f>_xlfn.XLOOKUP($B27,Errors!$A:$A,Errors!H:H)</f>
        <v>0.80420138888888892</v>
      </c>
      <c r="I27">
        <f>_xlfn.XLOOKUP($D27,NimbusTreatments!B:B,NimbusTreatments!G:G)</f>
        <v>24</v>
      </c>
      <c r="J27">
        <f>_xlfn.XLOOKUP($D27,NimbusTreatments!$B:$B,NimbusTreatments!H:H)</f>
        <v>12</v>
      </c>
      <c r="K27" t="str">
        <f>_xlfn.XLOOKUP($B27,Errors!$A:$A,Errors!L:L)</f>
        <v>right_3695</v>
      </c>
      <c r="L27" s="45" t="str" cm="1">
        <f t="array" aca="1" ref="L27" ca="1">HYPERLINK("#" &amp; CELL("address", _xlfn.XLOOKUP($B27,Errors!$A:$A,Errors!M:M)))</f>
        <v>#[VRS_RobotData.xlsx]Errors!$M$27</v>
      </c>
      <c r="M27" t="str">
        <f>_xlfn.XLOOKUP($B27,Errors!$A:$A,Errors!O:O)</f>
        <v>0x1040104</v>
      </c>
      <c r="N27" t="str">
        <f>_xlfn.XLOOKUP($M27,'Error-codes'!$A:$A,'Error-codes'!B:B)</f>
        <v>end of lane open sensor error</v>
      </c>
      <c r="O27" s="42">
        <f>_xlfn.XLOOKUP($B27,Errors!$A:$A,Errors!R:R)</f>
        <v>0</v>
      </c>
    </row>
    <row r="28" spans="1:15">
      <c r="A28">
        <v>27</v>
      </c>
      <c r="B28" s="1" t="s">
        <v>113</v>
      </c>
      <c r="C28" t="str">
        <f>_xlfn.XLOOKUP(_xlfn.XLOOKUP(B28,Errors!A:A,Errors!B:B),Robots!C:C,Robots!D:D)</f>
        <v>LumionFix 024</v>
      </c>
      <c r="D28" t="str">
        <f>_xlfn.XLOOKUP($B28,Errors!$A:$A,Errors!D:D)</f>
        <v>24cff780-3cc6-498b-bd9c-c432b5ae5d8a</v>
      </c>
      <c r="E28" s="42" t="str">
        <f>_xlfn.XLOOKUP($B28,Errors!$A:$A,Errors!E:E)</f>
        <v>failed</v>
      </c>
      <c r="F28" t="str">
        <f>_xlfn.XLOOKUP($B28,Errors!$A:$A,Errors!K:K)</f>
        <v>Fatal</v>
      </c>
      <c r="G28" s="43">
        <f>_xlfn.XLOOKUP($B28,Errors!$A:$A,Errors!F:F)</f>
        <v>44781</v>
      </c>
      <c r="H28" s="44">
        <f>_xlfn.XLOOKUP($B28,Errors!$A:$A,Errors!H:H)</f>
        <v>0.80395833333333344</v>
      </c>
      <c r="I28">
        <f>_xlfn.XLOOKUP($D28,NimbusTreatments!B:B,NimbusTreatments!G:G)</f>
        <v>91</v>
      </c>
      <c r="J28">
        <f>_xlfn.XLOOKUP($D28,NimbusTreatments!$B:$B,NimbusTreatments!H:H)</f>
        <v>1</v>
      </c>
      <c r="K28" t="str">
        <f>_xlfn.XLOOKUP($B28,Errors!$A:$A,Errors!L:L)</f>
        <v>right_3517</v>
      </c>
      <c r="L28" s="45" t="str" cm="1">
        <f t="array" aca="1" ref="L28" ca="1">HYPERLINK("#" &amp; CELL("address", _xlfn.XLOOKUP($B28,Errors!$A:$A,Errors!M:M)))</f>
        <v>#[VRS_RobotData.xlsx]Errors!$M$28</v>
      </c>
      <c r="M28" t="str">
        <f>_xlfn.XLOOKUP($B28,Errors!$A:$A,Errors!O:O)</f>
        <v>0x1060002</v>
      </c>
      <c r="N28" t="str">
        <f>_xlfn.XLOOKUP($M28,'Error-codes'!$A:$A,'Error-codes'!B:B)</f>
        <v>motor drive: UNDER VOLTAGE</v>
      </c>
      <c r="O28" s="42">
        <f>_xlfn.XLOOKUP($B28,Errors!$A:$A,Errors!R:R)</f>
        <v>0</v>
      </c>
    </row>
    <row r="29" spans="1:15">
      <c r="A29">
        <v>28</v>
      </c>
      <c r="B29" s="7" t="s">
        <v>116</v>
      </c>
      <c r="C29" t="str">
        <f>_xlfn.XLOOKUP(_xlfn.XLOOKUP(B29,Errors!A:A,Errors!B:B),Robots!C:C,Robots!D:D)</f>
        <v>LumionFix 024</v>
      </c>
      <c r="D29" t="str">
        <f>_xlfn.XLOOKUP($B29,Errors!$A:$A,Errors!D:D)</f>
        <v>027824c8-de48-4d7b-95c5-622104d53070</v>
      </c>
      <c r="E29" s="42" t="str">
        <f>_xlfn.XLOOKUP($B29,Errors!$A:$A,Errors!E:E)</f>
        <v>failed</v>
      </c>
      <c r="F29" t="str">
        <f>_xlfn.XLOOKUP($B29,Errors!$A:$A,Errors!K:K)</f>
        <v>Recovery</v>
      </c>
      <c r="G29" s="43">
        <f>_xlfn.XLOOKUP($B29,Errors!$A:$A,Errors!F:F)</f>
        <v>44781</v>
      </c>
      <c r="H29" s="44">
        <f>_xlfn.XLOOKUP($B29,Errors!$A:$A,Errors!H:H)</f>
        <v>0.81222222222222218</v>
      </c>
      <c r="I29">
        <f>_xlfn.XLOOKUP($D29,NimbusTreatments!B:B,NimbusTreatments!G:G)</f>
        <v>91</v>
      </c>
      <c r="J29">
        <f>_xlfn.XLOOKUP($D29,NimbusTreatments!$B:$B,NimbusTreatments!H:H)</f>
        <v>11</v>
      </c>
      <c r="K29">
        <f>_xlfn.XLOOKUP($B29,Errors!$A:$A,Errors!L:L)</f>
        <v>0</v>
      </c>
      <c r="L29" s="45" t="str" cm="1">
        <f t="array" aca="1" ref="L29" ca="1">HYPERLINK("#" &amp; CELL("address", _xlfn.XLOOKUP($B29,Errors!$A:$A,Errors!M:M)))</f>
        <v>#[VRS_RobotData.xlsx]Errors!$M$29</v>
      </c>
      <c r="M29" t="str">
        <f>_xlfn.XLOOKUP($B29,Errors!$A:$A,Errors!O:O)</f>
        <v>0x1060002</v>
      </c>
      <c r="N29" t="str">
        <f>_xlfn.XLOOKUP($M29,'Error-codes'!$A:$A,'Error-codes'!B:B)</f>
        <v>motor drive: UNDER VOLTAGE</v>
      </c>
      <c r="O29" s="42">
        <f>_xlfn.XLOOKUP($B29,Errors!$A:$A,Errors!R:R)</f>
        <v>0</v>
      </c>
    </row>
    <row r="30" spans="1:15">
      <c r="A30">
        <v>29</v>
      </c>
      <c r="B30" s="1" t="s">
        <v>118</v>
      </c>
      <c r="C30" t="str">
        <f>_xlfn.XLOOKUP(_xlfn.XLOOKUP(B30,Errors!A:A,Errors!B:B),Robots!C:C,Robots!D:D)</f>
        <v>LumionFix 024</v>
      </c>
      <c r="D30" t="str">
        <f>_xlfn.XLOOKUP($B30,Errors!$A:$A,Errors!D:D)</f>
        <v>a3864493-e4b4-4719-8af4-3f3be7421246</v>
      </c>
      <c r="E30" s="42" t="str">
        <f>_xlfn.XLOOKUP($B30,Errors!$A:$A,Errors!E:E)</f>
        <v>failed</v>
      </c>
      <c r="F30" t="str">
        <f>_xlfn.XLOOKUP($B30,Errors!$A:$A,Errors!K:K)</f>
        <v>Fatal</v>
      </c>
      <c r="G30" s="43">
        <f>_xlfn.XLOOKUP($B30,Errors!$A:$A,Errors!F:F)</f>
        <v>44781</v>
      </c>
      <c r="H30" s="44">
        <f>_xlfn.XLOOKUP($B30,Errors!$A:$A,Errors!H:H)</f>
        <v>0.84166666666666667</v>
      </c>
      <c r="I30">
        <f>_xlfn.XLOOKUP($D30,NimbusTreatments!B:B,NimbusTreatments!G:G)</f>
        <v>15</v>
      </c>
      <c r="J30">
        <f>_xlfn.XLOOKUP($D30,NimbusTreatments!$B:$B,NimbusTreatments!H:H)</f>
        <v>1</v>
      </c>
      <c r="K30" t="str">
        <f>_xlfn.XLOOKUP($B30,Errors!$A:$A,Errors!L:L)</f>
        <v>right_3009</v>
      </c>
      <c r="L30" s="45" t="str" cm="1">
        <f t="array" aca="1" ref="L30" ca="1">HYPERLINK("#" &amp; CELL("address", _xlfn.XLOOKUP($B30,Errors!$A:$A,Errors!M:M)))</f>
        <v>#[VRS_RobotData.xlsx]Errors!$M$30</v>
      </c>
      <c r="M30" t="str">
        <f>_xlfn.XLOOKUP($B30,Errors!$A:$A,Errors!O:O)</f>
        <v>0x1040102</v>
      </c>
      <c r="N30" t="str">
        <f>_xlfn.XLOOKUP($M30,'Error-codes'!$A:$A,'Error-codes'!B:B)</f>
        <v>inductive sensor error</v>
      </c>
      <c r="O30" s="42">
        <f>_xlfn.XLOOKUP($B30,Errors!$A:$A,Errors!R:R)</f>
        <v>0</v>
      </c>
    </row>
    <row r="31" spans="1:15">
      <c r="A31">
        <v>30</v>
      </c>
      <c r="B31" s="7" t="s">
        <v>121</v>
      </c>
      <c r="C31" t="str">
        <f>_xlfn.XLOOKUP(_xlfn.XLOOKUP(B31,Errors!A:A,Errors!B:B),Robots!C:C,Robots!D:D)</f>
        <v>LumionFix 024</v>
      </c>
      <c r="D31" t="str">
        <f>_xlfn.XLOOKUP($B31,Errors!$A:$A,Errors!D:D)</f>
        <v>027824c8-de48-4d7b-95c5-622104d53070</v>
      </c>
      <c r="E31" s="42" t="str">
        <f>_xlfn.XLOOKUP($B31,Errors!$A:$A,Errors!E:E)</f>
        <v>failed</v>
      </c>
      <c r="F31" t="str">
        <f>_xlfn.XLOOKUP($B31,Errors!$A:$A,Errors!K:K)</f>
        <v>Fatal</v>
      </c>
      <c r="G31" s="43">
        <f>_xlfn.XLOOKUP($B31,Errors!$A:$A,Errors!F:F)</f>
        <v>44781</v>
      </c>
      <c r="H31" s="44">
        <f>_xlfn.XLOOKUP($B31,Errors!$A:$A,Errors!H:H)</f>
        <v>0.84240740740740738</v>
      </c>
      <c r="I31">
        <f>_xlfn.XLOOKUP($D31,NimbusTreatments!B:B,NimbusTreatments!G:G)</f>
        <v>91</v>
      </c>
      <c r="J31">
        <f>_xlfn.XLOOKUP($D31,NimbusTreatments!$B:$B,NimbusTreatments!H:H)</f>
        <v>11</v>
      </c>
      <c r="K31" t="str">
        <f>_xlfn.XLOOKUP($B31,Errors!$A:$A,Errors!L:L)</f>
        <v>right_3541</v>
      </c>
      <c r="L31" s="45" t="str" cm="1">
        <f t="array" aca="1" ref="L31" ca="1">HYPERLINK("#" &amp; CELL("address", _xlfn.XLOOKUP($B31,Errors!$A:$A,Errors!M:M)))</f>
        <v>#[VRS_RobotData.xlsx]Errors!$M$31</v>
      </c>
      <c r="M31" t="str">
        <f>_xlfn.XLOOKUP($B31,Errors!$A:$A,Errors!O:O)</f>
        <v>0x1060009</v>
      </c>
      <c r="N31" t="str">
        <f>_xlfn.XLOOKUP($M31,'Error-codes'!$A:$A,'Error-codes'!B:B)</f>
        <v>motor drive: DRV8353 FAULT</v>
      </c>
      <c r="O31" s="42">
        <f>_xlfn.XLOOKUP($B31,Errors!$A:$A,Errors!R:R)</f>
        <v>0</v>
      </c>
    </row>
    <row r="32" spans="1:15">
      <c r="A32">
        <v>31</v>
      </c>
      <c r="B32" s="13" t="s">
        <v>124</v>
      </c>
      <c r="C32" t="str">
        <f>_xlfn.XLOOKUP(_xlfn.XLOOKUP(B32,Errors!A:A,Errors!B:B),Robots!C:C,Robots!D:D)</f>
        <v>LumionFix 024</v>
      </c>
      <c r="D32" t="str">
        <f>_xlfn.XLOOKUP($B32,Errors!$A:$A,Errors!D:D)</f>
        <v>e83f132f-9f37-4e19-91aa-d6ccd1b46a78</v>
      </c>
      <c r="E32" s="42" t="str">
        <f>_xlfn.XLOOKUP($B32,Errors!$A:$A,Errors!E:E)</f>
        <v>failed</v>
      </c>
      <c r="F32" t="str">
        <f>_xlfn.XLOOKUP($B32,Errors!$A:$A,Errors!K:K)</f>
        <v>Fatal</v>
      </c>
      <c r="G32" s="43">
        <f>_xlfn.XLOOKUP($B32,Errors!$A:$A,Errors!F:F)</f>
        <v>44781</v>
      </c>
      <c r="H32" s="44">
        <f>_xlfn.XLOOKUP($B32,Errors!$A:$A,Errors!H:H)</f>
        <v>0.86549768518518511</v>
      </c>
      <c r="I32">
        <f>_xlfn.XLOOKUP($D32,NimbusTreatments!B:B,NimbusTreatments!G:G)</f>
        <v>78</v>
      </c>
      <c r="J32">
        <f>_xlfn.XLOOKUP($D32,NimbusTreatments!$B:$B,NimbusTreatments!H:H)</f>
        <v>0</v>
      </c>
      <c r="K32" t="str">
        <f>_xlfn.XLOOKUP($B32,Errors!$A:$A,Errors!L:L)</f>
        <v>right_3543</v>
      </c>
      <c r="L32" s="45" t="str" cm="1">
        <f t="array" aca="1" ref="L32" ca="1">HYPERLINK("#" &amp; CELL("address", _xlfn.XLOOKUP($B32,Errors!$A:$A,Errors!M:M)))</f>
        <v>#[VRS_RobotData.xlsx]Errors!$M$32</v>
      </c>
      <c r="M32" t="str">
        <f>_xlfn.XLOOKUP($B32,Errors!$A:$A,Errors!O:O)</f>
        <v>0x1060002</v>
      </c>
      <c r="N32" t="str">
        <f>_xlfn.XLOOKUP($M32,'Error-codes'!$A:$A,'Error-codes'!B:B)</f>
        <v>motor drive: UNDER VOLTAGE</v>
      </c>
      <c r="O32" s="42">
        <f>_xlfn.XLOOKUP($B32,Errors!$A:$A,Errors!R:R)</f>
        <v>0</v>
      </c>
    </row>
    <row r="33" spans="1:19">
      <c r="A33">
        <v>32</v>
      </c>
      <c r="B33" s="7" t="s">
        <v>128</v>
      </c>
      <c r="C33" t="str">
        <f>_xlfn.XLOOKUP(_xlfn.XLOOKUP(B33,Errors!A:A,Errors!B:B),Robots!C:C,Robots!D:D)</f>
        <v>LumionFix 024</v>
      </c>
      <c r="D33" t="str">
        <f>_xlfn.XLOOKUP($B33,Errors!$A:$A,Errors!D:D)</f>
        <v>1dcd6f82-f841-4c5c-9e90-95ca051e4d90</v>
      </c>
      <c r="E33" s="42" t="str">
        <f>_xlfn.XLOOKUP($B33,Errors!$A:$A,Errors!E:E)</f>
        <v>failed</v>
      </c>
      <c r="F33" t="str">
        <f>_xlfn.XLOOKUP($B33,Errors!$A:$A,Errors!K:K)</f>
        <v>Fatal</v>
      </c>
      <c r="G33" s="43">
        <f>_xlfn.XLOOKUP($B33,Errors!$A:$A,Errors!F:F)</f>
        <v>44781</v>
      </c>
      <c r="H33" s="44">
        <f>_xlfn.XLOOKUP($B33,Errors!$A:$A,Errors!H:H)</f>
        <v>0.90475694444444443</v>
      </c>
      <c r="I33">
        <f>_xlfn.XLOOKUP($D33,NimbusTreatments!B:B,NimbusTreatments!G:G)</f>
        <v>58</v>
      </c>
      <c r="J33">
        <f>_xlfn.XLOOKUP($D33,NimbusTreatments!$B:$B,NimbusTreatments!H:H)</f>
        <v>0</v>
      </c>
      <c r="K33" t="str">
        <f>_xlfn.XLOOKUP($B33,Errors!$A:$A,Errors!L:L)</f>
        <v>right_3589</v>
      </c>
      <c r="L33" s="45" t="str" cm="1">
        <f t="array" aca="1" ref="L33" ca="1">HYPERLINK("#" &amp; CELL("address", _xlfn.XLOOKUP($B33,Errors!$A:$A,Errors!M:M)))</f>
        <v>#[VRS_RobotData.xlsx]Errors!$M$33</v>
      </c>
      <c r="M33" t="str">
        <f>_xlfn.XLOOKUP($B33,Errors!$A:$A,Errors!O:O)</f>
        <v>0x1060002</v>
      </c>
      <c r="N33" t="str">
        <f>_xlfn.XLOOKUP($M33,'Error-codes'!$A:$A,'Error-codes'!B:B)</f>
        <v>motor drive: UNDER VOLTAGE</v>
      </c>
      <c r="O33" s="42">
        <f>_xlfn.XLOOKUP($B33,Errors!$A:$A,Errors!R:R)</f>
        <v>0</v>
      </c>
    </row>
    <row r="34" spans="1:19">
      <c r="A34">
        <v>33</v>
      </c>
      <c r="B34" s="1" t="s">
        <v>131</v>
      </c>
      <c r="C34" t="str">
        <f>_xlfn.XLOOKUP(_xlfn.XLOOKUP(B34,Errors!A:A,Errors!B:B),Robots!C:C,Robots!D:D)</f>
        <v>LumionFix 024</v>
      </c>
      <c r="D34" t="str">
        <f>_xlfn.XLOOKUP($B34,Errors!$A:$A,Errors!D:D)</f>
        <v>cce61a48-3ee7-45ec-90c5-78d2f02bca4e</v>
      </c>
      <c r="E34" s="42" t="str">
        <f>_xlfn.XLOOKUP($B34,Errors!$A:$A,Errors!E:E)</f>
        <v>failed</v>
      </c>
      <c r="F34" t="str">
        <f>_xlfn.XLOOKUP($B34,Errors!$A:$A,Errors!K:K)</f>
        <v>Fatal</v>
      </c>
      <c r="G34" s="43">
        <f>_xlfn.XLOOKUP($B34,Errors!$A:$A,Errors!F:F)</f>
        <v>44781</v>
      </c>
      <c r="H34" s="44">
        <f>_xlfn.XLOOKUP($B34,Errors!$A:$A,Errors!H:H)</f>
        <v>0.91843750000000002</v>
      </c>
      <c r="I34">
        <f>_xlfn.XLOOKUP($D34,NimbusTreatments!B:B,NimbusTreatments!G:G)</f>
        <v>58</v>
      </c>
      <c r="J34">
        <f>_xlfn.XLOOKUP($D34,NimbusTreatments!$B:$B,NimbusTreatments!H:H)</f>
        <v>0</v>
      </c>
      <c r="K34" t="str">
        <f>_xlfn.XLOOKUP($B34,Errors!$A:$A,Errors!L:L)</f>
        <v>right_3589</v>
      </c>
      <c r="L34" s="45" t="str" cm="1">
        <f t="array" aca="1" ref="L34" ca="1">HYPERLINK("#" &amp; CELL("address", _xlfn.XLOOKUP($B34,Errors!$A:$A,Errors!M:M)))</f>
        <v>#[VRS_RobotData.xlsx]Errors!$M$34</v>
      </c>
      <c r="M34" t="str">
        <f>_xlfn.XLOOKUP($B34,Errors!$A:$A,Errors!O:O)</f>
        <v>0x1040104</v>
      </c>
      <c r="N34" t="str">
        <f>_xlfn.XLOOKUP($M34,'Error-codes'!$A:$A,'Error-codes'!B:B)</f>
        <v>end of lane open sensor error</v>
      </c>
      <c r="O34" s="42">
        <f>_xlfn.XLOOKUP($B34,Errors!$A:$A,Errors!R:R)</f>
        <v>0</v>
      </c>
      <c r="P34" s="46"/>
      <c r="Q34" s="46"/>
      <c r="R34" s="46"/>
      <c r="S34" s="46"/>
    </row>
    <row r="35" spans="1:19">
      <c r="A35">
        <v>34</v>
      </c>
      <c r="B35" s="7" t="s">
        <v>133</v>
      </c>
      <c r="C35" t="str">
        <f>_xlfn.XLOOKUP(_xlfn.XLOOKUP(B35,Errors!A:A,Errors!B:B),Robots!C:C,Robots!D:D)</f>
        <v>LumionFix 024</v>
      </c>
      <c r="D35" t="str">
        <f>_xlfn.XLOOKUP($B35,Errors!$A:$A,Errors!D:D)</f>
        <v>6662a00b-c5d3-49f5-8d8f-e2cd0a0c3c17</v>
      </c>
      <c r="E35" s="42" t="str">
        <f>_xlfn.XLOOKUP($B35,Errors!$A:$A,Errors!E:E)</f>
        <v>failed</v>
      </c>
      <c r="F35" t="str">
        <f>_xlfn.XLOOKUP($B35,Errors!$A:$A,Errors!K:K)</f>
        <v>Fatal</v>
      </c>
      <c r="G35" s="43">
        <f>_xlfn.XLOOKUP($B35,Errors!$A:$A,Errors!F:F)</f>
        <v>44781</v>
      </c>
      <c r="H35" s="44">
        <f>_xlfn.XLOOKUP($B35,Errors!$A:$A,Errors!H:H)</f>
        <v>0.93224537037037036</v>
      </c>
      <c r="I35">
        <f>_xlfn.XLOOKUP($D35,NimbusTreatments!B:B,NimbusTreatments!G:G)</f>
        <v>54</v>
      </c>
      <c r="J35">
        <f>_xlfn.XLOOKUP($D35,NimbusTreatments!$B:$B,NimbusTreatments!H:H)</f>
        <v>1</v>
      </c>
      <c r="K35" t="str">
        <f>_xlfn.XLOOKUP($B35,Errors!$A:$A,Errors!L:L)</f>
        <v>right_3601</v>
      </c>
      <c r="L35" s="45" t="str" cm="1">
        <f t="array" aca="1" ref="L35" ca="1">HYPERLINK("#" &amp; CELL("address", _xlfn.XLOOKUP($B35,Errors!$A:$A,Errors!M:M)))</f>
        <v>#[VRS_RobotData.xlsx]Errors!$M$35</v>
      </c>
      <c r="M35" t="str">
        <f>_xlfn.XLOOKUP($B35,Errors!$A:$A,Errors!O:O)</f>
        <v>0x1060002</v>
      </c>
      <c r="N35" t="str">
        <f>_xlfn.XLOOKUP($M35,'Error-codes'!$A:$A,'Error-codes'!B:B)</f>
        <v>motor drive: UNDER VOLTAGE</v>
      </c>
      <c r="O35" s="42">
        <f>_xlfn.XLOOKUP($B35,Errors!$A:$A,Errors!R:R)</f>
        <v>0</v>
      </c>
    </row>
    <row r="36" spans="1:19">
      <c r="A36">
        <v>35</v>
      </c>
      <c r="B36" s="1" t="s">
        <v>136</v>
      </c>
      <c r="C36" t="str">
        <f>_xlfn.XLOOKUP(_xlfn.XLOOKUP(B36,Errors!A:A,Errors!B:B),Robots!C:C,Robots!D:D)</f>
        <v>LumionFix 024</v>
      </c>
      <c r="D36" t="str">
        <f>_xlfn.XLOOKUP($B36,Errors!$A:$A,Errors!D:D)</f>
        <v>b8b4f771-a340-4157-9f6a-210051722e25</v>
      </c>
      <c r="E36" s="42" t="str">
        <f>_xlfn.XLOOKUP($B36,Errors!$A:$A,Errors!E:E)</f>
        <v>failed</v>
      </c>
      <c r="F36" t="str">
        <f>_xlfn.XLOOKUP($B36,Errors!$A:$A,Errors!K:K)</f>
        <v>Fatal</v>
      </c>
      <c r="G36" s="43">
        <f>_xlfn.XLOOKUP($B36,Errors!$A:$A,Errors!F:F)</f>
        <v>44781</v>
      </c>
      <c r="H36" s="44">
        <f>_xlfn.XLOOKUP($B36,Errors!$A:$A,Errors!H:H)</f>
        <v>0.99387731481481489</v>
      </c>
      <c r="I36">
        <f>_xlfn.XLOOKUP($D36,NimbusTreatments!B:B,NimbusTreatments!G:G)</f>
        <v>49</v>
      </c>
      <c r="J36">
        <f>_xlfn.XLOOKUP($D36,NimbusTreatments!$B:$B,NimbusTreatments!H:H)</f>
        <v>19</v>
      </c>
      <c r="K36" t="str">
        <f>_xlfn.XLOOKUP($B36,Errors!$A:$A,Errors!L:L)</f>
        <v>left_lane3764</v>
      </c>
      <c r="L36" s="45" t="str" cm="1">
        <f t="array" aca="1" ref="L36" ca="1">HYPERLINK("#" &amp; CELL("address", _xlfn.XLOOKUP($B36,Errors!$A:$A,Errors!M:M)))</f>
        <v>#[VRS_RobotData.xlsx]Errors!$M$36</v>
      </c>
      <c r="M36" t="str">
        <f>_xlfn.XLOOKUP($B36,Errors!$A:$A,Errors!O:O)</f>
        <v>0x1060002</v>
      </c>
      <c r="N36" t="str">
        <f>_xlfn.XLOOKUP($M36,'Error-codes'!$A:$A,'Error-codes'!B:B)</f>
        <v>motor drive: UNDER VOLTAGE</v>
      </c>
      <c r="O36" s="42">
        <f>_xlfn.XLOOKUP($B36,Errors!$A:$A,Errors!R:R)</f>
        <v>0</v>
      </c>
    </row>
    <row r="37" spans="1:19" hidden="1">
      <c r="A37">
        <v>36</v>
      </c>
      <c r="B37" s="7" t="s">
        <v>139</v>
      </c>
      <c r="C37" t="str">
        <f>_xlfn.XLOOKUP(_xlfn.XLOOKUP(B37,Errors!A:A,Errors!B:B),Robots!C:C,Robots!D:D)</f>
        <v>LumionFix 023</v>
      </c>
      <c r="D37" t="str">
        <f>_xlfn.XLOOKUP($B37,Errors!$A:$A,Errors!D:D)</f>
        <v>b771f960-5de9-477f-b3a6-a3d9bb682dc7</v>
      </c>
      <c r="E37" s="42" t="str">
        <f>_xlfn.XLOOKUP($B37,Errors!$A:$A,Errors!E:E)</f>
        <v>stopped</v>
      </c>
      <c r="F37" t="str">
        <f>_xlfn.XLOOKUP($B37,Errors!$A:$A,Errors!K:K)</f>
        <v>Fatal</v>
      </c>
      <c r="G37" s="43">
        <f>_xlfn.XLOOKUP($B37,Errors!$A:$A,Errors!F:F)</f>
        <v>44782</v>
      </c>
      <c r="H37" s="44">
        <f>_xlfn.XLOOKUP($B37,Errors!$A:$A,Errors!H:H)</f>
        <v>0.13665509259259259</v>
      </c>
      <c r="I37">
        <f>_xlfn.XLOOKUP($D37,NimbusTreatments!B:B,NimbusTreatments!G:G)</f>
        <v>98</v>
      </c>
      <c r="J37">
        <f>_xlfn.XLOOKUP($D37,NimbusTreatments!$B:$B,NimbusTreatments!H:H)</f>
        <v>72</v>
      </c>
      <c r="K37">
        <f>_xlfn.XLOOKUP($B37,Errors!$A:$A,Errors!L:L)</f>
        <v>0</v>
      </c>
      <c r="L37" s="45" t="str" cm="1">
        <f t="array" aca="1" ref="L37" ca="1">HYPERLINK("#" &amp; CELL("address", _xlfn.XLOOKUP($B37,Errors!$A:$A,Errors!M:M)))</f>
        <v>#[VRS_RobotData.xlsx]Errors!$M$37</v>
      </c>
      <c r="M37" t="str">
        <f>_xlfn.XLOOKUP($B37,Errors!$A:$A,Errors!O:O)</f>
        <v>0x1040104</v>
      </c>
      <c r="N37" t="str">
        <f>_xlfn.XLOOKUP($M37,'Error-codes'!$A:$A,'Error-codes'!B:B)</f>
        <v>end of lane open sensor error</v>
      </c>
      <c r="O37" s="42">
        <f>_xlfn.XLOOKUP($B37,Errors!$A:$A,Errors!R:R)</f>
        <v>0</v>
      </c>
    </row>
    <row r="38" spans="1:19">
      <c r="A38">
        <v>37</v>
      </c>
      <c r="B38" s="1" t="s">
        <v>141</v>
      </c>
      <c r="C38" t="str">
        <f>_xlfn.XLOOKUP(_xlfn.XLOOKUP(B38,Errors!A:A,Errors!B:B),Robots!C:C,Robots!D:D)</f>
        <v>LumionFix 024</v>
      </c>
      <c r="D38" t="str">
        <f>_xlfn.XLOOKUP($B38,Errors!$A:$A,Errors!D:D)</f>
        <v>78a61324-9886-4ffb-8791-332721a172db</v>
      </c>
      <c r="E38" s="42" t="str">
        <f>_xlfn.XLOOKUP($B38,Errors!$A:$A,Errors!E:E)</f>
        <v>stopped</v>
      </c>
      <c r="F38" t="str">
        <f>_xlfn.XLOOKUP($B38,Errors!$A:$A,Errors!K:K)</f>
        <v>Fatal</v>
      </c>
      <c r="G38" s="43">
        <f>_xlfn.XLOOKUP($B38,Errors!$A:$A,Errors!F:F)</f>
        <v>44782</v>
      </c>
      <c r="H38" s="44">
        <f>_xlfn.XLOOKUP($B38,Errors!$A:$A,Errors!H:H)</f>
        <v>0.42385416666666664</v>
      </c>
      <c r="I38">
        <f>_xlfn.XLOOKUP($D38,NimbusTreatments!B:B,NimbusTreatments!G:G)</f>
        <v>10</v>
      </c>
      <c r="J38">
        <f>_xlfn.XLOOKUP($D38,NimbusTreatments!$B:$B,NimbusTreatments!H:H)</f>
        <v>1</v>
      </c>
      <c r="K38">
        <f>_xlfn.XLOOKUP($B38,Errors!$A:$A,Errors!L:L)</f>
        <v>0</v>
      </c>
      <c r="L38" s="45" t="str" cm="1">
        <f t="array" aca="1" ref="L38" ca="1">HYPERLINK("#" &amp; CELL("address", _xlfn.XLOOKUP($B38,Errors!$A:$A,Errors!M:M)))</f>
        <v>#[VRS_RobotData.xlsx]Errors!$M$38</v>
      </c>
      <c r="M38" t="str">
        <f>_xlfn.XLOOKUP($B38,Errors!$A:$A,Errors!O:O)</f>
        <v>0x1040104</v>
      </c>
      <c r="N38" t="str">
        <f>_xlfn.XLOOKUP($M38,'Error-codes'!$A:$A,'Error-codes'!B:B)</f>
        <v>end of lane open sensor error</v>
      </c>
      <c r="O38" s="42">
        <f>_xlfn.XLOOKUP($B38,Errors!$A:$A,Errors!R:R)</f>
        <v>0</v>
      </c>
    </row>
    <row r="39" spans="1:19">
      <c r="A39">
        <v>38</v>
      </c>
      <c r="B39" s="7" t="s">
        <v>143</v>
      </c>
      <c r="C39" t="str">
        <f>_xlfn.XLOOKUP(_xlfn.XLOOKUP(B39,Errors!A:A,Errors!B:B),Robots!C:C,Robots!D:D)</f>
        <v>LumionFix 024</v>
      </c>
      <c r="D39" t="str">
        <f>_xlfn.XLOOKUP($B39,Errors!$A:$A,Errors!D:D)</f>
        <v>f2afad2b-a405-489d-90c4-ee76ec224b3d</v>
      </c>
      <c r="E39" s="42" t="str">
        <f>_xlfn.XLOOKUP($B39,Errors!$A:$A,Errors!E:E)</f>
        <v>failed</v>
      </c>
      <c r="F39" t="str">
        <f>_xlfn.XLOOKUP($B39,Errors!$A:$A,Errors!K:K)</f>
        <v>Fatal</v>
      </c>
      <c r="G39" s="43">
        <f>_xlfn.XLOOKUP($B39,Errors!$A:$A,Errors!F:F)</f>
        <v>44782</v>
      </c>
      <c r="H39" s="44">
        <f>_xlfn.XLOOKUP($B39,Errors!$A:$A,Errors!H:H)</f>
        <v>0.51111111111111118</v>
      </c>
      <c r="I39">
        <f>_xlfn.XLOOKUP($D39,NimbusTreatments!B:B,NimbusTreatments!G:G)</f>
        <v>16</v>
      </c>
      <c r="J39">
        <f>_xlfn.XLOOKUP($D39,NimbusTreatments!$B:$B,NimbusTreatments!H:H)</f>
        <v>1</v>
      </c>
      <c r="K39" t="str">
        <f>_xlfn.XLOOKUP($B39,Errors!$A:$A,Errors!L:L)</f>
        <v>right_3799</v>
      </c>
      <c r="L39" s="45" t="str" cm="1">
        <f t="array" aca="1" ref="L39" ca="1">HYPERLINK("#" &amp; CELL("address", _xlfn.XLOOKUP($B39,Errors!$A:$A,Errors!M:M)))</f>
        <v>#[VRS_RobotData.xlsx]Errors!$M$39</v>
      </c>
      <c r="M39" t="str">
        <f>_xlfn.XLOOKUP($B39,Errors!$A:$A,Errors!O:O)</f>
        <v>0x1040104</v>
      </c>
      <c r="N39" t="str">
        <f>_xlfn.XLOOKUP($M39,'Error-codes'!$A:$A,'Error-codes'!B:B)</f>
        <v>end of lane open sensor error</v>
      </c>
      <c r="O39" s="42">
        <f>_xlfn.XLOOKUP($B39,Errors!$A:$A,Errors!R:R)</f>
        <v>0</v>
      </c>
    </row>
    <row r="40" spans="1:19">
      <c r="A40">
        <v>39</v>
      </c>
      <c r="B40" s="13" t="s">
        <v>146</v>
      </c>
      <c r="C40" t="str">
        <f>_xlfn.XLOOKUP(_xlfn.XLOOKUP(B40,Errors!A:A,Errors!B:B),Robots!C:C,Robots!D:D)</f>
        <v>LumionFix 024</v>
      </c>
      <c r="D40" t="str">
        <f>_xlfn.XLOOKUP($B40,Errors!$A:$A,Errors!D:D)</f>
        <v>d74b3425-fa7d-4652-b1e4-d52c1e2eda11</v>
      </c>
      <c r="E40" s="42" t="str">
        <f>_xlfn.XLOOKUP($B40,Errors!$A:$A,Errors!E:E)</f>
        <v>failed</v>
      </c>
      <c r="F40" t="str">
        <f>_xlfn.XLOOKUP($B40,Errors!$A:$A,Errors!K:K)</f>
        <v>Fatal</v>
      </c>
      <c r="G40" s="43">
        <f>_xlfn.XLOOKUP($B40,Errors!$A:$A,Errors!F:F)</f>
        <v>44782</v>
      </c>
      <c r="H40" s="44">
        <f>_xlfn.XLOOKUP($B40,Errors!$A:$A,Errors!H:H)</f>
        <v>0.56597222222222221</v>
      </c>
      <c r="I40">
        <f>_xlfn.XLOOKUP($D40,NimbusTreatments!B:B,NimbusTreatments!G:G)</f>
        <v>16</v>
      </c>
      <c r="J40">
        <f>_xlfn.XLOOKUP($D40,NimbusTreatments!$B:$B,NimbusTreatments!H:H)</f>
        <v>15</v>
      </c>
      <c r="K40" t="str">
        <f>_xlfn.XLOOKUP($B40,Errors!$A:$A,Errors!L:L)</f>
        <v>right_3831</v>
      </c>
      <c r="L40" s="45" t="str" cm="1">
        <f t="array" aca="1" ref="L40" ca="1">HYPERLINK("#" &amp; CELL("address", _xlfn.XLOOKUP($B40,Errors!$A:$A,Errors!M:M)))</f>
        <v>#[VRS_RobotData.xlsx]Errors!$M$40</v>
      </c>
      <c r="M40" t="str">
        <f>_xlfn.XLOOKUP($B40,Errors!$A:$A,Errors!O:O)</f>
        <v>0x1040102</v>
      </c>
      <c r="N40" t="str">
        <f>_xlfn.XLOOKUP($M40,'Error-codes'!$A:$A,'Error-codes'!B:B)</f>
        <v>inductive sensor error</v>
      </c>
      <c r="O40" s="42">
        <f>_xlfn.XLOOKUP($B40,Errors!$A:$A,Errors!R:R)</f>
        <v>0</v>
      </c>
    </row>
    <row r="41" spans="1:19">
      <c r="A41">
        <v>40</v>
      </c>
      <c r="B41" s="7" t="s">
        <v>149</v>
      </c>
      <c r="C41" t="str">
        <f>_xlfn.XLOOKUP(_xlfn.XLOOKUP(B41,Errors!A:A,Errors!B:B),Robots!C:C,Robots!D:D)</f>
        <v>LumionFix 024</v>
      </c>
      <c r="D41" t="str">
        <f>_xlfn.XLOOKUP($B41,Errors!$A:$A,Errors!D:D)</f>
        <v>28125d97-b91f-4b1f-b681-298a952f11c4</v>
      </c>
      <c r="E41" s="42" t="str">
        <f>_xlfn.XLOOKUP($B41,Errors!$A:$A,Errors!E:E)</f>
        <v>failed</v>
      </c>
      <c r="F41" t="str">
        <f>_xlfn.XLOOKUP($B41,Errors!$A:$A,Errors!K:K)</f>
        <v>Fatal</v>
      </c>
      <c r="G41" s="43">
        <f>_xlfn.XLOOKUP($B41,Errors!$A:$A,Errors!F:F)</f>
        <v>44783</v>
      </c>
      <c r="H41" s="44">
        <f>_xlfn.XLOOKUP($B41,Errors!$A:$A,Errors!H:H)</f>
        <v>0.58680555555555558</v>
      </c>
      <c r="I41">
        <f>_xlfn.XLOOKUP($D41,NimbusTreatments!B:B,NimbusTreatments!G:G)</f>
        <v>14</v>
      </c>
      <c r="J41">
        <f>_xlfn.XLOOKUP($D41,NimbusTreatments!$B:$B,NimbusTreatments!H:H)</f>
        <v>1</v>
      </c>
      <c r="K41" t="str">
        <f>_xlfn.XLOOKUP($B41,Errors!$A:$A,Errors!L:L)</f>
        <v>right_3009</v>
      </c>
      <c r="L41" s="45" t="str" cm="1">
        <f t="array" aca="1" ref="L41" ca="1">HYPERLINK("#" &amp; CELL("address", _xlfn.XLOOKUP($B41,Errors!$A:$A,Errors!M:M)))</f>
        <v>#[VRS_RobotData.xlsx]Errors!$M$41</v>
      </c>
      <c r="M41" t="str">
        <f>_xlfn.XLOOKUP($B41,Errors!$A:$A,Errors!O:O)</f>
        <v>0x1040102</v>
      </c>
      <c r="N41" t="str">
        <f>_xlfn.XLOOKUP($M41,'Error-codes'!$A:$A,'Error-codes'!B:B)</f>
        <v>inductive sensor error</v>
      </c>
      <c r="O41" s="42">
        <f>_xlfn.XLOOKUP($B41,Errors!$A:$A,Errors!R:R)</f>
        <v>0</v>
      </c>
    </row>
    <row r="42" spans="1:19">
      <c r="A42">
        <v>41</v>
      </c>
      <c r="B42" s="1" t="s">
        <v>152</v>
      </c>
      <c r="C42" t="str">
        <f>_xlfn.XLOOKUP(_xlfn.XLOOKUP(B42,Errors!A:A,Errors!B:B),Robots!C:C,Robots!D:D)</f>
        <v>LumionFix 024</v>
      </c>
      <c r="D42" t="str">
        <f>_xlfn.XLOOKUP($B42,Errors!$A:$A,Errors!D:D)</f>
        <v>060944b2-d9e9-4e16-8674-f5f0f857c2f4</v>
      </c>
      <c r="E42" s="42" t="str">
        <f>_xlfn.XLOOKUP($B42,Errors!$A:$A,Errors!E:E)</f>
        <v>failed</v>
      </c>
      <c r="F42" t="str">
        <f>_xlfn.XLOOKUP($B42,Errors!$A:$A,Errors!K:K)</f>
        <v>Fatal</v>
      </c>
      <c r="G42" s="43">
        <f>_xlfn.XLOOKUP($B42,Errors!$A:$A,Errors!F:F)</f>
        <v>44783</v>
      </c>
      <c r="H42" s="44">
        <f>_xlfn.XLOOKUP($B42,Errors!$A:$A,Errors!H:H)</f>
        <v>0.62916666666666665</v>
      </c>
      <c r="I42">
        <f>_xlfn.XLOOKUP($D42,NimbusTreatments!B:B,NimbusTreatments!G:G)</f>
        <v>36</v>
      </c>
      <c r="J42">
        <f>_xlfn.XLOOKUP($D42,NimbusTreatments!$B:$B,NimbusTreatments!H:H)</f>
        <v>7</v>
      </c>
      <c r="K42" t="str">
        <f>_xlfn.XLOOKUP($B42,Errors!$A:$A,Errors!L:L)</f>
        <v>right_3035</v>
      </c>
      <c r="L42" s="45" t="str" cm="1">
        <f t="array" aca="1" ref="L42" ca="1">HYPERLINK("#" &amp; CELL("address", _xlfn.XLOOKUP($B42,Errors!$A:$A,Errors!M:M)))</f>
        <v>#[VRS_RobotData.xlsx]Errors!$M$42</v>
      </c>
      <c r="M42" t="str">
        <f>_xlfn.XLOOKUP($B42,Errors!$A:$A,Errors!O:O)</f>
        <v>0x1040103</v>
      </c>
      <c r="N42" t="str">
        <f>_xlfn.XLOOKUP($M42,'Error-codes'!$A:$A,'Error-codes'!B:B)</f>
        <v>end of lane wall sensor error</v>
      </c>
      <c r="O42" s="42">
        <f>_xlfn.XLOOKUP($B42,Errors!$A:$A,Errors!R:R)</f>
        <v>0</v>
      </c>
    </row>
    <row r="43" spans="1:19">
      <c r="A43">
        <v>42</v>
      </c>
      <c r="B43" s="7" t="s">
        <v>156</v>
      </c>
      <c r="C43" t="str">
        <f>_xlfn.XLOOKUP(_xlfn.XLOOKUP(B43,Errors!A:A,Errors!B:B),Robots!C:C,Robots!D:D)</f>
        <v>LumionFix 024</v>
      </c>
      <c r="D43" t="str">
        <f>_xlfn.XLOOKUP($B43,Errors!$A:$A,Errors!D:D)</f>
        <v>4ed2c279-4087-420b-8a5e-3c2dccbd38d2</v>
      </c>
      <c r="E43" s="42" t="str">
        <f>_xlfn.XLOOKUP($B43,Errors!$A:$A,Errors!E:E)</f>
        <v>failed</v>
      </c>
      <c r="F43" t="str">
        <f>_xlfn.XLOOKUP($B43,Errors!$A:$A,Errors!K:K)</f>
        <v>Fatal</v>
      </c>
      <c r="G43" s="43">
        <f>_xlfn.XLOOKUP($B43,Errors!$A:$A,Errors!F:F)</f>
        <v>44783</v>
      </c>
      <c r="H43" s="44">
        <f>_xlfn.XLOOKUP($B43,Errors!$A:$A,Errors!H:H)</f>
        <v>0.65</v>
      </c>
      <c r="I43">
        <f>_xlfn.XLOOKUP($D43,NimbusTreatments!B:B,NimbusTreatments!G:G)</f>
        <v>57</v>
      </c>
      <c r="J43">
        <f>_xlfn.XLOOKUP($D43,NimbusTreatments!$B:$B,NimbusTreatments!H:H)</f>
        <v>1</v>
      </c>
      <c r="K43" t="str">
        <f>_xlfn.XLOOKUP($B43,Errors!$A:$A,Errors!L:L)</f>
        <v>right_3147</v>
      </c>
      <c r="L43" s="45" t="str" cm="1">
        <f t="array" aca="1" ref="L43" ca="1">HYPERLINK("#" &amp; CELL("address", _xlfn.XLOOKUP($B43,Errors!$A:$A,Errors!M:M)))</f>
        <v>#[VRS_RobotData.xlsx]Errors!$M$43</v>
      </c>
      <c r="M43" t="str">
        <f>_xlfn.XLOOKUP($B43,Errors!$A:$A,Errors!O:O)</f>
        <v>0x1040102</v>
      </c>
      <c r="N43" t="str">
        <f>_xlfn.XLOOKUP($M43,'Error-codes'!$A:$A,'Error-codes'!B:B)</f>
        <v>inductive sensor error</v>
      </c>
      <c r="O43" s="42">
        <f>_xlfn.XLOOKUP($B43,Errors!$A:$A,Errors!R:R)</f>
        <v>0</v>
      </c>
      <c r="P43" s="46"/>
      <c r="Q43" s="46"/>
      <c r="R43" s="46"/>
      <c r="S43" s="46"/>
    </row>
    <row r="44" spans="1:19" hidden="1">
      <c r="A44">
        <v>43</v>
      </c>
      <c r="B44" s="1" t="s">
        <v>159</v>
      </c>
      <c r="C44" t="str">
        <f>_xlfn.XLOOKUP(_xlfn.XLOOKUP(B44,Errors!A:A,Errors!B:B),Robots!C:C,Robots!D:D)</f>
        <v>LumionFix 023</v>
      </c>
      <c r="D44" t="str">
        <f>_xlfn.XLOOKUP($B44,Errors!$A:$A,Errors!D:D)</f>
        <v>4e49066a-deac-4ef5-87c1-df0334c815d2</v>
      </c>
      <c r="E44" s="42" t="str">
        <f>_xlfn.XLOOKUP($B44,Errors!$A:$A,Errors!E:E)</f>
        <v>failed</v>
      </c>
      <c r="F44" t="str">
        <f>_xlfn.XLOOKUP($B44,Errors!$A:$A,Errors!K:K)</f>
        <v>Fatal</v>
      </c>
      <c r="G44" s="43">
        <f>_xlfn.XLOOKUP($B44,Errors!$A:$A,Errors!F:F)</f>
        <v>44783</v>
      </c>
      <c r="H44" s="44">
        <f>_xlfn.XLOOKUP($B44,Errors!$A:$A,Errors!H:H)</f>
        <v>0.84513888888888899</v>
      </c>
      <c r="I44">
        <f>_xlfn.XLOOKUP($D44,NimbusTreatments!B:B,NimbusTreatments!G:G)</f>
        <v>69</v>
      </c>
      <c r="J44">
        <f>_xlfn.XLOOKUP($D44,NimbusTreatments!$B:$B,NimbusTreatments!H:H)</f>
        <v>0</v>
      </c>
      <c r="K44" t="str">
        <f>_xlfn.XLOOKUP($B44,Errors!$A:$A,Errors!L:L)</f>
        <v>right_3501</v>
      </c>
      <c r="L44" s="45" t="str" cm="1">
        <f t="array" aca="1" ref="L44" ca="1">HYPERLINK("#" &amp; CELL("address", _xlfn.XLOOKUP($B44,Errors!$A:$A,Errors!M:M)))</f>
        <v>#[VRS_RobotData.xlsx]Errors!$M$44</v>
      </c>
      <c r="M44" t="str">
        <f>_xlfn.XLOOKUP($B44,Errors!$A:$A,Errors!O:O)</f>
        <v>0x1040102</v>
      </c>
      <c r="N44" t="str">
        <f>_xlfn.XLOOKUP($M44,'Error-codes'!$A:$A,'Error-codes'!B:B)</f>
        <v>inductive sensor error</v>
      </c>
      <c r="O44" s="42">
        <f>_xlfn.XLOOKUP($B44,Errors!$A:$A,Errors!R:R)</f>
        <v>0</v>
      </c>
    </row>
    <row r="45" spans="1:19">
      <c r="A45">
        <v>44</v>
      </c>
      <c r="B45" s="7" t="s">
        <v>162</v>
      </c>
      <c r="C45" t="str">
        <f>_xlfn.XLOOKUP(_xlfn.XLOOKUP(B45,Errors!A:A,Errors!B:B),Robots!C:C,Robots!D:D)</f>
        <v>LumionFix 024</v>
      </c>
      <c r="D45" t="str">
        <f>_xlfn.XLOOKUP($B45,Errors!$A:$A,Errors!D:D)</f>
        <v>f44b954e-c407-4e53-b82a-5b77fd14ca26</v>
      </c>
      <c r="E45" s="42" t="str">
        <f>_xlfn.XLOOKUP($B45,Errors!$A:$A,Errors!E:E)</f>
        <v>failed</v>
      </c>
      <c r="F45" t="str">
        <f>_xlfn.XLOOKUP($B45,Errors!$A:$A,Errors!K:K)</f>
        <v>Fatal</v>
      </c>
      <c r="G45" s="43">
        <f>_xlfn.XLOOKUP($B45,Errors!$A:$A,Errors!F:F)</f>
        <v>44783</v>
      </c>
      <c r="H45" s="44">
        <f>_xlfn.XLOOKUP($B45,Errors!$A:$A,Errors!H:H)</f>
        <v>0.98402777777777783</v>
      </c>
      <c r="I45">
        <f>_xlfn.XLOOKUP($D45,NimbusTreatments!B:B,NimbusTreatments!G:G)</f>
        <v>77</v>
      </c>
      <c r="J45">
        <f>_xlfn.XLOOKUP($D45,NimbusTreatments!$B:$B,NimbusTreatments!H:H)</f>
        <v>32</v>
      </c>
      <c r="K45" t="str">
        <f>_xlfn.XLOOKUP($B45,Errors!$A:$A,Errors!L:L)</f>
        <v>right_3731</v>
      </c>
      <c r="L45" s="45" t="str" cm="1">
        <f t="array" aca="1" ref="L45" ca="1">HYPERLINK("#" &amp; CELL("address", _xlfn.XLOOKUP($B45,Errors!$A:$A,Errors!M:M)))</f>
        <v>#[VRS_RobotData.xlsx]Errors!$M$45</v>
      </c>
      <c r="M45" t="str">
        <f>_xlfn.XLOOKUP($B45,Errors!$A:$A,Errors!O:O)</f>
        <v>0x1070001</v>
      </c>
      <c r="N45" t="str">
        <f>_xlfn.XLOOKUP($M45,'Error-codes'!$A:$A,'Error-codes'!B:B)</f>
        <v>battery level critical low</v>
      </c>
      <c r="O45" s="42">
        <f>_xlfn.XLOOKUP($B45,Errors!$A:$A,Errors!R:R)</f>
        <v>0</v>
      </c>
    </row>
    <row r="46" spans="1:19" hidden="1">
      <c r="A46">
        <v>45</v>
      </c>
      <c r="B46" s="1" t="s">
        <v>165</v>
      </c>
      <c r="C46" t="str">
        <f>_xlfn.XLOOKUP(_xlfn.XLOOKUP(B46,Errors!A:A,Errors!B:B),Robots!C:C,Robots!D:D)</f>
        <v>LumionFix 023</v>
      </c>
      <c r="D46" t="str">
        <f>_xlfn.XLOOKUP($B46,Errors!$A:$A,Errors!D:D)</f>
        <v>707bef14-4bb9-4534-bda4-390482889888</v>
      </c>
      <c r="E46" s="42" t="str">
        <f>_xlfn.XLOOKUP($B46,Errors!$A:$A,Errors!E:E)</f>
        <v>failed</v>
      </c>
      <c r="F46" t="str">
        <f>_xlfn.XLOOKUP($B46,Errors!$A:$A,Errors!K:K)</f>
        <v>Fatal</v>
      </c>
      <c r="G46" s="43">
        <f>_xlfn.XLOOKUP($B46,Errors!$A:$A,Errors!F:F)</f>
        <v>44784</v>
      </c>
      <c r="H46" s="44">
        <f>_xlfn.XLOOKUP($B46,Errors!$A:$A,Errors!H:H)</f>
        <v>0.61843749999999997</v>
      </c>
      <c r="I46">
        <f>_xlfn.XLOOKUP($D46,NimbusTreatments!B:B,NimbusTreatments!G:G)</f>
        <v>21</v>
      </c>
      <c r="J46">
        <f>_xlfn.XLOOKUP($D46,NimbusTreatments!$B:$B,NimbusTreatments!H:H)</f>
        <v>0</v>
      </c>
      <c r="K46" t="str">
        <f>_xlfn.XLOOKUP($B46,Errors!$A:$A,Errors!L:L)</f>
        <v>right_3147</v>
      </c>
      <c r="L46" s="45" t="str" cm="1">
        <f t="array" aca="1" ref="L46" ca="1">HYPERLINK("#" &amp; CELL("address", _xlfn.XLOOKUP($B46,Errors!$A:$A,Errors!M:M)))</f>
        <v>#[VRS_RobotData.xlsx]Errors!$M$46</v>
      </c>
      <c r="M46" t="str">
        <f>_xlfn.XLOOKUP($B46,Errors!$A:$A,Errors!O:O)</f>
        <v>0x1010103</v>
      </c>
      <c r="N46" t="str">
        <f>_xlfn.XLOOKUP($M46,'Error-codes'!$A:$A,'Error-codes'!B:B)</f>
        <v>global path planner did not finish planning in time</v>
      </c>
      <c r="O46" s="42">
        <f>_xlfn.XLOOKUP($B46,Errors!$A:$A,Errors!R:R)</f>
        <v>0</v>
      </c>
    </row>
    <row r="47" spans="1:19" hidden="1">
      <c r="A47">
        <v>46</v>
      </c>
      <c r="B47" s="7" t="s">
        <v>168</v>
      </c>
      <c r="C47" t="str">
        <f>_xlfn.XLOOKUP(_xlfn.XLOOKUP(B47,Errors!A:A,Errors!B:B),Robots!C:C,Robots!D:D)</f>
        <v>LumionFix 023</v>
      </c>
      <c r="D47" t="str">
        <f>_xlfn.XLOOKUP($B47,Errors!$A:$A,Errors!D:D)</f>
        <v>252d79e6-a9ed-4cb1-847e-2dc1dd008fdf</v>
      </c>
      <c r="E47" s="42" t="str">
        <f>_xlfn.XLOOKUP($B47,Errors!$A:$A,Errors!E:E)</f>
        <v>failed</v>
      </c>
      <c r="F47" t="str">
        <f>_xlfn.XLOOKUP($B47,Errors!$A:$A,Errors!K:K)</f>
        <v>Fatal</v>
      </c>
      <c r="G47" s="43">
        <f>_xlfn.XLOOKUP($B47,Errors!$A:$A,Errors!F:F)</f>
        <v>44784</v>
      </c>
      <c r="H47" s="44">
        <f>_xlfn.XLOOKUP($B47,Errors!$A:$A,Errors!H:H)</f>
        <v>0.62939814814814821</v>
      </c>
      <c r="I47">
        <f>_xlfn.XLOOKUP($D47,NimbusTreatments!B:B,NimbusTreatments!G:G)</f>
        <v>21</v>
      </c>
      <c r="J47">
        <f>_xlfn.XLOOKUP($D47,NimbusTreatments!$B:$B,NimbusTreatments!H:H)</f>
        <v>0</v>
      </c>
      <c r="K47" t="str">
        <f>_xlfn.XLOOKUP($B47,Errors!$A:$A,Errors!L:L)</f>
        <v>right_3147</v>
      </c>
      <c r="L47" s="45" t="str" cm="1">
        <f t="array" aca="1" ref="L47" ca="1">HYPERLINK("#" &amp; CELL("address", _xlfn.XLOOKUP($B47,Errors!$A:$A,Errors!M:M)))</f>
        <v>#[VRS_RobotData.xlsx]Errors!$M$47</v>
      </c>
      <c r="M47" t="str">
        <f>_xlfn.XLOOKUP($B47,Errors!$A:$A,Errors!O:O)</f>
        <v>0x1040104</v>
      </c>
      <c r="N47" t="str">
        <f>_xlfn.XLOOKUP($M47,'Error-codes'!$A:$A,'Error-codes'!B:B)</f>
        <v>end of lane open sensor error</v>
      </c>
      <c r="O47" s="42">
        <f>_xlfn.XLOOKUP($B47,Errors!$A:$A,Errors!R:R)</f>
        <v>0</v>
      </c>
    </row>
    <row r="48" spans="1:19" hidden="1">
      <c r="A48">
        <v>47</v>
      </c>
      <c r="B48" s="1" t="s">
        <v>170</v>
      </c>
      <c r="C48" t="str">
        <f>_xlfn.XLOOKUP(_xlfn.XLOOKUP(B48,Errors!A:A,Errors!B:B),Robots!C:C,Robots!D:D)</f>
        <v>LumionFix 023</v>
      </c>
      <c r="D48" t="str">
        <f>_xlfn.XLOOKUP($B48,Errors!$A:$A,Errors!D:D)</f>
        <v>0a6764ab-5ca2-4a7d-a5f5-60479be46f8b</v>
      </c>
      <c r="E48" s="42" t="str">
        <f>_xlfn.XLOOKUP($B48,Errors!$A:$A,Errors!E:E)</f>
        <v>failed</v>
      </c>
      <c r="F48" t="str">
        <f>_xlfn.XLOOKUP($B48,Errors!$A:$A,Errors!K:K)</f>
        <v>Fatal</v>
      </c>
      <c r="G48" s="43">
        <f>_xlfn.XLOOKUP($B48,Errors!$A:$A,Errors!F:F)</f>
        <v>44784</v>
      </c>
      <c r="H48" s="44">
        <f>_xlfn.XLOOKUP($B48,Errors!$A:$A,Errors!H:H)</f>
        <v>0.77795138888888893</v>
      </c>
      <c r="I48">
        <f>_xlfn.XLOOKUP($D48,NimbusTreatments!B:B,NimbusTreatments!G:G)</f>
        <v>139</v>
      </c>
      <c r="J48">
        <f>_xlfn.XLOOKUP($D48,NimbusTreatments!$B:$B,NimbusTreatments!H:H)</f>
        <v>22</v>
      </c>
      <c r="K48" t="str">
        <f>_xlfn.XLOOKUP($B48,Errors!$A:$A,Errors!L:L)</f>
        <v>left_lane3226</v>
      </c>
      <c r="L48" s="45" t="str" cm="1">
        <f t="array" aca="1" ref="L48" ca="1">HYPERLINK("#" &amp; CELL("address", _xlfn.XLOOKUP($B48,Errors!$A:$A,Errors!M:M)))</f>
        <v>#[VRS_RobotData.xlsx]Errors!$M$48</v>
      </c>
      <c r="M48" t="str">
        <f>_xlfn.XLOOKUP($B48,Errors!$A:$A,Errors!O:O)</f>
        <v>0x1040001</v>
      </c>
      <c r="N48" t="str">
        <f>_xlfn.XLOOKUP($M48,'Error-codes'!$A:$A,'Error-codes'!B:B)</f>
        <v>vehicle diverged too far from trajectory</v>
      </c>
      <c r="O48" s="42">
        <f>_xlfn.XLOOKUP($B48,Errors!$A:$A,Errors!R:R)</f>
        <v>0</v>
      </c>
    </row>
    <row r="49" spans="1:15">
      <c r="A49">
        <v>48</v>
      </c>
      <c r="B49" s="18" t="s">
        <v>174</v>
      </c>
      <c r="C49" t="str">
        <f>_xlfn.XLOOKUP(_xlfn.XLOOKUP(B49,Errors!A:A,Errors!B:B),Robots!C:C,Robots!D:D)</f>
        <v>LumionFix 024</v>
      </c>
      <c r="D49" t="str">
        <f>_xlfn.XLOOKUP($B49,Errors!$A:$A,Errors!D:D)</f>
        <v>5efe3137-2a68-413f-83fb-aa19d2c35a08</v>
      </c>
      <c r="E49" s="42" t="str">
        <f>_xlfn.XLOOKUP($B49,Errors!$A:$A,Errors!E:E)</f>
        <v>failed</v>
      </c>
      <c r="F49" t="str">
        <f>_xlfn.XLOOKUP($B49,Errors!$A:$A,Errors!K:K)</f>
        <v>Fatal</v>
      </c>
      <c r="G49" s="43">
        <f>_xlfn.XLOOKUP($B49,Errors!$A:$A,Errors!F:F)</f>
        <v>44789</v>
      </c>
      <c r="H49" s="44">
        <f>_xlfn.XLOOKUP($B49,Errors!$A:$A,Errors!H:H)</f>
        <v>0.85281250000000008</v>
      </c>
      <c r="I49">
        <f>_xlfn.XLOOKUP($D49,NimbusTreatments!B:B,NimbusTreatments!G:G)</f>
        <v>140</v>
      </c>
      <c r="J49">
        <f>_xlfn.XLOOKUP($D49,NimbusTreatments!$B:$B,NimbusTreatments!H:H)</f>
        <v>25</v>
      </c>
      <c r="K49" t="str">
        <f>_xlfn.XLOOKUP($B49,Errors!$A:$A,Errors!L:L)</f>
        <v>left_lane3568</v>
      </c>
      <c r="L49" s="45" t="str" cm="1">
        <f t="array" aca="1" ref="L49" ca="1">HYPERLINK("#" &amp; CELL("address", _xlfn.XLOOKUP($B49,Errors!$A:$A,Errors!M:M)))</f>
        <v>#[VRS_RobotData.xlsx]Errors!$M$49</v>
      </c>
      <c r="M49" t="str">
        <f>_xlfn.XLOOKUP($B49,Errors!$A:$A,Errors!O:O)</f>
        <v>0x106000b</v>
      </c>
      <c r="N49" t="str">
        <f>_xlfn.XLOOKUP($M49,'Error-codes'!$A:$A,'Error-codes'!B:B)</f>
        <v xml:space="preserve">Vehicle HAL: motor drive: ID CONTROL ISSUE	</v>
      </c>
      <c r="O49" s="42">
        <f>_xlfn.XLOOKUP($B49,Errors!$A:$A,Errors!R:R)</f>
        <v>0</v>
      </c>
    </row>
    <row r="50" spans="1:15" hidden="1">
      <c r="A50">
        <v>49</v>
      </c>
      <c r="B50" s="13" t="s">
        <v>179</v>
      </c>
      <c r="C50" t="str">
        <f>_xlfn.XLOOKUP(_xlfn.XLOOKUP(B50,Errors!A:A,Errors!B:B),Robots!C:C,Robots!D:D)</f>
        <v>LumionFix 023</v>
      </c>
      <c r="D50" t="str">
        <f>_xlfn.XLOOKUP($B50,Errors!$A:$A,Errors!D:D)</f>
        <v>6aec8422-ad43-467c-9b15-7e4c8ce8255d</v>
      </c>
      <c r="E50" s="42" t="str">
        <f>_xlfn.XLOOKUP($B50,Errors!$A:$A,Errors!E:E)</f>
        <v>failed</v>
      </c>
      <c r="F50" t="str">
        <f>_xlfn.XLOOKUP($B50,Errors!$A:$A,Errors!K:K)</f>
        <v>Fatal</v>
      </c>
      <c r="G50" s="43">
        <f>_xlfn.XLOOKUP($B50,Errors!$A:$A,Errors!F:F)</f>
        <v>44789</v>
      </c>
      <c r="H50" s="44">
        <f>_xlfn.XLOOKUP($B50,Errors!$A:$A,Errors!H:H)</f>
        <v>0.91310185185185189</v>
      </c>
      <c r="I50">
        <f>_xlfn.XLOOKUP($D50,NimbusTreatments!B:B,NimbusTreatments!G:G)</f>
        <v>99</v>
      </c>
      <c r="J50">
        <f>_xlfn.XLOOKUP($D50,NimbusTreatments!$B:$B,NimbusTreatments!H:H)</f>
        <v>45</v>
      </c>
      <c r="K50" t="str">
        <f>_xlfn.XLOOKUP($B50,Errors!$A:$A,Errors!L:L)</f>
        <v>right_3711</v>
      </c>
      <c r="L50" s="45" t="str" cm="1">
        <f t="array" aca="1" ref="L50" ca="1">HYPERLINK("#" &amp; CELL("address", _xlfn.XLOOKUP($B50,Errors!$A:$A,Errors!M:M)))</f>
        <v>#[VRS_RobotData.xlsx]Errors!$M$50</v>
      </c>
      <c r="M50" t="str">
        <f>_xlfn.XLOOKUP($B50,Errors!$A:$A,Errors!O:O)</f>
        <v>0x1070001</v>
      </c>
      <c r="N50" t="str">
        <f>_xlfn.XLOOKUP($M50,'Error-codes'!$A:$A,'Error-codes'!B:B)</f>
        <v>battery level critical low</v>
      </c>
      <c r="O50" s="42">
        <f>_xlfn.XLOOKUP($B50,Errors!$A:$A,Errors!R:R)</f>
        <v>0</v>
      </c>
    </row>
    <row r="51" spans="1:15" hidden="1">
      <c r="A51">
        <v>50</v>
      </c>
      <c r="B51" s="7" t="s">
        <v>183</v>
      </c>
      <c r="C51" t="str">
        <f>_xlfn.XLOOKUP(_xlfn.XLOOKUP(B51,Errors!A:A,Errors!B:B),Robots!C:C,Robots!D:D)</f>
        <v>LumionFix 023</v>
      </c>
      <c r="D51" t="str">
        <f>_xlfn.XLOOKUP($B51,Errors!$A:$A,Errors!D:D)</f>
        <v>8ba4f58f-0904-4a43-832a-fe44eaad4f90</v>
      </c>
      <c r="E51" s="42" t="str">
        <f>_xlfn.XLOOKUP($B51,Errors!$A:$A,Errors!E:E)</f>
        <v>failed</v>
      </c>
      <c r="F51" t="str">
        <f>_xlfn.XLOOKUP($B51,Errors!$A:$A,Errors!K:K)</f>
        <v>Fatal</v>
      </c>
      <c r="G51" s="43">
        <f>_xlfn.XLOOKUP($B51,Errors!$A:$A,Errors!F:F)</f>
        <v>44790</v>
      </c>
      <c r="H51" s="44">
        <f>_xlfn.XLOOKUP($B51,Errors!$A:$A,Errors!H:H)</f>
        <v>0.78684027777777776</v>
      </c>
      <c r="I51">
        <f>_xlfn.XLOOKUP($D51,NimbusTreatments!B:B,NimbusTreatments!G:G)</f>
        <v>54</v>
      </c>
      <c r="J51">
        <f>_xlfn.XLOOKUP($D51,NimbusTreatments!$B:$B,NimbusTreatments!H:H)</f>
        <v>7</v>
      </c>
      <c r="K51" t="str">
        <f>_xlfn.XLOOKUP($B51,Errors!$A:$A,Errors!L:L)</f>
        <v>right_3727</v>
      </c>
      <c r="L51" s="45" t="str" cm="1">
        <f t="array" aca="1" ref="L51" ca="1">HYPERLINK("#" &amp; CELL("address", _xlfn.XLOOKUP($B51,Errors!$A:$A,Errors!M:M)))</f>
        <v>#[VRS_RobotData.xlsx]Errors!$M$51</v>
      </c>
      <c r="M51" t="str">
        <f>_xlfn.XLOOKUP($B51,Errors!$A:$A,Errors!O:O)</f>
        <v>0x1040104</v>
      </c>
      <c r="N51" t="str">
        <f>_xlfn.XLOOKUP($M51,'Error-codes'!$A:$A,'Error-codes'!B:B)</f>
        <v>end of lane open sensor error</v>
      </c>
      <c r="O51" s="42">
        <f>_xlfn.XLOOKUP($B51,Errors!$A:$A,Errors!R:R)</f>
        <v>0</v>
      </c>
    </row>
    <row r="52" spans="1:15">
      <c r="A52">
        <v>51</v>
      </c>
      <c r="B52" s="1" t="s">
        <v>186</v>
      </c>
      <c r="C52" t="str">
        <f>_xlfn.XLOOKUP(_xlfn.XLOOKUP(B52,Errors!A:A,Errors!B:B),Robots!C:C,Robots!D:D)</f>
        <v>LumionFix 024</v>
      </c>
      <c r="D52" t="str">
        <f>_xlfn.XLOOKUP($B52,Errors!$A:$A,Errors!D:D)</f>
        <v>b2cbebda-5df1-42a0-a678-94879a5ce20e</v>
      </c>
      <c r="E52" s="42" t="str">
        <f>_xlfn.XLOOKUP($B52,Errors!$A:$A,Errors!E:E)</f>
        <v>failed</v>
      </c>
      <c r="F52" t="str">
        <f>_xlfn.XLOOKUP($B52,Errors!$A:$A,Errors!K:K)</f>
        <v>Fatal</v>
      </c>
      <c r="G52" s="43">
        <f>_xlfn.XLOOKUP($B52,Errors!$A:$A,Errors!F:F)</f>
        <v>44790</v>
      </c>
      <c r="H52" s="44">
        <f>_xlfn.XLOOKUP($B52,Errors!$A:$A,Errors!H:H)</f>
        <v>0.96582175925925917</v>
      </c>
      <c r="I52">
        <f>_xlfn.XLOOKUP($D52,NimbusTreatments!B:B,NimbusTreatments!G:G)</f>
        <v>119</v>
      </c>
      <c r="J52">
        <f>_xlfn.XLOOKUP($D52,NimbusTreatments!$B:$B,NimbusTreatments!H:H)</f>
        <v>70</v>
      </c>
      <c r="K52" t="str">
        <f>_xlfn.XLOOKUP($B52,Errors!$A:$A,Errors!L:L)</f>
        <v>left_lane3722</v>
      </c>
      <c r="L52" s="45" t="str" cm="1">
        <f t="array" aca="1" ref="L52" ca="1">HYPERLINK("#" &amp; CELL("address", _xlfn.XLOOKUP($B52,Errors!$A:$A,Errors!M:M)))</f>
        <v>#[VRS_RobotData.xlsx]Errors!$M$52</v>
      </c>
      <c r="M52" t="str">
        <f>_xlfn.XLOOKUP($B52,Errors!$A:$A,Errors!O:O)</f>
        <v>0x1060002</v>
      </c>
      <c r="N52" t="str">
        <f>_xlfn.XLOOKUP($M52,'Error-codes'!$A:$A,'Error-codes'!B:B)</f>
        <v>motor drive: UNDER VOLTAGE</v>
      </c>
      <c r="O52" s="42">
        <f>_xlfn.XLOOKUP($B52,Errors!$A:$A,Errors!R:R)</f>
        <v>0</v>
      </c>
    </row>
    <row r="53" spans="1:15" hidden="1">
      <c r="A53">
        <v>52</v>
      </c>
      <c r="B53" s="7" t="s">
        <v>189</v>
      </c>
      <c r="C53" t="str">
        <f>_xlfn.XLOOKUP(_xlfn.XLOOKUP(B53,Errors!A:A,Errors!B:B),Robots!C:C,Robots!D:D)</f>
        <v>LumionFix 023</v>
      </c>
      <c r="D53" t="str">
        <f>_xlfn.XLOOKUP($B53,Errors!$A:$A,Errors!D:D)</f>
        <v>5f917c77-3c66-4918-b2c2-c9a53b0bb4c8</v>
      </c>
      <c r="E53" s="42" t="str">
        <f>_xlfn.XLOOKUP($B53,Errors!$A:$A,Errors!E:E)</f>
        <v>failed</v>
      </c>
      <c r="F53" t="str">
        <f>_xlfn.XLOOKUP($B53,Errors!$A:$A,Errors!K:K)</f>
        <v>Fatal</v>
      </c>
      <c r="G53" s="43">
        <f>_xlfn.XLOOKUP($B53,Errors!$A:$A,Errors!F:F)</f>
        <v>44791</v>
      </c>
      <c r="H53" s="44">
        <f>_xlfn.XLOOKUP($B53,Errors!$A:$A,Errors!H:H)</f>
        <v>0.85561342592592593</v>
      </c>
      <c r="I53">
        <f>_xlfn.XLOOKUP($D53,NimbusTreatments!B:B,NimbusTreatments!G:G)</f>
        <v>67</v>
      </c>
      <c r="J53">
        <f>_xlfn.XLOOKUP($D53,NimbusTreatments!$B:$B,NimbusTreatments!H:H)</f>
        <v>30</v>
      </c>
      <c r="K53" t="str">
        <f>_xlfn.XLOOKUP($B53,Errors!$A:$A,Errors!L:L)</f>
        <v>right_3573</v>
      </c>
      <c r="L53" s="45" t="str" cm="1">
        <f t="array" aca="1" ref="L53" ca="1">HYPERLINK("#" &amp; CELL("address", _xlfn.XLOOKUP($B53,Errors!$A:$A,Errors!M:M)))</f>
        <v>#[VRS_RobotData.xlsx]Errors!$M$53</v>
      </c>
      <c r="M53" t="str">
        <f>_xlfn.XLOOKUP($B53,Errors!$A:$A,Errors!O:O)</f>
        <v>0x1060101</v>
      </c>
      <c r="N53" t="str">
        <f>_xlfn.XLOOKUP($M53,'Error-codes'!$A:$A,'Error-codes'!B:B)</f>
        <v>vision error</v>
      </c>
      <c r="O53" s="42">
        <f>_xlfn.XLOOKUP($B53,Errors!$A:$A,Errors!R:R)</f>
        <v>0</v>
      </c>
    </row>
    <row r="54" spans="1:15" hidden="1">
      <c r="A54">
        <v>53</v>
      </c>
      <c r="B54" s="1" t="s">
        <v>194</v>
      </c>
      <c r="C54" t="str">
        <f>_xlfn.XLOOKUP(_xlfn.XLOOKUP(B54,Errors!A:A,Errors!B:B),Robots!C:C,Robots!D:D)</f>
        <v>LumionFix 023</v>
      </c>
      <c r="D54" t="str">
        <f>_xlfn.XLOOKUP($B54,Errors!$A:$A,Errors!D:D)</f>
        <v>a7e9993d-d4f0-4031-a375-8bc91a803032</v>
      </c>
      <c r="E54" s="42" t="str">
        <f>_xlfn.XLOOKUP($B54,Errors!$A:$A,Errors!E:E)</f>
        <v>failed</v>
      </c>
      <c r="F54" t="str">
        <f>_xlfn.XLOOKUP($B54,Errors!$A:$A,Errors!K:K)</f>
        <v>Fatal</v>
      </c>
      <c r="G54" s="43">
        <f>_xlfn.XLOOKUP($B54,Errors!$A:$A,Errors!F:F)</f>
        <v>44796</v>
      </c>
      <c r="H54" s="44">
        <f>_xlfn.XLOOKUP($B54,Errors!$A:$A,Errors!H:H)</f>
        <v>0.8743981481481482</v>
      </c>
      <c r="I54">
        <f>_xlfn.XLOOKUP($D54,NimbusTreatments!B:B,NimbusTreatments!G:G)</f>
        <v>68</v>
      </c>
      <c r="J54">
        <f>_xlfn.XLOOKUP($D54,NimbusTreatments!$B:$B,NimbusTreatments!H:H)</f>
        <v>44</v>
      </c>
      <c r="K54" t="str">
        <f>_xlfn.XLOOKUP($B54,Errors!$A:$A,Errors!L:L)</f>
        <v>left_lane3604</v>
      </c>
      <c r="L54" s="45" t="str" cm="1">
        <f t="array" aca="1" ref="L54" ca="1">HYPERLINK("#" &amp; CELL("address", _xlfn.XLOOKUP($B54,Errors!$A:$A,Errors!M:M)))</f>
        <v>#[VRS_RobotData.xlsx]Errors!$M$54</v>
      </c>
      <c r="M54" t="str">
        <f>_xlfn.XLOOKUP($B54,Errors!$A:$A,Errors!O:O)</f>
        <v>0x1040103</v>
      </c>
      <c r="N54" t="str">
        <f>_xlfn.XLOOKUP($M54,'Error-codes'!$A:$A,'Error-codes'!B:B)</f>
        <v>end of lane wall sensor error</v>
      </c>
      <c r="O54" s="42">
        <f>_xlfn.XLOOKUP($B54,Errors!$A:$A,Errors!R:R)</f>
        <v>0</v>
      </c>
    </row>
    <row r="55" spans="1:15" hidden="1">
      <c r="A55">
        <v>54</v>
      </c>
      <c r="B55" s="7" t="s">
        <v>198</v>
      </c>
      <c r="C55" t="str">
        <f>_xlfn.XLOOKUP(_xlfn.XLOOKUP(B55,Errors!A:A,Errors!B:B),Robots!C:C,Robots!D:D)</f>
        <v>LumionFix 023</v>
      </c>
      <c r="D55" t="str">
        <f>_xlfn.XLOOKUP($B55,Errors!$A:$A,Errors!D:D)</f>
        <v>a7e9993d-d4f0-4031-a375-8bc91a803032</v>
      </c>
      <c r="E55" s="42" t="str">
        <f>_xlfn.XLOOKUP($B55,Errors!$A:$A,Errors!E:E)</f>
        <v>failed</v>
      </c>
      <c r="F55" t="str">
        <f>_xlfn.XLOOKUP($B55,Errors!$A:$A,Errors!K:K)</f>
        <v>Recovery</v>
      </c>
      <c r="G55" s="43">
        <f>_xlfn.XLOOKUP($B55,Errors!$A:$A,Errors!F:F)</f>
        <v>44797</v>
      </c>
      <c r="H55" s="44">
        <f>_xlfn.XLOOKUP($B55,Errors!$A:$A,Errors!H:H)</f>
        <v>6.9444444444444447E-4</v>
      </c>
      <c r="I55">
        <f>_xlfn.XLOOKUP($D55,NimbusTreatments!B:B,NimbusTreatments!G:G)</f>
        <v>68</v>
      </c>
      <c r="J55">
        <f>_xlfn.XLOOKUP($D55,NimbusTreatments!$B:$B,NimbusTreatments!H:H)</f>
        <v>44</v>
      </c>
      <c r="K55">
        <f>_xlfn.XLOOKUP($B55,Errors!$A:$A,Errors!L:L)</f>
        <v>0</v>
      </c>
      <c r="L55" s="45" t="str" cm="1">
        <f t="array" aca="1" ref="L55" ca="1">HYPERLINK("#" &amp; CELL("address", _xlfn.XLOOKUP($B55,Errors!$A:$A,Errors!M:M)))</f>
        <v>#[VRS_RobotData.xlsx]Errors!$M$55</v>
      </c>
      <c r="M55" t="str">
        <f>_xlfn.XLOOKUP($B55,Errors!$A:$A,Errors!O:O)</f>
        <v>-</v>
      </c>
      <c r="N55" t="e">
        <f>_xlfn.XLOOKUP($M55,'Error-codes'!$A:$A,'Error-codes'!B:B)</f>
        <v>#N/A</v>
      </c>
      <c r="O55" s="42">
        <f>_xlfn.XLOOKUP($B55,Errors!$A:$A,Errors!R:R)</f>
        <v>0</v>
      </c>
    </row>
    <row r="56" spans="1:15">
      <c r="A56">
        <v>55</v>
      </c>
      <c r="B56" s="1" t="s">
        <v>200</v>
      </c>
      <c r="C56" t="str">
        <f>_xlfn.XLOOKUP(_xlfn.XLOOKUP(B56,Errors!A:A,Errors!B:B),Robots!C:C,Robots!D:D)</f>
        <v>LumionFix 024</v>
      </c>
      <c r="D56" t="str">
        <f>_xlfn.XLOOKUP($B56,Errors!$A:$A,Errors!D:D)</f>
        <v>4e2b29bb-9ded-44ec-96ee-a202345f1c70</v>
      </c>
      <c r="E56" s="42" t="str">
        <f>_xlfn.XLOOKUP($B56,Errors!$A:$A,Errors!E:E)</f>
        <v>failed</v>
      </c>
      <c r="F56" t="str">
        <f>_xlfn.XLOOKUP($B56,Errors!$A:$A,Errors!K:K)</f>
        <v>Fatal</v>
      </c>
      <c r="G56" s="43">
        <f>_xlfn.XLOOKUP($B56,Errors!$A:$A,Errors!F:F)</f>
        <v>44797</v>
      </c>
      <c r="H56" s="44">
        <f>_xlfn.XLOOKUP($B56,Errors!$A:$A,Errors!H:H)</f>
        <v>0.89819444444444441</v>
      </c>
      <c r="I56">
        <f>_xlfn.XLOOKUP($D56,NimbusTreatments!B:B,NimbusTreatments!G:G)</f>
        <v>76</v>
      </c>
      <c r="J56">
        <f>_xlfn.XLOOKUP($D56,NimbusTreatments!$B:$B,NimbusTreatments!H:H)</f>
        <v>64</v>
      </c>
      <c r="K56" t="str">
        <f>_xlfn.XLOOKUP($B56,Errors!$A:$A,Errors!L:L)</f>
        <v>left_lane3646</v>
      </c>
      <c r="L56" s="45" t="str" cm="1">
        <f t="array" aca="1" ref="L56" ca="1">HYPERLINK("#" &amp; CELL("address", _xlfn.XLOOKUP($B56,Errors!$A:$A,Errors!M:M)))</f>
        <v>#[VRS_RobotData.xlsx]Errors!$M$56</v>
      </c>
      <c r="M56" t="str">
        <f>_xlfn.XLOOKUP($B56,Errors!$A:$A,Errors!O:O)</f>
        <v>0x1040103</v>
      </c>
      <c r="N56" t="str">
        <f>_xlfn.XLOOKUP($M56,'Error-codes'!$A:$A,'Error-codes'!B:B)</f>
        <v>end of lane wall sensor error</v>
      </c>
      <c r="O56" s="42">
        <f>_xlfn.XLOOKUP($B56,Errors!$A:$A,Errors!R:R)</f>
        <v>0</v>
      </c>
    </row>
    <row r="57" spans="1:15">
      <c r="A57">
        <v>56</v>
      </c>
      <c r="B57" s="7" t="s">
        <v>203</v>
      </c>
      <c r="C57" t="str">
        <f>_xlfn.XLOOKUP(_xlfn.XLOOKUP(B57,Errors!A:A,Errors!B:B),Robots!C:C,Robots!D:D)</f>
        <v>LumionFix 024</v>
      </c>
      <c r="D57" t="str">
        <f>_xlfn.XLOOKUP($B57,Errors!$A:$A,Errors!D:D)</f>
        <v>ec10c3f2-f0ad-46cf-8e79-be853878dc16</v>
      </c>
      <c r="E57" s="42" t="str">
        <f>_xlfn.XLOOKUP($B57,Errors!$A:$A,Errors!E:E)</f>
        <v>failed</v>
      </c>
      <c r="F57" t="str">
        <f>_xlfn.XLOOKUP($B57,Errors!$A:$A,Errors!K:K)</f>
        <v>Fatal</v>
      </c>
      <c r="G57" s="43">
        <f>_xlfn.XLOOKUP($B57,Errors!$A:$A,Errors!F:F)</f>
        <v>44798</v>
      </c>
      <c r="H57" s="44">
        <f>_xlfn.XLOOKUP($B57,Errors!$A:$A,Errors!H:H)</f>
        <v>0.15259259259259259</v>
      </c>
      <c r="I57">
        <f>_xlfn.XLOOKUP($D57,NimbusTreatments!B:B,NimbusTreatments!G:G)</f>
        <v>139</v>
      </c>
      <c r="J57">
        <f>_xlfn.XLOOKUP($D57,NimbusTreatments!$B:$B,NimbusTreatments!H:H)</f>
        <v>81</v>
      </c>
      <c r="K57" t="str">
        <f>_xlfn.XLOOKUP($B57,Errors!$A:$A,Errors!L:L)</f>
        <v>left_lane3306</v>
      </c>
      <c r="L57" s="45" t="str" cm="1">
        <f t="array" aca="1" ref="L57" ca="1">HYPERLINK("#" &amp; CELL("address", _xlfn.XLOOKUP($B57,Errors!$A:$A,Errors!M:M)))</f>
        <v>#[VRS_RobotData.xlsx]Errors!$M$57</v>
      </c>
      <c r="M57" t="str">
        <f>_xlfn.XLOOKUP($B57,Errors!$A:$A,Errors!O:O)</f>
        <v>0x1060009</v>
      </c>
      <c r="N57" t="str">
        <f>_xlfn.XLOOKUP($M57,'Error-codes'!$A:$A,'Error-codes'!B:B)</f>
        <v>motor drive: DRV8353 FAULT</v>
      </c>
      <c r="O57" s="42">
        <f>_xlfn.XLOOKUP($B57,Errors!$A:$A,Errors!R:R)</f>
        <v>0</v>
      </c>
    </row>
    <row r="58" spans="1:15" hidden="1">
      <c r="A58">
        <v>57</v>
      </c>
      <c r="B58" s="1" t="s">
        <v>207</v>
      </c>
      <c r="C58" t="str">
        <f>_xlfn.XLOOKUP(_xlfn.XLOOKUP(B58,Errors!A:A,Errors!B:B),Robots!C:C,Robots!D:D)</f>
        <v>LumionFix 023</v>
      </c>
      <c r="D58" t="str">
        <f>_xlfn.XLOOKUP($B58,Errors!$A:$A,Errors!D:D)</f>
        <v>430eb13e-80f0-41fd-b902-258f0566fe02</v>
      </c>
      <c r="E58" s="42" t="str">
        <f>_xlfn.XLOOKUP($B58,Errors!$A:$A,Errors!E:E)</f>
        <v>failed</v>
      </c>
      <c r="F58" t="str">
        <f>_xlfn.XLOOKUP($B58,Errors!$A:$A,Errors!K:K)</f>
        <v>Fatal</v>
      </c>
      <c r="G58" s="43">
        <f>_xlfn.XLOOKUP($B58,Errors!$A:$A,Errors!F:F)</f>
        <v>44798</v>
      </c>
      <c r="H58" s="44">
        <f>_xlfn.XLOOKUP($B58,Errors!$A:$A,Errors!H:H)</f>
        <v>0.15656250000000002</v>
      </c>
      <c r="I58">
        <f>_xlfn.XLOOKUP($D58,NimbusTreatments!B:B,NimbusTreatments!G:G)</f>
        <v>145</v>
      </c>
      <c r="J58">
        <f>_xlfn.XLOOKUP($D58,NimbusTreatments!$B:$B,NimbusTreatments!H:H)</f>
        <v>87</v>
      </c>
      <c r="K58" t="str">
        <f>_xlfn.XLOOKUP($B58,Errors!$A:$A,Errors!L:L)</f>
        <v>left_lane3630</v>
      </c>
      <c r="L58" s="45" t="str" cm="1">
        <f t="array" aca="1" ref="L58" ca="1">HYPERLINK("#" &amp; CELL("address", _xlfn.XLOOKUP($B58,Errors!$A:$A,Errors!M:M)))</f>
        <v>#[VRS_RobotData.xlsx]Errors!$M$58</v>
      </c>
      <c r="M58" t="str">
        <f>_xlfn.XLOOKUP($B58,Errors!$A:$A,Errors!O:O)</f>
        <v>0x1060002</v>
      </c>
      <c r="N58" t="str">
        <f>_xlfn.XLOOKUP($M58,'Error-codes'!$A:$A,'Error-codes'!B:B)</f>
        <v>motor drive: UNDER VOLTAGE</v>
      </c>
      <c r="O58" s="42">
        <f>_xlfn.XLOOKUP($B58,Errors!$A:$A,Errors!R:R)</f>
        <v>0</v>
      </c>
    </row>
    <row r="59" spans="1:15" hidden="1">
      <c r="A59">
        <v>58</v>
      </c>
      <c r="B59" s="7" t="s">
        <v>211</v>
      </c>
      <c r="C59" t="str">
        <f>_xlfn.XLOOKUP(_xlfn.XLOOKUP(B59,Errors!A:A,Errors!B:B),Robots!C:C,Robots!D:D)</f>
        <v>LumionFix 023</v>
      </c>
      <c r="D59" t="str">
        <f>_xlfn.XLOOKUP($B59,Errors!$A:$A,Errors!D:D)</f>
        <v>744c886a-0477-43e2-9cfd-118dd9821c66</v>
      </c>
      <c r="E59" s="42" t="str">
        <f>_xlfn.XLOOKUP($B59,Errors!$A:$A,Errors!E:E)</f>
        <v>failed</v>
      </c>
      <c r="F59" t="str">
        <f>_xlfn.XLOOKUP($B59,Errors!$A:$A,Errors!K:K)</f>
        <v>Fatal</v>
      </c>
      <c r="G59" s="43">
        <f>_xlfn.XLOOKUP($B59,Errors!$A:$A,Errors!F:F)</f>
        <v>44798</v>
      </c>
      <c r="H59" s="44">
        <f>_xlfn.XLOOKUP($B59,Errors!$A:$A,Errors!H:H)</f>
        <v>0.58217592592592593</v>
      </c>
      <c r="I59">
        <f>_xlfn.XLOOKUP($D59,NimbusTreatments!B:B,NimbusTreatments!G:G)</f>
        <v>3</v>
      </c>
      <c r="J59">
        <f>_xlfn.XLOOKUP($D59,NimbusTreatments!$B:$B,NimbusTreatments!H:H)</f>
        <v>0</v>
      </c>
      <c r="K59" t="str">
        <f>_xlfn.XLOOKUP($B59,Errors!$A:$A,Errors!L:L)</f>
        <v>right_3155</v>
      </c>
      <c r="L59" s="45" t="str" cm="1">
        <f t="array" aca="1" ref="L59" ca="1">HYPERLINK("#" &amp; CELL("address", _xlfn.XLOOKUP($B59,Errors!$A:$A,Errors!M:M)))</f>
        <v>#[VRS_RobotData.xlsx]Errors!$M$59</v>
      </c>
      <c r="M59" t="str">
        <f>_xlfn.XLOOKUP($B59,Errors!$A:$A,Errors!O:O)</f>
        <v>0x1040103</v>
      </c>
      <c r="N59" t="str">
        <f>_xlfn.XLOOKUP($M59,'Error-codes'!$A:$A,'Error-codes'!B:B)</f>
        <v>end of lane wall sensor error</v>
      </c>
      <c r="O59" s="42">
        <f>_xlfn.XLOOKUP($B59,Errors!$A:$A,Errors!R:R)</f>
        <v>0</v>
      </c>
    </row>
    <row r="60" spans="1:15" hidden="1">
      <c r="A60">
        <v>59</v>
      </c>
      <c r="B60" s="1" t="s">
        <v>214</v>
      </c>
      <c r="C60" t="str">
        <f>_xlfn.XLOOKUP(_xlfn.XLOOKUP(B60,Errors!A:A,Errors!B:B),Robots!C:C,Robots!D:D)</f>
        <v>LumionFix 023</v>
      </c>
      <c r="D60" t="str">
        <f>_xlfn.XLOOKUP($B60,Errors!$A:$A,Errors!D:D)</f>
        <v>e67182ff-58bb-4b00-97fa-a1f27d00bee3</v>
      </c>
      <c r="E60" s="42" t="str">
        <f>_xlfn.XLOOKUP($B60,Errors!$A:$A,Errors!E:E)</f>
        <v>failed</v>
      </c>
      <c r="F60" t="str">
        <f>_xlfn.XLOOKUP($B60,Errors!$A:$A,Errors!K:K)</f>
        <v>Fatal</v>
      </c>
      <c r="G60" s="43">
        <f>_xlfn.XLOOKUP($B60,Errors!$A:$A,Errors!F:F)</f>
        <v>44798</v>
      </c>
      <c r="H60" s="44">
        <f>_xlfn.XLOOKUP($B60,Errors!$A:$A,Errors!H:H)</f>
        <v>0.58918981481481481</v>
      </c>
      <c r="I60">
        <f>_xlfn.XLOOKUP($D60,NimbusTreatments!B:B,NimbusTreatments!G:G)</f>
        <v>3</v>
      </c>
      <c r="J60">
        <f>_xlfn.XLOOKUP($D60,NimbusTreatments!$B:$B,NimbusTreatments!H:H)</f>
        <v>0</v>
      </c>
      <c r="K60" t="str">
        <f>_xlfn.XLOOKUP($B60,Errors!$A:$A,Errors!L:L)</f>
        <v>right_3155</v>
      </c>
      <c r="L60" s="45" t="str" cm="1">
        <f t="array" aca="1" ref="L60" ca="1">HYPERLINK("#" &amp; CELL("address", _xlfn.XLOOKUP($B60,Errors!$A:$A,Errors!M:M)))</f>
        <v>#[VRS_RobotData.xlsx]Errors!$M$60</v>
      </c>
      <c r="M60" t="str">
        <f>_xlfn.XLOOKUP($B60,Errors!$A:$A,Errors!O:O)</f>
        <v>0x1040103</v>
      </c>
      <c r="N60" t="str">
        <f>_xlfn.XLOOKUP($M60,'Error-codes'!$A:$A,'Error-codes'!B:B)</f>
        <v>end of lane wall sensor error</v>
      </c>
      <c r="O60" s="42">
        <f>_xlfn.XLOOKUP($B60,Errors!$A:$A,Errors!R:R)</f>
        <v>0</v>
      </c>
    </row>
    <row r="61" spans="1:15" hidden="1">
      <c r="A61">
        <v>60</v>
      </c>
      <c r="B61" s="7" t="s">
        <v>217</v>
      </c>
      <c r="C61" t="str">
        <f>_xlfn.XLOOKUP(_xlfn.XLOOKUP(B61,Errors!A:A,Errors!B:B),Robots!C:C,Robots!D:D)</f>
        <v>LumionFix 023</v>
      </c>
      <c r="D61" t="str">
        <f>_xlfn.XLOOKUP($B61,Errors!$A:$A,Errors!D:D)</f>
        <v>8fccdecd-6621-4178-8620-0c8a0662774a</v>
      </c>
      <c r="E61" s="42" t="str">
        <f>_xlfn.XLOOKUP($B61,Errors!$A:$A,Errors!E:E)</f>
        <v>failed</v>
      </c>
      <c r="F61" t="str">
        <f>_xlfn.XLOOKUP($B61,Errors!$A:$A,Errors!K:K)</f>
        <v>Fatal</v>
      </c>
      <c r="G61" s="43">
        <f>_xlfn.XLOOKUP($B61,Errors!$A:$A,Errors!F:F)</f>
        <v>44798</v>
      </c>
      <c r="H61" s="44">
        <f>_xlfn.XLOOKUP($B61,Errors!$A:$A,Errors!H:H)</f>
        <v>0.60269675925925925</v>
      </c>
      <c r="I61">
        <f>_xlfn.XLOOKUP($D61,NimbusTreatments!B:B,NimbusTreatments!G:G)</f>
        <v>4</v>
      </c>
      <c r="J61">
        <f>_xlfn.XLOOKUP($D61,NimbusTreatments!$B:$B,NimbusTreatments!H:H)</f>
        <v>0</v>
      </c>
      <c r="K61" t="str">
        <f>_xlfn.XLOOKUP($B61,Errors!$A:$A,Errors!L:L)</f>
        <v>right_3155</v>
      </c>
      <c r="L61" s="45" t="str" cm="1">
        <f t="array" aca="1" ref="L61" ca="1">HYPERLINK("#" &amp; CELL("address", _xlfn.XLOOKUP($B61,Errors!$A:$A,Errors!M:M)))</f>
        <v>#[VRS_RobotData.xlsx]Errors!$M$61</v>
      </c>
      <c r="M61" t="str">
        <f>_xlfn.XLOOKUP($B61,Errors!$A:$A,Errors!O:O)</f>
        <v>0x1040103</v>
      </c>
      <c r="N61" t="str">
        <f>_xlfn.XLOOKUP($M61,'Error-codes'!$A:$A,'Error-codes'!B:B)</f>
        <v>end of lane wall sensor error</v>
      </c>
      <c r="O61" s="42">
        <f>_xlfn.XLOOKUP($B61,Errors!$A:$A,Errors!R:R)</f>
        <v>0</v>
      </c>
    </row>
    <row r="62" spans="1:15" hidden="1">
      <c r="A62">
        <v>61</v>
      </c>
      <c r="B62" s="1" t="s">
        <v>219</v>
      </c>
      <c r="C62" t="str">
        <f>_xlfn.XLOOKUP(_xlfn.XLOOKUP(B62,Errors!A:A,Errors!B:B),Robots!C:C,Robots!D:D)</f>
        <v>LumionFix 023</v>
      </c>
      <c r="D62" t="str">
        <f>_xlfn.XLOOKUP($B62,Errors!$A:$A,Errors!D:D)</f>
        <v>784da27b-2402-4333-a372-c7cb0deb29c5</v>
      </c>
      <c r="E62" s="42" t="str">
        <f>_xlfn.XLOOKUP($B62,Errors!$A:$A,Errors!E:E)</f>
        <v>failed</v>
      </c>
      <c r="F62" t="str">
        <f>_xlfn.XLOOKUP($B62,Errors!$A:$A,Errors!K:K)</f>
        <v>Fatal</v>
      </c>
      <c r="G62" s="43">
        <f>_xlfn.XLOOKUP($B62,Errors!$A:$A,Errors!F:F)</f>
        <v>44798</v>
      </c>
      <c r="H62" s="44">
        <f>_xlfn.XLOOKUP($B62,Errors!$A:$A,Errors!H:H)</f>
        <v>0.6199189814814815</v>
      </c>
      <c r="I62">
        <f>_xlfn.XLOOKUP($D62,NimbusTreatments!B:B,NimbusTreatments!G:G)</f>
        <v>5</v>
      </c>
      <c r="J62">
        <f>_xlfn.XLOOKUP($D62,NimbusTreatments!$B:$B,NimbusTreatments!H:H)</f>
        <v>0</v>
      </c>
      <c r="K62" t="str">
        <f>_xlfn.XLOOKUP($B62,Errors!$A:$A,Errors!L:L)</f>
        <v>right_3155</v>
      </c>
      <c r="L62" s="45" t="str" cm="1">
        <f t="array" aca="1" ref="L62" ca="1">HYPERLINK("#" &amp; CELL("address", _xlfn.XLOOKUP($B62,Errors!$A:$A,Errors!M:M)))</f>
        <v>#[VRS_RobotData.xlsx]Errors!$M$62</v>
      </c>
      <c r="M62" t="str">
        <f>_xlfn.XLOOKUP($B62,Errors!$A:$A,Errors!O:O)</f>
        <v>0x1040103</v>
      </c>
      <c r="N62" t="str">
        <f>_xlfn.XLOOKUP($M62,'Error-codes'!$A:$A,'Error-codes'!B:B)</f>
        <v>end of lane wall sensor error</v>
      </c>
      <c r="O62" s="42">
        <f>_xlfn.XLOOKUP($B62,Errors!$A:$A,Errors!R:R)</f>
        <v>0</v>
      </c>
    </row>
    <row r="63" spans="1:15" hidden="1">
      <c r="A63">
        <v>62</v>
      </c>
      <c r="B63" s="7" t="s">
        <v>221</v>
      </c>
      <c r="C63" t="str">
        <f>_xlfn.XLOOKUP(_xlfn.XLOOKUP(B63,Errors!A:A,Errors!B:B),Robots!C:C,Robots!D:D)</f>
        <v>LumionFix 023</v>
      </c>
      <c r="D63" t="str">
        <f>_xlfn.XLOOKUP($B63,Errors!$A:$A,Errors!D:D)</f>
        <v>8e90913d-63fd-4cf4-94fd-5a64c64c0c7d</v>
      </c>
      <c r="E63" s="42" t="str">
        <f>_xlfn.XLOOKUP($B63,Errors!$A:$A,Errors!E:E)</f>
        <v>failed</v>
      </c>
      <c r="F63" t="str">
        <f>_xlfn.XLOOKUP($B63,Errors!$A:$A,Errors!K:K)</f>
        <v>Fatal</v>
      </c>
      <c r="G63" s="43">
        <f>_xlfn.XLOOKUP($B63,Errors!$A:$A,Errors!F:F)</f>
        <v>44798</v>
      </c>
      <c r="H63" s="44">
        <f>_xlfn.XLOOKUP($B63,Errors!$A:$A,Errors!H:H)</f>
        <v>0.62921296296296292</v>
      </c>
      <c r="I63">
        <f>_xlfn.XLOOKUP($D63,NimbusTreatments!B:B,NimbusTreatments!G:G)</f>
        <v>4</v>
      </c>
      <c r="J63">
        <f>_xlfn.XLOOKUP($D63,NimbusTreatments!$B:$B,NimbusTreatments!H:H)</f>
        <v>0</v>
      </c>
      <c r="K63" t="str">
        <f>_xlfn.XLOOKUP($B63,Errors!$A:$A,Errors!L:L)</f>
        <v>right_3155</v>
      </c>
      <c r="L63" s="45" t="str" cm="1">
        <f t="array" aca="1" ref="L63" ca="1">HYPERLINK("#" &amp; CELL("address", _xlfn.XLOOKUP($B63,Errors!$A:$A,Errors!M:M)))</f>
        <v>#[VRS_RobotData.xlsx]Errors!$M$63</v>
      </c>
      <c r="M63" t="str">
        <f>_xlfn.XLOOKUP($B63,Errors!$A:$A,Errors!O:O)</f>
        <v>0x1040103</v>
      </c>
      <c r="N63" t="str">
        <f>_xlfn.XLOOKUP($M63,'Error-codes'!$A:$A,'Error-codes'!B:B)</f>
        <v>end of lane wall sensor error</v>
      </c>
      <c r="O63" s="42">
        <f>_xlfn.XLOOKUP($B63,Errors!$A:$A,Errors!R:R)</f>
        <v>0</v>
      </c>
    </row>
    <row r="64" spans="1:15">
      <c r="A64">
        <v>63</v>
      </c>
      <c r="B64" s="1" t="s">
        <v>223</v>
      </c>
      <c r="C64" t="str">
        <f>_xlfn.XLOOKUP(_xlfn.XLOOKUP(B64,Errors!A:A,Errors!B:B),Robots!C:C,Robots!D:D)</f>
        <v>LumionFix 024</v>
      </c>
      <c r="D64" t="str">
        <f>_xlfn.XLOOKUP($B64,Errors!$A:$A,Errors!D:D)</f>
        <v>3a8ecf6a-57d8-43ab-b01a-b404671915eb</v>
      </c>
      <c r="E64" s="42" t="str">
        <f>_xlfn.XLOOKUP($B64,Errors!$A:$A,Errors!E:E)</f>
        <v>failed</v>
      </c>
      <c r="F64" t="str">
        <f>_xlfn.XLOOKUP($B64,Errors!$A:$A,Errors!K:K)</f>
        <v>Fatal</v>
      </c>
      <c r="G64" s="43">
        <f>_xlfn.XLOOKUP($B64,Errors!$A:$A,Errors!F:F)</f>
        <v>44798</v>
      </c>
      <c r="H64" s="44">
        <f>_xlfn.XLOOKUP($B64,Errors!$A:$A,Errors!H:H)</f>
        <v>0.64451388888888894</v>
      </c>
      <c r="I64">
        <f>_xlfn.XLOOKUP($D64,NimbusTreatments!B:B,NimbusTreatments!G:G)</f>
        <v>36</v>
      </c>
      <c r="J64">
        <f>_xlfn.XLOOKUP($D64,NimbusTreatments!$B:$B,NimbusTreatments!H:H)</f>
        <v>0</v>
      </c>
      <c r="K64" t="str">
        <f>_xlfn.XLOOKUP($B64,Errors!$A:$A,Errors!L:L)</f>
        <v>right_3155</v>
      </c>
      <c r="L64" s="45" t="str" cm="1">
        <f t="array" aca="1" ref="L64" ca="1">HYPERLINK("#" &amp; CELL("address", _xlfn.XLOOKUP($B64,Errors!$A:$A,Errors!M:M)))</f>
        <v>#[VRS_RobotData.xlsx]Errors!$M$64</v>
      </c>
      <c r="M64" t="str">
        <f>_xlfn.XLOOKUP($B64,Errors!$A:$A,Errors!O:O)</f>
        <v>0x1040102</v>
      </c>
      <c r="N64" t="str">
        <f>_xlfn.XLOOKUP($M64,'Error-codes'!$A:$A,'Error-codes'!B:B)</f>
        <v>inductive sensor error</v>
      </c>
      <c r="O64" s="42">
        <f>_xlfn.XLOOKUP($B64,Errors!$A:$A,Errors!R:R)</f>
        <v>0</v>
      </c>
    </row>
    <row r="65" spans="1:18">
      <c r="A65">
        <v>64</v>
      </c>
      <c r="B65" s="7" t="s">
        <v>225</v>
      </c>
      <c r="C65" t="str">
        <f>_xlfn.XLOOKUP(_xlfn.XLOOKUP(B65,Errors!A:A,Errors!B:B),Robots!C:C,Robots!D:D)</f>
        <v>LumionFix 024</v>
      </c>
      <c r="D65" t="str">
        <f>_xlfn.XLOOKUP($B65,Errors!$A:$A,Errors!D:D)</f>
        <v>c6f31cb3-72dc-4dcc-b477-f0ba3a4712af</v>
      </c>
      <c r="E65" s="42" t="str">
        <f>_xlfn.XLOOKUP($B65,Errors!$A:$A,Errors!E:E)</f>
        <v>failed</v>
      </c>
      <c r="F65" t="str">
        <f>_xlfn.XLOOKUP($B65,Errors!$A:$A,Errors!K:K)</f>
        <v>Fatal</v>
      </c>
      <c r="G65" s="43">
        <f>_xlfn.XLOOKUP($B65,Errors!$A:$A,Errors!F:F)</f>
        <v>44798</v>
      </c>
      <c r="H65" s="44">
        <f>_xlfn.XLOOKUP($B65,Errors!$A:$A,Errors!H:H)</f>
        <v>0.65274305555555556</v>
      </c>
      <c r="I65">
        <f>_xlfn.XLOOKUP($D65,NimbusTreatments!B:B,NimbusTreatments!G:G)</f>
        <v>25</v>
      </c>
      <c r="J65">
        <f>_xlfn.XLOOKUP($D65,NimbusTreatments!$B:$B,NimbusTreatments!H:H)</f>
        <v>0</v>
      </c>
      <c r="K65" t="str">
        <f>_xlfn.XLOOKUP($B65,Errors!$A:$A,Errors!L:L)</f>
        <v>right_3155</v>
      </c>
      <c r="L65" s="45" t="str" cm="1">
        <f t="array" aca="1" ref="L65" ca="1">HYPERLINK("#" &amp; CELL("address", _xlfn.XLOOKUP($B65,Errors!$A:$A,Errors!M:M)))</f>
        <v>#[VRS_RobotData.xlsx]Errors!$M$65</v>
      </c>
      <c r="M65" t="str">
        <f>_xlfn.XLOOKUP($B65,Errors!$A:$A,Errors!O:O)</f>
        <v>0x1040102</v>
      </c>
      <c r="N65" t="str">
        <f>_xlfn.XLOOKUP($M65,'Error-codes'!$A:$A,'Error-codes'!B:B)</f>
        <v>inductive sensor error</v>
      </c>
      <c r="O65" s="42">
        <f>_xlfn.XLOOKUP($B65,Errors!$A:$A,Errors!R:R)</f>
        <v>0</v>
      </c>
    </row>
    <row r="66" spans="1:18">
      <c r="A66">
        <v>65</v>
      </c>
      <c r="B66" s="1" t="s">
        <v>227</v>
      </c>
      <c r="C66" t="str">
        <f>_xlfn.XLOOKUP(_xlfn.XLOOKUP(B66,Errors!A:A,Errors!B:B),Robots!C:C,Robots!D:D)</f>
        <v>LumionFix 024</v>
      </c>
      <c r="D66" t="str">
        <f>_xlfn.XLOOKUP($B66,Errors!$A:$A,Errors!D:D)</f>
        <v>bec95e06-2d3b-4fbc-a9ee-0096d35f3620</v>
      </c>
      <c r="E66" s="42" t="str">
        <f>_xlfn.XLOOKUP($B66,Errors!$A:$A,Errors!E:E)</f>
        <v>failed</v>
      </c>
      <c r="F66" t="str">
        <f>_xlfn.XLOOKUP($B66,Errors!$A:$A,Errors!K:K)</f>
        <v>Recovery</v>
      </c>
      <c r="G66" s="43">
        <f>_xlfn.XLOOKUP($B66,Errors!$A:$A,Errors!F:F)</f>
        <v>44798</v>
      </c>
      <c r="H66" s="44">
        <f>_xlfn.XLOOKUP($B66,Errors!$A:$A,Errors!H:H)</f>
        <v>0.67277777777777781</v>
      </c>
      <c r="I66">
        <f>_xlfn.XLOOKUP($D66,NimbusTreatments!B:B,NimbusTreatments!G:G)</f>
        <v>7</v>
      </c>
      <c r="J66">
        <f>_xlfn.XLOOKUP($D66,NimbusTreatments!$B:$B,NimbusTreatments!H:H)</f>
        <v>0</v>
      </c>
      <c r="K66">
        <f>_xlfn.XLOOKUP($B66,Errors!$A:$A,Errors!L:L)</f>
        <v>0</v>
      </c>
      <c r="L66" s="45" t="str" cm="1">
        <f t="array" aca="1" ref="L66" ca="1">HYPERLINK("#" &amp; CELL("address", _xlfn.XLOOKUP($B66,Errors!$A:$A,Errors!M:M)))</f>
        <v>#[VRS_RobotData.xlsx]Errors!$M$66</v>
      </c>
      <c r="M66" t="str">
        <f>_xlfn.XLOOKUP($B66,Errors!$A:$A,Errors!O:O)</f>
        <v>0x1040102</v>
      </c>
      <c r="N66" t="str">
        <f>_xlfn.XLOOKUP($M66,'Error-codes'!$A:$A,'Error-codes'!B:B)</f>
        <v>inductive sensor error</v>
      </c>
      <c r="O66" s="42">
        <f>_xlfn.XLOOKUP($B66,Errors!$A:$A,Errors!R:R)</f>
        <v>0</v>
      </c>
    </row>
    <row r="67" spans="1:18">
      <c r="A67">
        <v>66</v>
      </c>
      <c r="B67" s="7" t="s">
        <v>230</v>
      </c>
      <c r="C67" t="str">
        <f>_xlfn.XLOOKUP(_xlfn.XLOOKUP(B67,Errors!A:A,Errors!B:B),Robots!C:C,Robots!D:D)</f>
        <v>LumionFix 024</v>
      </c>
      <c r="D67" t="str">
        <f>_xlfn.XLOOKUP($B67,Errors!$A:$A,Errors!D:D)</f>
        <v>bec95e06-2d3b-4fbc-a9ee-0096d35f3620</v>
      </c>
      <c r="E67" s="42" t="str">
        <f>_xlfn.XLOOKUP($B67,Errors!$A:$A,Errors!E:E)</f>
        <v>failed</v>
      </c>
      <c r="F67" t="str">
        <f>_xlfn.XLOOKUP($B67,Errors!$A:$A,Errors!K:K)</f>
        <v>Fatal</v>
      </c>
      <c r="G67" s="43">
        <f>_xlfn.XLOOKUP($B67,Errors!$A:$A,Errors!F:F)</f>
        <v>44798</v>
      </c>
      <c r="H67" s="44">
        <f>_xlfn.XLOOKUP($B67,Errors!$A:$A,Errors!H:H)</f>
        <v>0.67363425925925924</v>
      </c>
      <c r="I67">
        <f>_xlfn.XLOOKUP($D67,NimbusTreatments!B:B,NimbusTreatments!G:G)</f>
        <v>7</v>
      </c>
      <c r="J67">
        <f>_xlfn.XLOOKUP($D67,NimbusTreatments!$B:$B,NimbusTreatments!H:H)</f>
        <v>0</v>
      </c>
      <c r="K67" t="str">
        <f>_xlfn.XLOOKUP($B67,Errors!$A:$A,Errors!L:L)</f>
        <v>right_3157</v>
      </c>
      <c r="L67" s="45" t="str" cm="1">
        <f t="array" aca="1" ref="L67" ca="1">HYPERLINK("#" &amp; CELL("address", _xlfn.XLOOKUP($B67,Errors!$A:$A,Errors!M:M)))</f>
        <v>#[VRS_RobotData.xlsx]Errors!$M$67</v>
      </c>
      <c r="M67" t="str">
        <f>_xlfn.XLOOKUP($B67,Errors!$A:$A,Errors!O:O)</f>
        <v>0x1040102</v>
      </c>
      <c r="N67" t="str">
        <f>_xlfn.XLOOKUP($M67,'Error-codes'!$A:$A,'Error-codes'!B:B)</f>
        <v>inductive sensor error</v>
      </c>
      <c r="O67" s="42">
        <f>_xlfn.XLOOKUP($B67,Errors!$A:$A,Errors!R:R)</f>
        <v>0</v>
      </c>
    </row>
    <row r="68" spans="1:18">
      <c r="A68">
        <v>67</v>
      </c>
      <c r="B68" s="1" t="s">
        <v>232</v>
      </c>
      <c r="C68" t="str">
        <f>_xlfn.XLOOKUP(_xlfn.XLOOKUP(B68,Errors!A:A,Errors!B:B),Robots!C:C,Robots!D:D)</f>
        <v>LumionFix 024</v>
      </c>
      <c r="D68" t="str">
        <f>_xlfn.XLOOKUP($B68,Errors!$A:$A,Errors!D:D)</f>
        <v>c8daccf1-11b6-438e-8046-2410f6c8359f</v>
      </c>
      <c r="E68" s="42" t="str">
        <f>_xlfn.XLOOKUP($B68,Errors!$A:$A,Errors!E:E)</f>
        <v>failed</v>
      </c>
      <c r="F68" t="str">
        <f>_xlfn.XLOOKUP($B68,Errors!$A:$A,Errors!K:K)</f>
        <v>Fatal</v>
      </c>
      <c r="G68" s="43">
        <f>_xlfn.XLOOKUP($B68,Errors!$A:$A,Errors!F:F)</f>
        <v>44798</v>
      </c>
      <c r="H68" s="44">
        <f>_xlfn.XLOOKUP($B68,Errors!$A:$A,Errors!H:H)</f>
        <v>0.7537962962962963</v>
      </c>
      <c r="I68">
        <f>_xlfn.XLOOKUP($D68,NimbusTreatments!B:B,NimbusTreatments!G:G)</f>
        <v>152</v>
      </c>
      <c r="J68">
        <f>_xlfn.XLOOKUP($D68,NimbusTreatments!$B:$B,NimbusTreatments!H:H)</f>
        <v>11</v>
      </c>
      <c r="K68" t="str">
        <f>_xlfn.XLOOKUP($B68,Errors!$A:$A,Errors!L:L)</f>
        <v>right_3171</v>
      </c>
      <c r="L68" s="45" t="str" cm="1">
        <f t="array" aca="1" ref="L68" ca="1">HYPERLINK("#" &amp; CELL("address", _xlfn.XLOOKUP($B68,Errors!$A:$A,Errors!M:M)))</f>
        <v>#[VRS_RobotData.xlsx]Errors!$M$68</v>
      </c>
      <c r="M68" t="str">
        <f>_xlfn.XLOOKUP($B68,Errors!$A:$A,Errors!O:O)</f>
        <v>0x1040102</v>
      </c>
      <c r="N68" t="str">
        <f>_xlfn.XLOOKUP($M68,'Error-codes'!$A:$A,'Error-codes'!B:B)</f>
        <v>inductive sensor error</v>
      </c>
      <c r="O68" s="42">
        <f>_xlfn.XLOOKUP($B68,Errors!$A:$A,Errors!R:R)</f>
        <v>0</v>
      </c>
    </row>
    <row r="69" spans="1:18">
      <c r="A69">
        <v>68</v>
      </c>
      <c r="B69" s="7" t="s">
        <v>235</v>
      </c>
      <c r="C69" t="str">
        <f>_xlfn.XLOOKUP(_xlfn.XLOOKUP(B69,Errors!A:A,Errors!B:B),Robots!C:C,Robots!D:D)</f>
        <v>LumionFix 024</v>
      </c>
      <c r="D69" t="str">
        <f>_xlfn.XLOOKUP($B69,Errors!$A:$A,Errors!D:D)</f>
        <v>fd0ddb12-72f6-4fa1-a08d-899b154c8f2a</v>
      </c>
      <c r="E69" s="42" t="str">
        <f>_xlfn.XLOOKUP($B69,Errors!$A:$A,Errors!E:E)</f>
        <v>failed</v>
      </c>
      <c r="F69" t="str">
        <f>_xlfn.XLOOKUP($B69,Errors!$A:$A,Errors!K:K)</f>
        <v>Recovery</v>
      </c>
      <c r="G69" s="43">
        <f>_xlfn.XLOOKUP($B69,Errors!$A:$A,Errors!F:F)</f>
        <v>44798</v>
      </c>
      <c r="H69" s="44">
        <f>_xlfn.XLOOKUP($B69,Errors!$A:$A,Errors!H:H)</f>
        <v>0.90637731481481476</v>
      </c>
      <c r="I69">
        <f>_xlfn.XLOOKUP($D69,NimbusTreatments!B:B,NimbusTreatments!G:G)</f>
        <v>152</v>
      </c>
      <c r="J69">
        <f>_xlfn.XLOOKUP($D69,NimbusTreatments!$B:$B,NimbusTreatments!H:H)</f>
        <v>50</v>
      </c>
      <c r="K69">
        <f>_xlfn.XLOOKUP($B69,Errors!$A:$A,Errors!L:L)</f>
        <v>0</v>
      </c>
      <c r="L69" s="45" t="str" cm="1">
        <f t="array" aca="1" ref="L69" ca="1">HYPERLINK("#" &amp; CELL("address", _xlfn.XLOOKUP($B69,Errors!$A:$A,Errors!M:M)))</f>
        <v>#[VRS_RobotData.xlsx]Errors!$M$69</v>
      </c>
      <c r="M69" t="str">
        <f>_xlfn.XLOOKUP($B69,Errors!$A:$A,Errors!O:O)</f>
        <v>0x1040001</v>
      </c>
      <c r="N69" t="str">
        <f>_xlfn.XLOOKUP($M69,'Error-codes'!$A:$A,'Error-codes'!B:B)</f>
        <v>vehicle diverged too far from trajectory</v>
      </c>
      <c r="O69" s="42">
        <f>_xlfn.XLOOKUP($B69,Errors!$A:$A,Errors!R:R)</f>
        <v>0</v>
      </c>
    </row>
    <row r="70" spans="1:18">
      <c r="A70">
        <v>69</v>
      </c>
      <c r="B70" s="1" t="s">
        <v>237</v>
      </c>
      <c r="C70" t="str">
        <f>_xlfn.XLOOKUP(_xlfn.XLOOKUP(B70,Errors!A:A,Errors!B:B),Robots!C:C,Robots!D:D)</f>
        <v>LumionFix 024</v>
      </c>
      <c r="D70" t="str">
        <f>_xlfn.XLOOKUP($B70,Errors!$A:$A,Errors!D:D)</f>
        <v>fd0ddb12-72f6-4fa1-a08d-899b154c8f2a</v>
      </c>
      <c r="E70" s="42" t="str">
        <f>_xlfn.XLOOKUP($B70,Errors!$A:$A,Errors!E:E)</f>
        <v>failed</v>
      </c>
      <c r="F70" t="str">
        <f>_xlfn.XLOOKUP($B70,Errors!$A:$A,Errors!K:K)</f>
        <v>Recovery</v>
      </c>
      <c r="G70" s="43">
        <f>_xlfn.XLOOKUP($B70,Errors!$A:$A,Errors!F:F)</f>
        <v>44798</v>
      </c>
      <c r="H70" s="44">
        <f>_xlfn.XLOOKUP($B70,Errors!$A:$A,Errors!H:H)</f>
        <v>0.90748842592592593</v>
      </c>
      <c r="I70">
        <f>_xlfn.XLOOKUP($D70,NimbusTreatments!B:B,NimbusTreatments!G:G)</f>
        <v>152</v>
      </c>
      <c r="J70">
        <f>_xlfn.XLOOKUP($D70,NimbusTreatments!$B:$B,NimbusTreatments!H:H)</f>
        <v>50</v>
      </c>
      <c r="K70">
        <f>_xlfn.XLOOKUP($B70,Errors!$A:$A,Errors!L:L)</f>
        <v>0</v>
      </c>
      <c r="L70" s="45" t="str" cm="1">
        <f t="array" aca="1" ref="L70" ca="1">HYPERLINK("#" &amp; CELL("address", _xlfn.XLOOKUP($B70,Errors!$A:$A,Errors!M:M)))</f>
        <v>#[VRS_RobotData.xlsx]Errors!$M$70</v>
      </c>
      <c r="M70" t="str">
        <f>_xlfn.XLOOKUP($B70,Errors!$A:$A,Errors!O:O)</f>
        <v>0x1040102</v>
      </c>
      <c r="N70" t="str">
        <f>_xlfn.XLOOKUP($M70,'Error-codes'!$A:$A,'Error-codes'!B:B)</f>
        <v>inductive sensor error</v>
      </c>
      <c r="O70" s="42">
        <f>_xlfn.XLOOKUP($B70,Errors!$A:$A,Errors!R:R)</f>
        <v>0</v>
      </c>
    </row>
    <row r="71" spans="1:18">
      <c r="A71">
        <v>70</v>
      </c>
      <c r="B71" s="7" t="s">
        <v>239</v>
      </c>
      <c r="C71" t="str">
        <f>_xlfn.XLOOKUP(_xlfn.XLOOKUP(B71,Errors!A:A,Errors!B:B),Robots!C:C,Robots!D:D)</f>
        <v>LumionFix 024</v>
      </c>
      <c r="D71" t="str">
        <f>_xlfn.XLOOKUP($B71,Errors!$A:$A,Errors!D:D)</f>
        <v>fd0ddb12-72f6-4fa1-a08d-899b154c8f2a</v>
      </c>
      <c r="E71" s="42" t="str">
        <f>_xlfn.XLOOKUP($B71,Errors!$A:$A,Errors!E:E)</f>
        <v>failed</v>
      </c>
      <c r="F71" t="str">
        <f>_xlfn.XLOOKUP($B71,Errors!$A:$A,Errors!K:K)</f>
        <v>Fatal</v>
      </c>
      <c r="G71" s="43">
        <f>_xlfn.XLOOKUP($B71,Errors!$A:$A,Errors!F:F)</f>
        <v>44798</v>
      </c>
      <c r="H71" s="44">
        <f>_xlfn.XLOOKUP($B71,Errors!$A:$A,Errors!H:H)</f>
        <v>0.99075231481481474</v>
      </c>
      <c r="I71">
        <f>_xlfn.XLOOKUP($D71,NimbusTreatments!B:B,NimbusTreatments!G:G)</f>
        <v>152</v>
      </c>
      <c r="J71">
        <f>_xlfn.XLOOKUP($D71,NimbusTreatments!$B:$B,NimbusTreatments!H:H)</f>
        <v>50</v>
      </c>
      <c r="K71" t="str">
        <f>_xlfn.XLOOKUP($B71,Errors!$A:$A,Errors!L:L)</f>
        <v>right_3265</v>
      </c>
      <c r="L71" s="45" t="str" cm="1">
        <f t="array" aca="1" ref="L71" ca="1">HYPERLINK("#" &amp; CELL("address", _xlfn.XLOOKUP($B71,Errors!$A:$A,Errors!M:M)))</f>
        <v>#[VRS_RobotData.xlsx]Errors!$M$71</v>
      </c>
      <c r="M71" t="str">
        <f>_xlfn.XLOOKUP($B71,Errors!$A:$A,Errors!O:O)</f>
        <v>0x1040104</v>
      </c>
      <c r="N71" t="str">
        <f>_xlfn.XLOOKUP($M71,'Error-codes'!$A:$A,'Error-codes'!B:B)</f>
        <v>end of lane open sensor error</v>
      </c>
      <c r="O71" s="42">
        <f>_xlfn.XLOOKUP($B71,Errors!$A:$A,Errors!R:R)</f>
        <v>0</v>
      </c>
    </row>
    <row r="72" spans="1:18" hidden="1">
      <c r="A72">
        <v>71</v>
      </c>
      <c r="B72" s="1" t="s">
        <v>242</v>
      </c>
      <c r="C72" t="str">
        <f>_xlfn.XLOOKUP(_xlfn.XLOOKUP(B72,Errors!A:A,Errors!B:B),Robots!C:C,Robots!D:D)</f>
        <v>LumionFix 023</v>
      </c>
      <c r="D72" t="str">
        <f>_xlfn.XLOOKUP($B72,Errors!$A:$A,Errors!D:D)</f>
        <v>f083e183-8fef-4d15-97f7-73d9d3d0ea10</v>
      </c>
      <c r="E72" s="42" t="str">
        <f>_xlfn.XLOOKUP($B72,Errors!$A:$A,Errors!E:E)</f>
        <v>failed</v>
      </c>
      <c r="F72" t="str">
        <f>_xlfn.XLOOKUP($B72,Errors!$A:$A,Errors!K:K)</f>
        <v>Recovery</v>
      </c>
      <c r="G72" s="43">
        <f>_xlfn.XLOOKUP($B72,Errors!$A:$A,Errors!F:F)</f>
        <v>44802</v>
      </c>
      <c r="H72" s="44">
        <f>_xlfn.XLOOKUP($B72,Errors!$A:$A,Errors!H:H)</f>
        <v>0.82747685185185194</v>
      </c>
      <c r="I72">
        <f>_xlfn.XLOOKUP($D72,NimbusTreatments!B:B,NimbusTreatments!G:G)</f>
        <v>152</v>
      </c>
      <c r="J72">
        <f>_xlfn.XLOOKUP($D72,NimbusTreatments!$B:$B,NimbusTreatments!H:H)</f>
        <v>28</v>
      </c>
      <c r="K72">
        <f>_xlfn.XLOOKUP($B72,Errors!$A:$A,Errors!L:L)</f>
        <v>0</v>
      </c>
      <c r="L72" s="45" t="str" cm="1">
        <f t="array" aca="1" ref="L72" ca="1">HYPERLINK("#" &amp; CELL("address", _xlfn.XLOOKUP($B72,Errors!$A:$A,Errors!M:M)))</f>
        <v>#[VRS_RobotData.xlsx]Errors!$M$72</v>
      </c>
      <c r="M72" t="str">
        <f>_xlfn.XLOOKUP($B72,Errors!$A:$A,Errors!O:O)</f>
        <v>0x1040001</v>
      </c>
      <c r="N72" t="str">
        <f>_xlfn.XLOOKUP($M72,'Error-codes'!$A:$A,'Error-codes'!B:B)</f>
        <v>vehicle diverged too far from trajectory</v>
      </c>
      <c r="O72" s="42">
        <f>_xlfn.XLOOKUP($B72,Errors!$A:$A,Errors!R:R)</f>
        <v>0</v>
      </c>
    </row>
    <row r="73" spans="1:18" hidden="1">
      <c r="A73">
        <v>72</v>
      </c>
      <c r="B73" s="18" t="s">
        <v>244</v>
      </c>
      <c r="C73" t="str">
        <f>_xlfn.XLOOKUP(_xlfn.XLOOKUP(B73,Errors!A:A,Errors!B:B),Robots!C:C,Robots!D:D)</f>
        <v>LumionFix 023</v>
      </c>
      <c r="D73" t="str">
        <f>_xlfn.XLOOKUP($B73,Errors!$A:$A,Errors!D:D)</f>
        <v>f083e183-8fef-4d15-97f7-73d9d3d0ea10</v>
      </c>
      <c r="E73" s="42" t="str">
        <f>_xlfn.XLOOKUP($B73,Errors!$A:$A,Errors!E:E)</f>
        <v>failed</v>
      </c>
      <c r="F73" t="str">
        <f>_xlfn.XLOOKUP($B73,Errors!$A:$A,Errors!K:K)</f>
        <v>Fatal</v>
      </c>
      <c r="G73" s="43">
        <f>_xlfn.XLOOKUP($B73,Errors!$A:$A,Errors!F:F)</f>
        <v>44802</v>
      </c>
      <c r="H73" s="44">
        <f>_xlfn.XLOOKUP($B73,Errors!$A:$A,Errors!H:H)</f>
        <v>0.98114583333333327</v>
      </c>
      <c r="I73">
        <f>_xlfn.XLOOKUP($D73,NimbusTreatments!B:B,NimbusTreatments!G:G)</f>
        <v>152</v>
      </c>
      <c r="J73">
        <f>_xlfn.XLOOKUP($D73,NimbusTreatments!$B:$B,NimbusTreatments!H:H)</f>
        <v>28</v>
      </c>
      <c r="K73" t="str">
        <f>_xlfn.XLOOKUP($B73,Errors!$A:$A,Errors!L:L)</f>
        <v>right_3207</v>
      </c>
      <c r="L73" s="45" t="str" cm="1">
        <f t="array" aca="1" ref="L73" ca="1">HYPERLINK("#" &amp; CELL("address", _xlfn.XLOOKUP($B73,Errors!$A:$A,Errors!M:M)))</f>
        <v>#[VRS_RobotData.xlsx]Errors!$M$73</v>
      </c>
      <c r="M73" t="str">
        <f>_xlfn.XLOOKUP($B73,Errors!$A:$A,Errors!O:O)</f>
        <v>0x1040102</v>
      </c>
      <c r="N73" t="str">
        <f>_xlfn.XLOOKUP($M73,'Error-codes'!$A:$A,'Error-codes'!B:B)</f>
        <v>inductive sensor error</v>
      </c>
      <c r="O73" s="42">
        <f>_xlfn.XLOOKUP($B73,Errors!$A:$A,Errors!R:R)</f>
        <v>0</v>
      </c>
    </row>
    <row r="74" spans="1:18">
      <c r="A74">
        <v>73</v>
      </c>
      <c r="B74" s="1" t="s">
        <v>246</v>
      </c>
      <c r="C74" t="str">
        <f>_xlfn.XLOOKUP(_xlfn.XLOOKUP(B74,Errors!A:A,Errors!B:B),Robots!C:C,Robots!D:D)</f>
        <v>LumionFix 024</v>
      </c>
      <c r="D74" t="str">
        <f>_xlfn.XLOOKUP($B74,Errors!$A:$A,Errors!D:D)</f>
        <v>71a62847-318d-4118-9649-c9d15a2897af</v>
      </c>
      <c r="E74" s="42" t="str">
        <f>_xlfn.XLOOKUP($B74,Errors!$A:$A,Errors!E:E)</f>
        <v>failed</v>
      </c>
      <c r="F74" t="str">
        <f>_xlfn.XLOOKUP($B74,Errors!$A:$A,Errors!K:K)</f>
        <v>Fatal</v>
      </c>
      <c r="G74" s="43">
        <f>_xlfn.XLOOKUP($B74,Errors!$A:$A,Errors!F:F)</f>
        <v>44803</v>
      </c>
      <c r="H74" s="44">
        <f>_xlfn.XLOOKUP($B74,Errors!$A:$A,Errors!H:H)</f>
        <v>0.16376157407407407</v>
      </c>
      <c r="I74">
        <f>_xlfn.XLOOKUP($D74,NimbusTreatments!B:B,NimbusTreatments!G:G)</f>
        <v>138</v>
      </c>
      <c r="J74">
        <f>_xlfn.XLOOKUP($D74,NimbusTreatments!$B:$B,NimbusTreatments!H:H)</f>
        <v>137</v>
      </c>
      <c r="K74" t="str">
        <f>_xlfn.XLOOKUP($B74,Errors!$A:$A,Errors!L:L)</f>
        <v>left_lane3488</v>
      </c>
      <c r="L74" s="45" t="str" cm="1">
        <f t="array" aca="1" ref="L74" ca="1">HYPERLINK("#" &amp; CELL("address", _xlfn.XLOOKUP($B74,Errors!$A:$A,Errors!M:M)))</f>
        <v>#[VRS_RobotData.xlsx]Errors!$M$74</v>
      </c>
      <c r="M74" t="str">
        <f>_xlfn.XLOOKUP($B74,Errors!$A:$A,Errors!O:O)</f>
        <v>0x1060009</v>
      </c>
      <c r="N74" t="str">
        <f>_xlfn.XLOOKUP($M74,'Error-codes'!$A:$A,'Error-codes'!B:B)</f>
        <v>motor drive: DRV8353 FAULT</v>
      </c>
      <c r="O74" s="42">
        <f>_xlfn.XLOOKUP($B74,Errors!$A:$A,Errors!R:R)</f>
        <v>0</v>
      </c>
    </row>
    <row r="75" spans="1:18">
      <c r="A75">
        <v>74</v>
      </c>
      <c r="B75" s="7" t="s">
        <v>249</v>
      </c>
      <c r="C75" t="str">
        <f>_xlfn.XLOOKUP(_xlfn.XLOOKUP(B75,Errors!A:A,Errors!B:B),Robots!C:C,Robots!D:D)</f>
        <v>LumionFix 024</v>
      </c>
      <c r="D75" t="str">
        <f>_xlfn.XLOOKUP($B75,Errors!$A:$A,Errors!D:D)</f>
        <v>fd38230d-0564-4390-97db-95acc6a13123</v>
      </c>
      <c r="E75" s="42" t="str">
        <f>_xlfn.XLOOKUP($B75,Errors!$A:$A,Errors!E:E)</f>
        <v>failed</v>
      </c>
      <c r="F75" t="str">
        <f>_xlfn.XLOOKUP($B75,Errors!$A:$A,Errors!K:K)</f>
        <v>Fatal</v>
      </c>
      <c r="G75" s="43">
        <f>_xlfn.XLOOKUP($B75,Errors!$A:$A,Errors!F:F)</f>
        <v>44803</v>
      </c>
      <c r="H75" s="44">
        <f>_xlfn.XLOOKUP($B75,Errors!$A:$A,Errors!H:H)</f>
        <v>0.1799537037037037</v>
      </c>
      <c r="I75">
        <f>_xlfn.XLOOKUP($D75,NimbusTreatments!B:B,NimbusTreatments!G:G)</f>
        <v>2</v>
      </c>
      <c r="J75">
        <f>_xlfn.XLOOKUP($D75,NimbusTreatments!$B:$B,NimbusTreatments!H:H)</f>
        <v>0</v>
      </c>
      <c r="K75" t="str">
        <f>_xlfn.XLOOKUP($B75,Errors!$A:$A,Errors!L:L)</f>
        <v>left_lane3186</v>
      </c>
      <c r="L75" s="45" t="str" cm="1">
        <f t="array" aca="1" ref="L75" ca="1">HYPERLINK("#" &amp; CELL("address", _xlfn.XLOOKUP($B75,Errors!$A:$A,Errors!M:M)))</f>
        <v>#[VRS_RobotData.xlsx]Errors!$M$75</v>
      </c>
      <c r="M75" t="str">
        <f>_xlfn.XLOOKUP($B75,Errors!$A:$A,Errors!O:O)</f>
        <v>0x1060101</v>
      </c>
      <c r="N75" t="str">
        <f>_xlfn.XLOOKUP($M75,'Error-codes'!$A:$A,'Error-codes'!B:B)</f>
        <v>vision error</v>
      </c>
      <c r="O75" s="42">
        <f>_xlfn.XLOOKUP($B75,Errors!$A:$A,Errors!R:R)</f>
        <v>0</v>
      </c>
    </row>
    <row r="76" spans="1:18">
      <c r="A76">
        <v>75</v>
      </c>
      <c r="B76" s="1" t="s">
        <v>253</v>
      </c>
      <c r="C76" t="str">
        <f>_xlfn.XLOOKUP(_xlfn.XLOOKUP(B76,Errors!A:A,Errors!B:B),Robots!C:C,Robots!D:D)</f>
        <v>LumionFix 024</v>
      </c>
      <c r="D76" t="str">
        <f>_xlfn.XLOOKUP($B76,Errors!$A:$A,Errors!D:D)</f>
        <v>d71e5034-0d6d-4008-91f0-8e35dcd8d805</v>
      </c>
      <c r="E76" s="42" t="str">
        <f>_xlfn.XLOOKUP($B76,Errors!$A:$A,Errors!E:E)</f>
        <v>failed</v>
      </c>
      <c r="F76" t="str">
        <f>_xlfn.XLOOKUP($B76,Errors!$A:$A,Errors!K:K)</f>
        <v>Fatal</v>
      </c>
      <c r="G76" s="43">
        <f>_xlfn.XLOOKUP($B76,Errors!$A:$A,Errors!F:F)</f>
        <v>44803</v>
      </c>
      <c r="H76" s="44">
        <f>_xlfn.XLOOKUP($B76,Errors!$A:$A,Errors!H:H)</f>
        <v>0.18122685185185183</v>
      </c>
      <c r="I76">
        <f>_xlfn.XLOOKUP($D76,NimbusTreatments!B:B,NimbusTreatments!G:G)</f>
        <v>2</v>
      </c>
      <c r="J76">
        <f>_xlfn.XLOOKUP($D76,NimbusTreatments!$B:$B,NimbusTreatments!H:H)</f>
        <v>0</v>
      </c>
      <c r="K76" t="str">
        <f>_xlfn.XLOOKUP($B76,Errors!$A:$A,Errors!L:L)</f>
        <v>left_lane3186</v>
      </c>
      <c r="L76" s="45" t="str" cm="1">
        <f t="array" aca="1" ref="L76" ca="1">HYPERLINK("#" &amp; CELL("address", _xlfn.XLOOKUP($B76,Errors!$A:$A,Errors!M:M)))</f>
        <v>#[VRS_RobotData.xlsx]Errors!$M$76</v>
      </c>
      <c r="M76" t="str">
        <f>_xlfn.XLOOKUP($B76,Errors!$A:$A,Errors!O:O)</f>
        <v>0x1060101</v>
      </c>
      <c r="N76" t="str">
        <f>_xlfn.XLOOKUP($M76,'Error-codes'!$A:$A,'Error-codes'!B:B)</f>
        <v>vision error</v>
      </c>
      <c r="O76" s="42">
        <f>_xlfn.XLOOKUP($B76,Errors!$A:$A,Errors!R:R)</f>
        <v>0</v>
      </c>
    </row>
    <row r="77" spans="1:18">
      <c r="A77">
        <v>76</v>
      </c>
      <c r="B77" s="7" t="s">
        <v>255</v>
      </c>
      <c r="C77" t="str">
        <f>_xlfn.XLOOKUP(_xlfn.XLOOKUP(B77,Errors!A:A,Errors!B:B),Robots!C:C,Robots!D:D)</f>
        <v>LumionFix 024</v>
      </c>
      <c r="D77" t="str">
        <f>_xlfn.XLOOKUP($B77,Errors!$A:$A,Errors!D:D)</f>
        <v>9a9ae5cd-983d-48c5-a682-3a0edb7fe524</v>
      </c>
      <c r="E77" s="42" t="str">
        <f>_xlfn.XLOOKUP($B77,Errors!$A:$A,Errors!E:E)</f>
        <v>failed</v>
      </c>
      <c r="F77" t="str">
        <f>_xlfn.XLOOKUP($B77,Errors!$A:$A,Errors!K:K)</f>
        <v>Fatal</v>
      </c>
      <c r="G77" s="43">
        <f>_xlfn.XLOOKUP($B77,Errors!$A:$A,Errors!F:F)</f>
        <v>44803</v>
      </c>
      <c r="H77" s="44">
        <f>_xlfn.XLOOKUP($B77,Errors!$A:$A,Errors!H:H)</f>
        <v>0.18209490740740741</v>
      </c>
      <c r="I77">
        <f>_xlfn.XLOOKUP($D77,NimbusTreatments!B:B,NimbusTreatments!G:G)</f>
        <v>3</v>
      </c>
      <c r="J77">
        <f>_xlfn.XLOOKUP($D77,NimbusTreatments!$B:$B,NimbusTreatments!H:H)</f>
        <v>0</v>
      </c>
      <c r="K77" t="str">
        <f>_xlfn.XLOOKUP($B77,Errors!$A:$A,Errors!L:L)</f>
        <v>left_lane3186</v>
      </c>
      <c r="L77" s="45" t="str" cm="1">
        <f t="array" aca="1" ref="L77" ca="1">HYPERLINK("#" &amp; CELL("address", _xlfn.XLOOKUP($B77,Errors!$A:$A,Errors!M:M)))</f>
        <v>#[VRS_RobotData.xlsx]Errors!$M$77</v>
      </c>
      <c r="M77" t="str">
        <f>_xlfn.XLOOKUP($B77,Errors!$A:$A,Errors!O:O)</f>
        <v>0x1060101</v>
      </c>
      <c r="N77" t="str">
        <f>_xlfn.XLOOKUP($M77,'Error-codes'!$A:$A,'Error-codes'!B:B)</f>
        <v>vision error</v>
      </c>
      <c r="O77" s="42">
        <f>_xlfn.XLOOKUP($B77,Errors!$A:$A,Errors!R:R)</f>
        <v>0</v>
      </c>
    </row>
    <row r="78" spans="1:18" hidden="1">
      <c r="A78">
        <v>77</v>
      </c>
      <c r="B78" s="1" t="s">
        <v>257</v>
      </c>
      <c r="C78" t="str">
        <f>_xlfn.XLOOKUP(_xlfn.XLOOKUP(B78,Errors!A:A,Errors!B:B),Robots!C:C,Robots!D:D)</f>
        <v>LumionFix 023</v>
      </c>
      <c r="D78" t="str">
        <f>_xlfn.XLOOKUP($B78,Errors!$A:$A,Errors!D:D)</f>
        <v>cc5358e3-5513-4b1c-bdd8-c1eaa96b1646</v>
      </c>
      <c r="E78" s="42" t="str">
        <f>_xlfn.XLOOKUP($B78,Errors!$A:$A,Errors!E:E)</f>
        <v>failed</v>
      </c>
      <c r="F78" t="str">
        <f>_xlfn.XLOOKUP($B78,Errors!$A:$A,Errors!K:K)</f>
        <v>Fatal</v>
      </c>
      <c r="G78" s="43">
        <f>_xlfn.XLOOKUP($B78,Errors!$A:$A,Errors!F:F)</f>
        <v>44804</v>
      </c>
      <c r="H78" s="44">
        <f>_xlfn.XLOOKUP($B78,Errors!$A:$A,Errors!H:H)</f>
        <v>0.52028935185185188</v>
      </c>
      <c r="I78">
        <f>_xlfn.XLOOKUP($D78,NimbusTreatments!B:B,NimbusTreatments!G:G)</f>
        <v>165</v>
      </c>
      <c r="J78">
        <f>_xlfn.XLOOKUP($D78,NimbusTreatments!$B:$B,NimbusTreatments!H:H)</f>
        <v>1</v>
      </c>
      <c r="K78" t="str">
        <f>_xlfn.XLOOKUP($B78,Errors!$A:$A,Errors!L:L)</f>
        <v>right_3117</v>
      </c>
      <c r="L78" s="45" t="str" cm="1">
        <f t="array" aca="1" ref="L78" ca="1">HYPERLINK("#" &amp; CELL("address", _xlfn.XLOOKUP($B78,Errors!$A:$A,Errors!M:M)))</f>
        <v>#[VRS_RobotData.xlsx]Errors!$M$78</v>
      </c>
      <c r="M78" t="str">
        <f>_xlfn.XLOOKUP($B78,Errors!$A:$A,Errors!O:O)</f>
        <v>0x1040103</v>
      </c>
      <c r="N78" t="str">
        <f>_xlfn.XLOOKUP($M78,'Error-codes'!$A:$A,'Error-codes'!B:B)</f>
        <v>end of lane wall sensor error</v>
      </c>
      <c r="O78" s="42">
        <f>_xlfn.XLOOKUP($B78,Errors!$A:$A,Errors!R:R)</f>
        <v>0</v>
      </c>
    </row>
    <row r="79" spans="1:18" hidden="1">
      <c r="A79">
        <v>78</v>
      </c>
      <c r="B79" s="7" t="s">
        <v>261</v>
      </c>
      <c r="C79" t="str">
        <f>_xlfn.XLOOKUP(_xlfn.XLOOKUP(B79,Errors!A:A,Errors!B:B),Robots!C:C,Robots!D:D)</f>
        <v>LumionFix 023</v>
      </c>
      <c r="D79" t="str">
        <f>_xlfn.XLOOKUP($B79,Errors!$A:$A,Errors!D:D)</f>
        <v>8ad62f5e-3d92-4c48-ae1a-985bc9ef4c7b</v>
      </c>
      <c r="E79" s="42" t="str">
        <f>_xlfn.XLOOKUP($B79,Errors!$A:$A,Errors!E:E)</f>
        <v>failed</v>
      </c>
      <c r="F79" t="str">
        <f>_xlfn.XLOOKUP($B79,Errors!$A:$A,Errors!K:K)</f>
        <v>Fatal</v>
      </c>
      <c r="G79" s="43">
        <f>_xlfn.XLOOKUP($B79,Errors!$A:$A,Errors!F:F)</f>
        <v>44804</v>
      </c>
      <c r="H79" s="44">
        <f>_xlfn.XLOOKUP($B79,Errors!$A:$A,Errors!H:H)</f>
        <v>0.71045138888888892</v>
      </c>
      <c r="I79">
        <f>_xlfn.XLOOKUP($D79,NimbusTreatments!B:B,NimbusTreatments!G:G)</f>
        <v>152</v>
      </c>
      <c r="J79">
        <f>_xlfn.XLOOKUP($D79,NimbusTreatments!$B:$B,NimbusTreatments!H:H)</f>
        <v>14</v>
      </c>
      <c r="K79" t="str">
        <f>_xlfn.XLOOKUP($B79,Errors!$A:$A,Errors!L:L)</f>
        <v>right_3179</v>
      </c>
      <c r="L79" s="45" t="str" cm="1">
        <f t="array" aca="1" ref="L79" ca="1">HYPERLINK("#" &amp; CELL("address", _xlfn.XLOOKUP($B79,Errors!$A:$A,Errors!M:M)))</f>
        <v>#[VRS_RobotData.xlsx]Errors!$M$79</v>
      </c>
      <c r="M79" t="str">
        <f>_xlfn.XLOOKUP($B79,Errors!$A:$A,Errors!O:O)</f>
        <v>0x1060002</v>
      </c>
      <c r="N79" t="str">
        <f>_xlfn.XLOOKUP($M79,'Error-codes'!$A:$A,'Error-codes'!B:B)</f>
        <v>motor drive: UNDER VOLTAGE</v>
      </c>
      <c r="O79" s="42">
        <f>_xlfn.XLOOKUP($B79,Errors!$A:$A,Errors!R:R)</f>
        <v>0</v>
      </c>
    </row>
    <row r="80" spans="1:18" hidden="1">
      <c r="A80">
        <v>79</v>
      </c>
      <c r="B80" s="1" t="s">
        <v>265</v>
      </c>
      <c r="C80" t="str">
        <f>_xlfn.XLOOKUP(_xlfn.XLOOKUP(B80,Errors!A:A,Errors!B:B),Robots!C:C,Robots!D:D)</f>
        <v>LumionFix 023</v>
      </c>
      <c r="D80" t="str">
        <f>_xlfn.XLOOKUP($B80,Errors!$A:$A,Errors!D:D)</f>
        <v>86f2f6f9-4c29-4c36-9301-27ab001a8b29</v>
      </c>
      <c r="E80" s="42" t="str">
        <f>_xlfn.XLOOKUP($B80,Errors!$A:$A,Errors!E:E)</f>
        <v>failed</v>
      </c>
      <c r="F80" t="str">
        <f>_xlfn.XLOOKUP($B80,Errors!$A:$A,Errors!K:K)</f>
        <v>Recovery</v>
      </c>
      <c r="G80" s="43">
        <f>_xlfn.XLOOKUP($B80,Errors!$A:$A,Errors!F:F)</f>
        <v>44804</v>
      </c>
      <c r="H80" s="44">
        <f>_xlfn.XLOOKUP($B80,Errors!$A:$A,Errors!H:H)</f>
        <v>0.74903935185185189</v>
      </c>
      <c r="I80">
        <f>_xlfn.XLOOKUP($D80,NimbusTreatments!B:B,NimbusTreatments!G:G)</f>
        <v>137</v>
      </c>
      <c r="J80">
        <f>_xlfn.XLOOKUP($D80,NimbusTreatments!$B:$B,NimbusTreatments!H:H)</f>
        <v>12</v>
      </c>
      <c r="K80">
        <f>_xlfn.XLOOKUP($B80,Errors!$A:$A,Errors!L:L)</f>
        <v>0</v>
      </c>
      <c r="L80" s="45" t="str" cm="1">
        <f t="array" aca="1" ref="L80" ca="1">HYPERLINK("#" &amp; CELL("address", _xlfn.XLOOKUP($B80,Errors!$A:$A,Errors!M:M)))</f>
        <v>#[VRS_RobotData.xlsx]Errors!$M$80</v>
      </c>
      <c r="M80" t="str">
        <f>_xlfn.XLOOKUP($B80,Errors!$A:$A,Errors!O:O)</f>
        <v>0x1040001</v>
      </c>
      <c r="N80" t="str">
        <f>_xlfn.XLOOKUP($M80,'Error-codes'!$A:$A,'Error-codes'!B:B)</f>
        <v>vehicle diverged too far from trajectory</v>
      </c>
      <c r="O80" s="42">
        <f>_xlfn.XLOOKUP($B80,Errors!$A:$A,Errors!R:R)</f>
        <v>0</v>
      </c>
      <c r="P80" s="46" t="s">
        <v>3378</v>
      </c>
      <c r="Q80" t="s">
        <v>3379</v>
      </c>
      <c r="R80" t="s">
        <v>3379</v>
      </c>
    </row>
    <row r="81" spans="1:19" ht="60.75" hidden="1">
      <c r="A81">
        <v>80</v>
      </c>
      <c r="B81" s="7" t="s">
        <v>267</v>
      </c>
      <c r="C81" t="str">
        <f>_xlfn.XLOOKUP(_xlfn.XLOOKUP(B81,Errors!A:A,Errors!B:B),Robots!C:C,Robots!D:D)</f>
        <v>LumionFix 023</v>
      </c>
      <c r="D81" t="str">
        <f>_xlfn.XLOOKUP($B81,Errors!$A:$A,Errors!D:D)</f>
        <v>86f2f6f9-4c29-4c36-9301-27ab001a8b29</v>
      </c>
      <c r="E81" s="42" t="str">
        <f>_xlfn.XLOOKUP($B81,Errors!$A:$A,Errors!E:E)</f>
        <v>failed</v>
      </c>
      <c r="F81" t="str">
        <f>_xlfn.XLOOKUP($B81,Errors!$A:$A,Errors!K:K)</f>
        <v>Fatal</v>
      </c>
      <c r="G81" s="43">
        <f>_xlfn.XLOOKUP($B81,Errors!$A:$A,Errors!F:F)</f>
        <v>44804</v>
      </c>
      <c r="H81" s="44">
        <f>_xlfn.XLOOKUP($B81,Errors!$A:$A,Errors!H:H)</f>
        <v>0.74995370370370373</v>
      </c>
      <c r="I81">
        <f>_xlfn.XLOOKUP($D81,NimbusTreatments!B:B,NimbusTreatments!G:G)</f>
        <v>137</v>
      </c>
      <c r="J81">
        <f>_xlfn.XLOOKUP($D81,NimbusTreatments!$B:$B,NimbusTreatments!H:H)</f>
        <v>12</v>
      </c>
      <c r="K81" t="str">
        <f>_xlfn.XLOOKUP($B81,Errors!$A:$A,Errors!L:L)</f>
        <v>right_3207</v>
      </c>
      <c r="L81" s="45" t="str" cm="1">
        <f t="array" aca="1" ref="L81" ca="1">HYPERLINK("#" &amp; CELL("address", _xlfn.XLOOKUP($B81,Errors!$A:$A,Errors!M:M)))</f>
        <v>#[VRS_RobotData.xlsx]Errors!$M$81</v>
      </c>
      <c r="M81" t="str">
        <f>_xlfn.XLOOKUP($B81,Errors!$A:$A,Errors!O:O)</f>
        <v>0x1040102</v>
      </c>
      <c r="N81" t="str">
        <f>_xlfn.XLOOKUP($M81,'Error-codes'!$A:$A,'Error-codes'!B:B)</f>
        <v>inductive sensor error</v>
      </c>
      <c r="O81" s="42">
        <f>_xlfn.XLOOKUP($B81,Errors!$A:$A,Errors!R:R)</f>
        <v>0</v>
      </c>
      <c r="P81" s="46" t="s">
        <v>3380</v>
      </c>
      <c r="R81" t="s">
        <v>3381</v>
      </c>
    </row>
    <row r="82" spans="1:19">
      <c r="A82">
        <v>81</v>
      </c>
      <c r="B82" s="1" t="s">
        <v>268</v>
      </c>
      <c r="C82" t="str">
        <f>_xlfn.XLOOKUP(_xlfn.XLOOKUP(B82,Errors!A:A,Errors!B:B),Robots!C:C,Robots!D:D)</f>
        <v>LumionFix 024</v>
      </c>
      <c r="D82" t="str">
        <f>_xlfn.XLOOKUP($B82,Errors!$A:$A,Errors!D:D)</f>
        <v>157ee312-d8f3-4939-ab56-3bf629807140</v>
      </c>
      <c r="E82" s="42" t="str">
        <f>_xlfn.XLOOKUP($B82,Errors!$A:$A,Errors!E:E)</f>
        <v>failed</v>
      </c>
      <c r="F82" t="str">
        <f>_xlfn.XLOOKUP($B82,Errors!$A:$A,Errors!K:K)</f>
        <v>Fatal</v>
      </c>
      <c r="G82" s="43">
        <f>_xlfn.XLOOKUP($B82,Errors!$A:$A,Errors!F:F)</f>
        <v>44804</v>
      </c>
      <c r="H82" s="44">
        <f>_xlfn.XLOOKUP($B82,Errors!$A:$A,Errors!H:H)</f>
        <v>0.80099537037037039</v>
      </c>
      <c r="I82">
        <f>_xlfn.XLOOKUP($D82,NimbusTreatments!B:B,NimbusTreatments!G:G)</f>
        <v>138</v>
      </c>
      <c r="J82">
        <f>_xlfn.XLOOKUP($D82,NimbusTreatments!$B:$B,NimbusTreatments!H:H)</f>
        <v>11</v>
      </c>
      <c r="K82" t="str">
        <f>_xlfn.XLOOKUP($B82,Errors!$A:$A,Errors!L:L)</f>
        <v>left_lane3202</v>
      </c>
      <c r="L82" s="45" t="str" cm="1">
        <f t="array" aca="1" ref="L82" ca="1">HYPERLINK("#" &amp; CELL("address", _xlfn.XLOOKUP($B82,Errors!$A:$A,Errors!M:M)))</f>
        <v>#[VRS_RobotData.xlsx]Errors!$M$82</v>
      </c>
      <c r="M82" t="str">
        <f>_xlfn.XLOOKUP($B82,Errors!$A:$A,Errors!O:O)</f>
        <v>0x1040001</v>
      </c>
      <c r="N82" t="str">
        <f>_xlfn.XLOOKUP($M82,'Error-codes'!$A:$A,'Error-codes'!B:B)</f>
        <v>vehicle diverged too far from trajectory</v>
      </c>
      <c r="O82" s="42">
        <f>_xlfn.XLOOKUP($B82,Errors!$A:$A,Errors!R:R)</f>
        <v>0</v>
      </c>
      <c r="P82" t="s">
        <v>3382</v>
      </c>
    </row>
    <row r="83" spans="1:19" hidden="1">
      <c r="A83">
        <v>82</v>
      </c>
      <c r="B83" s="7" t="s">
        <v>272</v>
      </c>
      <c r="C83" t="str">
        <f>_xlfn.XLOOKUP(_xlfn.XLOOKUP(B83,Errors!A:A,Errors!B:B),Robots!C:C,Robots!D:D)</f>
        <v>LumionFix 032</v>
      </c>
      <c r="D83" t="str">
        <f>_xlfn.XLOOKUP($B83,Errors!$A:$A,Errors!D:D)</f>
        <v>a807a975-00a8-43be-801d-2054ad4c2e84</v>
      </c>
      <c r="E83" s="42" t="str">
        <f>_xlfn.XLOOKUP($B83,Errors!$A:$A,Errors!E:E)</f>
        <v>failed</v>
      </c>
      <c r="F83" t="str">
        <f>_xlfn.XLOOKUP($B83,Errors!$A:$A,Errors!K:K)</f>
        <v>Fatal</v>
      </c>
      <c r="G83" s="43">
        <f>_xlfn.XLOOKUP($B83,Errors!$A:$A,Errors!F:F)</f>
        <v>44805</v>
      </c>
      <c r="H83" s="44">
        <f>_xlfn.XLOOKUP($B83,Errors!$A:$A,Errors!H:H)</f>
        <v>0.44546296296296295</v>
      </c>
      <c r="I83">
        <f>_xlfn.XLOOKUP($D83,NimbusTreatments!B:B,NimbusTreatments!G:G)</f>
        <v>78</v>
      </c>
      <c r="J83">
        <f>_xlfn.XLOOKUP($D83,NimbusTreatments!$B:$B,NimbusTreatments!H:H)</f>
        <v>15</v>
      </c>
      <c r="K83" t="str">
        <f>_xlfn.XLOOKUP($B83,Errors!$A:$A,Errors!L:L)</f>
        <v>right_block17_lane7</v>
      </c>
      <c r="L83" s="45" t="str" cm="1">
        <f t="array" aca="1" ref="L83" ca="1">HYPERLINK("#" &amp; CELL("address", _xlfn.XLOOKUP($B83,Errors!$A:$A,Errors!M:M)))</f>
        <v>#[VRS_RobotData.xlsx]Errors!$M$83</v>
      </c>
      <c r="M83" t="str">
        <f>_xlfn.XLOOKUP($B83,Errors!$A:$A,Errors!O:O)</f>
        <v>0x1040001</v>
      </c>
      <c r="N83" t="str">
        <f>_xlfn.XLOOKUP($M83,'Error-codes'!$A:$A,'Error-codes'!B:B)</f>
        <v>vehicle diverged too far from trajectory</v>
      </c>
      <c r="O83" s="42">
        <f>_xlfn.XLOOKUP($B83,Errors!$A:$A,Errors!R:R)</f>
        <v>0</v>
      </c>
    </row>
    <row r="84" spans="1:19" hidden="1">
      <c r="A84">
        <v>83</v>
      </c>
      <c r="B84" s="1" t="s">
        <v>276</v>
      </c>
      <c r="C84" t="str">
        <f>_xlfn.XLOOKUP(_xlfn.XLOOKUP(B84,Errors!A:A,Errors!B:B),Robots!C:C,Robots!D:D)</f>
        <v>LumionFix 032</v>
      </c>
      <c r="D84" t="str">
        <f>_xlfn.XLOOKUP($B84,Errors!$A:$A,Errors!D:D)</f>
        <v>5db8569f-6ca7-49d4-87dd-6dc05e2fe876</v>
      </c>
      <c r="E84" s="42" t="str">
        <f>_xlfn.XLOOKUP($B84,Errors!$A:$A,Errors!E:E)</f>
        <v>failed</v>
      </c>
      <c r="F84" t="str">
        <f>_xlfn.XLOOKUP($B84,Errors!$A:$A,Errors!K:K)</f>
        <v>Fatal</v>
      </c>
      <c r="G84" s="43">
        <f>_xlfn.XLOOKUP($B84,Errors!$A:$A,Errors!F:F)</f>
        <v>44805</v>
      </c>
      <c r="H84" s="44">
        <f>_xlfn.XLOOKUP($B84,Errors!$A:$A,Errors!H:H)</f>
        <v>0.54782407407407407</v>
      </c>
      <c r="I84">
        <f>_xlfn.XLOOKUP($D84,NimbusTreatments!B:B,NimbusTreatments!G:G)</f>
        <v>24</v>
      </c>
      <c r="J84">
        <f>_xlfn.XLOOKUP($D84,NimbusTreatments!$B:$B,NimbusTreatments!H:H)</f>
        <v>11</v>
      </c>
      <c r="K84" t="str">
        <f>_xlfn.XLOOKUP($B84,Errors!$A:$A,Errors!L:L)</f>
        <v>right_block25_lane3</v>
      </c>
      <c r="L84" s="45" t="str" cm="1">
        <f t="array" aca="1" ref="L84" ca="1">HYPERLINK("#" &amp; CELL("address", _xlfn.XLOOKUP($B84,Errors!$A:$A,Errors!M:M)))</f>
        <v>#[VRS_RobotData.xlsx]Errors!$M$84</v>
      </c>
      <c r="M84" t="str">
        <f>_xlfn.XLOOKUP($B84,Errors!$A:$A,Errors!O:O)</f>
        <v>0x1040001</v>
      </c>
      <c r="N84" t="str">
        <f>_xlfn.XLOOKUP($M84,'Error-codes'!$A:$A,'Error-codes'!B:B)</f>
        <v>vehicle diverged too far from trajectory</v>
      </c>
      <c r="O84" s="42">
        <f>_xlfn.XLOOKUP($B84,Errors!$A:$A,Errors!R:R)</f>
        <v>0</v>
      </c>
    </row>
    <row r="85" spans="1:19" hidden="1">
      <c r="A85">
        <v>84</v>
      </c>
      <c r="B85" s="7" t="s">
        <v>279</v>
      </c>
      <c r="C85" t="str">
        <f>_xlfn.XLOOKUP(_xlfn.XLOOKUP(B85,Errors!A:A,Errors!B:B),Robots!C:C,Robots!D:D)</f>
        <v>LumionFix 032</v>
      </c>
      <c r="D85" t="str">
        <f>_xlfn.XLOOKUP($B85,Errors!$A:$A,Errors!D:D)</f>
        <v>3f260ec3-32bc-4724-980a-106171575ef2</v>
      </c>
      <c r="E85" s="42" t="str">
        <f>_xlfn.XLOOKUP($B85,Errors!$A:$A,Errors!E:E)</f>
        <v>failed</v>
      </c>
      <c r="F85" t="str">
        <f>_xlfn.XLOOKUP($B85,Errors!$A:$A,Errors!K:K)</f>
        <v>Recovery</v>
      </c>
      <c r="G85" s="43">
        <f>_xlfn.XLOOKUP($B85,Errors!$A:$A,Errors!F:F)</f>
        <v>44805</v>
      </c>
      <c r="H85" s="44">
        <f>_xlfn.XLOOKUP($B85,Errors!$A:$A,Errors!H:H)</f>
        <v>0.60111111111111104</v>
      </c>
      <c r="I85">
        <f>_xlfn.XLOOKUP($D85,NimbusTreatments!B:B,NimbusTreatments!G:G)</f>
        <v>15</v>
      </c>
      <c r="J85">
        <f>_xlfn.XLOOKUP($D85,NimbusTreatments!$B:$B,NimbusTreatments!H:H)</f>
        <v>1</v>
      </c>
      <c r="K85">
        <f>_xlfn.XLOOKUP($B85,Errors!$A:$A,Errors!L:L)</f>
        <v>0</v>
      </c>
      <c r="L85" s="45" t="str" cm="1">
        <f t="array" aca="1" ref="L85" ca="1">HYPERLINK("#" &amp; CELL("address", _xlfn.XLOOKUP($B85,Errors!$A:$A,Errors!M:M)))</f>
        <v>#[VRS_RobotData.xlsx]Errors!$M$85</v>
      </c>
      <c r="M85" t="str">
        <f>_xlfn.XLOOKUP($B85,Errors!$A:$A,Errors!O:O)</f>
        <v>0x1040001</v>
      </c>
      <c r="N85" t="str">
        <f>_xlfn.XLOOKUP($M85,'Error-codes'!$A:$A,'Error-codes'!B:B)</f>
        <v>vehicle diverged too far from trajectory</v>
      </c>
      <c r="O85" s="42">
        <f>_xlfn.XLOOKUP($B85,Errors!$A:$A,Errors!R:R)</f>
        <v>0</v>
      </c>
    </row>
    <row r="86" spans="1:19" hidden="1">
      <c r="A86">
        <v>85</v>
      </c>
      <c r="B86" s="1" t="s">
        <v>281</v>
      </c>
      <c r="C86" t="str">
        <f>_xlfn.XLOOKUP(_xlfn.XLOOKUP(B86,Errors!A:A,Errors!B:B),Robots!C:C,Robots!D:D)</f>
        <v>LumionFix 032</v>
      </c>
      <c r="D86" t="str">
        <f>_xlfn.XLOOKUP($B86,Errors!$A:$A,Errors!D:D)</f>
        <v>3f260ec3-32bc-4724-980a-106171575ef2</v>
      </c>
      <c r="E86" s="42" t="str">
        <f>_xlfn.XLOOKUP($B86,Errors!$A:$A,Errors!E:E)</f>
        <v>failed</v>
      </c>
      <c r="F86" t="str">
        <f>_xlfn.XLOOKUP($B86,Errors!$A:$A,Errors!K:K)</f>
        <v>Fatal</v>
      </c>
      <c r="G86" s="43">
        <f>_xlfn.XLOOKUP($B86,Errors!$A:$A,Errors!F:F)</f>
        <v>44805</v>
      </c>
      <c r="H86" s="44">
        <f>_xlfn.XLOOKUP($B86,Errors!$A:$A,Errors!H:H)</f>
        <v>0.60576388888888888</v>
      </c>
      <c r="I86">
        <f>_xlfn.XLOOKUP($D86,NimbusTreatments!B:B,NimbusTreatments!G:G)</f>
        <v>15</v>
      </c>
      <c r="J86">
        <f>_xlfn.XLOOKUP($D86,NimbusTreatments!$B:$B,NimbusTreatments!H:H)</f>
        <v>1</v>
      </c>
      <c r="K86" t="str">
        <f>_xlfn.XLOOKUP($B86,Errors!$A:$A,Errors!L:L)</f>
        <v>right_block25_lane4</v>
      </c>
      <c r="L86" s="45" t="str" cm="1">
        <f t="array" aca="1" ref="L86" ca="1">HYPERLINK("#" &amp; CELL("address", _xlfn.XLOOKUP($B86,Errors!$A:$A,Errors!M:M)))</f>
        <v>#[VRS_RobotData.xlsx]Errors!$M$86</v>
      </c>
      <c r="M86" t="str">
        <f>_xlfn.XLOOKUP($B86,Errors!$A:$A,Errors!O:O)</f>
        <v>0x1060002</v>
      </c>
      <c r="N86" t="str">
        <f>_xlfn.XLOOKUP($M86,'Error-codes'!$A:$A,'Error-codes'!B:B)</f>
        <v>motor drive: UNDER VOLTAGE</v>
      </c>
      <c r="O86" s="42">
        <f>_xlfn.XLOOKUP($B86,Errors!$A:$A,Errors!R:R)</f>
        <v>0</v>
      </c>
    </row>
    <row r="87" spans="1:19" hidden="1">
      <c r="A87">
        <v>86</v>
      </c>
      <c r="B87" s="7" t="s">
        <v>284</v>
      </c>
      <c r="C87" t="str">
        <f>_xlfn.XLOOKUP(_xlfn.XLOOKUP(B87,Errors!A:A,Errors!B:B),Robots!C:C,Robots!D:D)</f>
        <v>LumionFix 032</v>
      </c>
      <c r="D87" t="str">
        <f>_xlfn.XLOOKUP($B87,Errors!$A:$A,Errors!D:D)</f>
        <v>53bb4fd1-1550-48aa-8f05-9268f34f0f4e</v>
      </c>
      <c r="E87" s="42" t="str">
        <f>_xlfn.XLOOKUP($B87,Errors!$A:$A,Errors!E:E)</f>
        <v>failed</v>
      </c>
      <c r="F87" t="str">
        <f>_xlfn.XLOOKUP($B87,Errors!$A:$A,Errors!K:K)</f>
        <v>Fatal</v>
      </c>
      <c r="G87" s="43">
        <f>_xlfn.XLOOKUP($B87,Errors!$A:$A,Errors!F:F)</f>
        <v>44805</v>
      </c>
      <c r="H87" s="44">
        <f>_xlfn.XLOOKUP($B87,Errors!$A:$A,Errors!H:H)</f>
        <v>0.66843750000000002</v>
      </c>
      <c r="I87">
        <f>_xlfn.XLOOKUP($D87,NimbusTreatments!B:B,NimbusTreatments!G:G)</f>
        <v>23</v>
      </c>
      <c r="J87">
        <f>_xlfn.XLOOKUP($D87,NimbusTreatments!$B:$B,NimbusTreatments!H:H)</f>
        <v>0</v>
      </c>
      <c r="K87" t="str">
        <f>_xlfn.XLOOKUP($B87,Errors!$A:$A,Errors!L:L)</f>
        <v>left_block24_lane2</v>
      </c>
      <c r="L87" s="45" t="str" cm="1">
        <f t="array" aca="1" ref="L87" ca="1">HYPERLINK("#" &amp; CELL("address", _xlfn.XLOOKUP($B87,Errors!$A:$A,Errors!M:M)))</f>
        <v>#[VRS_RobotData.xlsx]Errors!$M$87</v>
      </c>
      <c r="M87" t="str">
        <f>_xlfn.XLOOKUP($B87,Errors!$A:$A,Errors!O:O)</f>
        <v>0x1060002</v>
      </c>
      <c r="N87" t="str">
        <f>_xlfn.XLOOKUP($M87,'Error-codes'!$A:$A,'Error-codes'!B:B)</f>
        <v>motor drive: UNDER VOLTAGE</v>
      </c>
      <c r="O87" s="42">
        <f>_xlfn.XLOOKUP($B87,Errors!$A:$A,Errors!R:R)</f>
        <v>0</v>
      </c>
      <c r="P87" s="46"/>
      <c r="Q87" s="46"/>
      <c r="R87" s="46"/>
      <c r="S87" s="46"/>
    </row>
    <row r="88" spans="1:19" hidden="1">
      <c r="A88">
        <v>87</v>
      </c>
      <c r="B88" s="1" t="s">
        <v>287</v>
      </c>
      <c r="C88" t="str">
        <f>_xlfn.XLOOKUP(_xlfn.XLOOKUP(B88,Errors!A:A,Errors!B:B),Robots!C:C,Robots!D:D)</f>
        <v>LumionFix 032</v>
      </c>
      <c r="D88" t="str">
        <f>_xlfn.XLOOKUP($B88,Errors!$A:$A,Errors!D:D)</f>
        <v>a57babe7-df8a-4d52-9e88-ad9120579ec1</v>
      </c>
      <c r="E88" s="42" t="str">
        <f>_xlfn.XLOOKUP($B88,Errors!$A:$A,Errors!E:E)</f>
        <v>failed</v>
      </c>
      <c r="F88" t="str">
        <f>_xlfn.XLOOKUP($B88,Errors!$A:$A,Errors!K:K)</f>
        <v>Fatal</v>
      </c>
      <c r="G88" s="43">
        <f>_xlfn.XLOOKUP($B88,Errors!$A:$A,Errors!F:F)</f>
        <v>44805</v>
      </c>
      <c r="H88" s="44">
        <f>_xlfn.XLOOKUP($B88,Errors!$A:$A,Errors!H:H)</f>
        <v>0.81342592592592589</v>
      </c>
      <c r="I88">
        <f>_xlfn.XLOOKUP($D88,NimbusTreatments!B:B,NimbusTreatments!G:G)</f>
        <v>99</v>
      </c>
      <c r="J88">
        <f>_xlfn.XLOOKUP($D88,NimbusTreatments!$B:$B,NimbusTreatments!H:H)</f>
        <v>7</v>
      </c>
      <c r="K88" t="str">
        <f>_xlfn.XLOOKUP($B88,Errors!$A:$A,Errors!L:L)</f>
        <v>left_block2_lane2</v>
      </c>
      <c r="L88" s="45" t="str" cm="1">
        <f t="array" aca="1" ref="L88" ca="1">HYPERLINK("#" &amp; CELL("address", _xlfn.XLOOKUP($B88,Errors!$A:$A,Errors!M:M)))</f>
        <v>#[VRS_RobotData.xlsx]Errors!$M$88</v>
      </c>
      <c r="M88" t="str">
        <f>_xlfn.XLOOKUP($B88,Errors!$A:$A,Errors!O:O)</f>
        <v>0x1060002</v>
      </c>
      <c r="N88" t="str">
        <f>_xlfn.XLOOKUP($M88,'Error-codes'!$A:$A,'Error-codes'!B:B)</f>
        <v>motor drive: UNDER VOLTAGE</v>
      </c>
      <c r="O88" s="42">
        <f>_xlfn.XLOOKUP($B88,Errors!$A:$A,Errors!R:R)</f>
        <v>0</v>
      </c>
    </row>
    <row r="89" spans="1:19" ht="30.75">
      <c r="A89">
        <v>88</v>
      </c>
      <c r="B89" s="7" t="s">
        <v>291</v>
      </c>
      <c r="C89" t="str">
        <f>_xlfn.XLOOKUP(_xlfn.XLOOKUP(B89,Errors!A:A,Errors!B:B),Robots!C:C,Robots!D:D)</f>
        <v>LumionFix 024</v>
      </c>
      <c r="D89" t="str">
        <f>_xlfn.XLOOKUP($B89,Errors!$A:$A,Errors!D:D)</f>
        <v>db86888a-3de7-428d-a33e-3bb7a73b8809</v>
      </c>
      <c r="E89" s="42" t="str">
        <f>_xlfn.XLOOKUP($B89,Errors!$A:$A,Errors!E:E)</f>
        <v>failed</v>
      </c>
      <c r="F89" t="str">
        <f>_xlfn.XLOOKUP($B89,Errors!$A:$A,Errors!K:K)</f>
        <v>Fatal</v>
      </c>
      <c r="G89" s="43">
        <f>_xlfn.XLOOKUP($B89,Errors!$A:$A,Errors!F:F)</f>
        <v>44809</v>
      </c>
      <c r="H89" s="44">
        <f>_xlfn.XLOOKUP($B89,Errors!$A:$A,Errors!H:H)</f>
        <v>0.75055555555555553</v>
      </c>
      <c r="I89">
        <f>_xlfn.XLOOKUP($D89,NimbusTreatments!B:B,NimbusTreatments!G:G)</f>
        <v>188</v>
      </c>
      <c r="J89">
        <f>_xlfn.XLOOKUP($D89,NimbusTreatments!$B:$B,NimbusTreatments!H:H)</f>
        <v>1</v>
      </c>
      <c r="K89" t="str">
        <f>_xlfn.XLOOKUP($B89,Errors!$A:$A,Errors!L:L)</f>
        <v>right_3007</v>
      </c>
      <c r="L89" s="45" t="str" cm="1">
        <f t="array" aca="1" ref="L89" ca="1">HYPERLINK("#" &amp; CELL("address", _xlfn.XLOOKUP($B89,Errors!$A:$A,Errors!M:M)))</f>
        <v>#[VRS_RobotData.xlsx]Errors!$M$89</v>
      </c>
      <c r="M89" t="str">
        <f>_xlfn.XLOOKUP($B89,Errors!$A:$A,Errors!O:O)</f>
        <v>0x1060101</v>
      </c>
      <c r="N89" t="str">
        <f>_xlfn.XLOOKUP($M89,'Error-codes'!$A:$A,'Error-codes'!B:B)</f>
        <v>vision error</v>
      </c>
      <c r="O89" s="42">
        <f>_xlfn.XLOOKUP($B89,Errors!$A:$A,Errors!R:R)</f>
        <v>0</v>
      </c>
      <c r="P89" s="46" t="s">
        <v>3383</v>
      </c>
      <c r="Q89" s="46"/>
      <c r="R89" s="46"/>
      <c r="S89" s="46"/>
    </row>
    <row r="90" spans="1:19" ht="152.25" hidden="1">
      <c r="A90">
        <v>89</v>
      </c>
      <c r="B90" s="1" t="s">
        <v>294</v>
      </c>
      <c r="C90" t="str">
        <f>_xlfn.XLOOKUP(_xlfn.XLOOKUP(B90,Errors!A:A,Errors!B:B),Robots!C:C,Robots!D:D)</f>
        <v>LumionFix 023</v>
      </c>
      <c r="D90" t="str">
        <f>_xlfn.XLOOKUP($B90,Errors!$A:$A,Errors!D:D)</f>
        <v>343df7e4-8c5d-42c1-b1a9-5c8c020da66f</v>
      </c>
      <c r="E90" s="42" t="str">
        <f>_xlfn.XLOOKUP($B90,Errors!$A:$A,Errors!E:E)</f>
        <v>failed</v>
      </c>
      <c r="F90" t="str">
        <f>_xlfn.XLOOKUP($B90,Errors!$A:$A,Errors!K:K)</f>
        <v>Recovery</v>
      </c>
      <c r="G90" s="43">
        <f>_xlfn.XLOOKUP($B90,Errors!$A:$A,Errors!F:F)</f>
        <v>44809</v>
      </c>
      <c r="H90" s="44">
        <f>_xlfn.XLOOKUP($B90,Errors!$A:$A,Errors!H:H)</f>
        <v>0.88115740740740733</v>
      </c>
      <c r="I90">
        <f>_xlfn.XLOOKUP($D90,NimbusTreatments!B:B,NimbusTreatments!G:G)</f>
        <v>114</v>
      </c>
      <c r="J90">
        <f>_xlfn.XLOOKUP($D90,NimbusTreatments!$B:$B,NimbusTreatments!H:H)</f>
        <v>45</v>
      </c>
      <c r="K90">
        <f>_xlfn.XLOOKUP($B90,Errors!$A:$A,Errors!L:L)</f>
        <v>0</v>
      </c>
      <c r="L90" s="45" t="str" cm="1">
        <f t="array" aca="1" ref="L90" ca="1">HYPERLINK("#" &amp; CELL("address", _xlfn.XLOOKUP($B90,Errors!$A:$A,Errors!M:M)))</f>
        <v>#[VRS_RobotData.xlsx]Errors!$M$90</v>
      </c>
      <c r="M90" t="str">
        <f>_xlfn.XLOOKUP($B90,Errors!$A:$A,Errors!O:O)</f>
        <v>0x1040102</v>
      </c>
      <c r="N90" t="str">
        <f>_xlfn.XLOOKUP($M90,'Error-codes'!$A:$A,'Error-codes'!B:B)</f>
        <v>inductive sensor error</v>
      </c>
      <c r="O90" s="42">
        <f>_xlfn.XLOOKUP($B90,Errors!$A:$A,Errors!R:R)</f>
        <v>0</v>
      </c>
      <c r="P90" s="46" t="s">
        <v>3384</v>
      </c>
      <c r="Q90" s="46" t="s">
        <v>3385</v>
      </c>
      <c r="R90" s="46" t="s">
        <v>3386</v>
      </c>
      <c r="S90" s="46"/>
    </row>
    <row r="91" spans="1:19" ht="60.75" hidden="1">
      <c r="A91">
        <v>90</v>
      </c>
      <c r="B91" s="7" t="s">
        <v>298</v>
      </c>
      <c r="C91" t="str">
        <f>_xlfn.XLOOKUP(_xlfn.XLOOKUP(B91,Errors!A:A,Errors!B:B),Robots!C:C,Robots!D:D)</f>
        <v>LumionFix 023</v>
      </c>
      <c r="D91" t="str">
        <f>_xlfn.XLOOKUP($B91,Errors!$A:$A,Errors!D:D)</f>
        <v>343df7e4-8c5d-42c1-b1a9-5c8c020da66f</v>
      </c>
      <c r="E91" s="42" t="str">
        <f>_xlfn.XLOOKUP($B91,Errors!$A:$A,Errors!E:E)</f>
        <v>failed</v>
      </c>
      <c r="F91" t="str">
        <f>_xlfn.XLOOKUP($B91,Errors!$A:$A,Errors!K:K)</f>
        <v>Fatal</v>
      </c>
      <c r="G91" s="43">
        <f>_xlfn.XLOOKUP($B91,Errors!$A:$A,Errors!F:F)</f>
        <v>44809</v>
      </c>
      <c r="H91" s="44">
        <f>_xlfn.XLOOKUP($B91,Errors!$A:$A,Errors!H:H)</f>
        <v>0.95307870370370373</v>
      </c>
      <c r="I91">
        <f>_xlfn.XLOOKUP($D91,NimbusTreatments!B:B,NimbusTreatments!G:G)</f>
        <v>114</v>
      </c>
      <c r="J91">
        <f>_xlfn.XLOOKUP($D91,NimbusTreatments!$B:$B,NimbusTreatments!H:H)</f>
        <v>45</v>
      </c>
      <c r="K91" t="str">
        <f>_xlfn.XLOOKUP($B91,Errors!$A:$A,Errors!L:L)</f>
        <v>left_lane3278</v>
      </c>
      <c r="L91" s="45" t="str" cm="1">
        <f t="array" aca="1" ref="L91" ca="1">HYPERLINK("#" &amp; CELL("address", _xlfn.XLOOKUP($B91,Errors!$A:$A,Errors!M:M)))</f>
        <v>#[VRS_RobotData.xlsx]Errors!$M$91</v>
      </c>
      <c r="M91" t="str">
        <f>_xlfn.XLOOKUP($B91,Errors!$A:$A,Errors!O:O)</f>
        <v>0x1040001</v>
      </c>
      <c r="N91" t="str">
        <f>_xlfn.XLOOKUP($M91,'Error-codes'!$A:$A,'Error-codes'!B:B)</f>
        <v>vehicle diverged too far from trajectory</v>
      </c>
      <c r="O91" s="42">
        <f>_xlfn.XLOOKUP($B91,Errors!$A:$A,Errors!R:R)</f>
        <v>0</v>
      </c>
      <c r="P91" s="46" t="s">
        <v>3387</v>
      </c>
      <c r="R91" t="s">
        <v>3381</v>
      </c>
    </row>
    <row r="92" spans="1:19" ht="106.5" hidden="1">
      <c r="A92">
        <v>91</v>
      </c>
      <c r="B92" s="1" t="s">
        <v>300</v>
      </c>
      <c r="C92" t="str">
        <f>_xlfn.XLOOKUP(_xlfn.XLOOKUP(B92,Errors!A:A,Errors!B:B),Robots!C:C,Robots!D:D)</f>
        <v>LumionFix 023</v>
      </c>
      <c r="D92" t="str">
        <f>_xlfn.XLOOKUP($B92,Errors!$A:$A,Errors!D:D)</f>
        <v>d7838348-6e69-4370-bd82-d238e8571fbf</v>
      </c>
      <c r="E92" s="42" t="str">
        <f>_xlfn.XLOOKUP($B92,Errors!$A:$A,Errors!E:E)</f>
        <v>failed</v>
      </c>
      <c r="F92" t="str">
        <f>_xlfn.XLOOKUP($B92,Errors!$A:$A,Errors!K:K)</f>
        <v>Fatal</v>
      </c>
      <c r="G92" s="43">
        <f>_xlfn.XLOOKUP($B92,Errors!$A:$A,Errors!F:F)</f>
        <v>44811</v>
      </c>
      <c r="H92" s="44">
        <f>_xlfn.XLOOKUP($B92,Errors!$A:$A,Errors!H:H)</f>
        <v>0.79028935185185178</v>
      </c>
      <c r="I92">
        <f>_xlfn.XLOOKUP($D92,NimbusTreatments!B:B,NimbusTreatments!G:G)</f>
        <v>104</v>
      </c>
      <c r="J92">
        <f>_xlfn.XLOOKUP($D92,NimbusTreatments!$B:$B,NimbusTreatments!H:H)</f>
        <v>9</v>
      </c>
      <c r="K92" t="str">
        <f>_xlfn.XLOOKUP($B92,Errors!$A:$A,Errors!L:L)</f>
        <v>left_lane3276</v>
      </c>
      <c r="L92" s="45" t="str" cm="1">
        <f t="array" aca="1" ref="L92" ca="1">HYPERLINK("#" &amp; CELL("address", _xlfn.XLOOKUP($B92,Errors!$A:$A,Errors!M:M)))</f>
        <v>#[VRS_RobotData.xlsx]Errors!$M$92</v>
      </c>
      <c r="M92" t="str">
        <f>_xlfn.XLOOKUP($B92,Errors!$A:$A,Errors!O:O)</f>
        <v>0x1040104</v>
      </c>
      <c r="N92" t="str">
        <f>_xlfn.XLOOKUP($M92,'Error-codes'!$A:$A,'Error-codes'!B:B)</f>
        <v>end of lane open sensor error</v>
      </c>
      <c r="O92" s="42">
        <f>_xlfn.XLOOKUP($B92,Errors!$A:$A,Errors!R:R)</f>
        <v>0</v>
      </c>
      <c r="P92" s="46" t="s">
        <v>3388</v>
      </c>
      <c r="Q92" s="46" t="s">
        <v>3385</v>
      </c>
      <c r="R92" s="46" t="s">
        <v>3389</v>
      </c>
    </row>
    <row r="93" spans="1:19" ht="30.75">
      <c r="A93">
        <v>92</v>
      </c>
      <c r="B93" s="7" t="s">
        <v>303</v>
      </c>
      <c r="C93" t="str">
        <f>_xlfn.XLOOKUP(_xlfn.XLOOKUP(B93,Errors!A:A,Errors!B:B),Robots!C:C,Robots!D:D)</f>
        <v>LumionFix 024</v>
      </c>
      <c r="D93" t="str">
        <f>_xlfn.XLOOKUP($B93,Errors!$A:$A,Errors!D:D)</f>
        <v>94fa43d2-2c4f-414e-994c-e5fd5c208056</v>
      </c>
      <c r="E93" s="42" t="str">
        <f>_xlfn.XLOOKUP($B93,Errors!$A:$A,Errors!E:E)</f>
        <v>failed</v>
      </c>
      <c r="F93" t="str">
        <f>_xlfn.XLOOKUP($B93,Errors!$A:$A,Errors!K:K)</f>
        <v>Recovery</v>
      </c>
      <c r="G93" s="43">
        <f>_xlfn.XLOOKUP($B93,Errors!$A:$A,Errors!F:F)</f>
        <v>44811</v>
      </c>
      <c r="H93" s="44">
        <f>_xlfn.XLOOKUP($B93,Errors!$A:$A,Errors!H:H)</f>
        <v>0.79679398148148151</v>
      </c>
      <c r="I93">
        <f>_xlfn.XLOOKUP($D93,NimbusTreatments!B:B,NimbusTreatments!G:G)</f>
        <v>139</v>
      </c>
      <c r="J93">
        <f>_xlfn.XLOOKUP($D93,NimbusTreatments!$B:$B,NimbusTreatments!H:H)</f>
        <v>14</v>
      </c>
      <c r="K93">
        <f>_xlfn.XLOOKUP($B93,Errors!$A:$A,Errors!L:L)</f>
        <v>0</v>
      </c>
      <c r="L93" s="45" t="str" cm="1">
        <f t="array" aca="1" ref="L93" ca="1">HYPERLINK("#" &amp; CELL("address", _xlfn.XLOOKUP($B93,Errors!$A:$A,Errors!M:M)))</f>
        <v>#[VRS_RobotData.xlsx]Errors!$M$93</v>
      </c>
      <c r="M93" t="str">
        <f>_xlfn.XLOOKUP($B93,Errors!$A:$A,Errors!O:O)</f>
        <v>0x1040001</v>
      </c>
      <c r="N93" t="str">
        <f>_xlfn.XLOOKUP($M93,'Error-codes'!$A:$A,'Error-codes'!B:B)</f>
        <v>vehicle diverged too far from trajectory</v>
      </c>
      <c r="O93" s="42">
        <f>_xlfn.XLOOKUP($B93,Errors!$A:$A,Errors!R:R)</f>
        <v>0</v>
      </c>
      <c r="P93" s="47" t="s">
        <v>3390</v>
      </c>
    </row>
    <row r="94" spans="1:19" ht="45.75">
      <c r="A94">
        <v>93</v>
      </c>
      <c r="B94" s="1" t="s">
        <v>305</v>
      </c>
      <c r="C94" t="str">
        <f>_xlfn.XLOOKUP(_xlfn.XLOOKUP(B94,Errors!A:A,Errors!B:B),Robots!C:C,Robots!D:D)</f>
        <v>LumionFix 024</v>
      </c>
      <c r="D94" t="str">
        <f>_xlfn.XLOOKUP($B94,Errors!$A:$A,Errors!D:D)</f>
        <v>94fa43d2-2c4f-414e-994c-e5fd5c208056</v>
      </c>
      <c r="E94" s="42" t="str">
        <f>_xlfn.XLOOKUP($B94,Errors!$A:$A,Errors!E:E)</f>
        <v>failed</v>
      </c>
      <c r="F94" t="str">
        <f>_xlfn.XLOOKUP($B94,Errors!$A:$A,Errors!K:K)</f>
        <v>Fatal</v>
      </c>
      <c r="G94" s="43">
        <f>_xlfn.XLOOKUP($B94,Errors!$A:$A,Errors!F:F)</f>
        <v>44811</v>
      </c>
      <c r="H94" s="44">
        <f>_xlfn.XLOOKUP($B94,Errors!$A:$A,Errors!H:H)</f>
        <v>0.88216435185185194</v>
      </c>
      <c r="I94">
        <f>_xlfn.XLOOKUP($D94,NimbusTreatments!B:B,NimbusTreatments!G:G)</f>
        <v>139</v>
      </c>
      <c r="J94">
        <f>_xlfn.XLOOKUP($D94,NimbusTreatments!$B:$B,NimbusTreatments!H:H)</f>
        <v>14</v>
      </c>
      <c r="K94" t="str">
        <f>_xlfn.XLOOKUP($B94,Errors!$A:$A,Errors!L:L)</f>
        <v>right_3207</v>
      </c>
      <c r="L94" s="45" t="str" cm="1">
        <f t="array" aca="1" ref="L94" ca="1">HYPERLINK("#" &amp; CELL("address", _xlfn.XLOOKUP($B94,Errors!$A:$A,Errors!M:M)))</f>
        <v>#[VRS_RobotData.xlsx]Errors!$M$94</v>
      </c>
      <c r="M94" t="str">
        <f>_xlfn.XLOOKUP($B94,Errors!$A:$A,Errors!O:O)</f>
        <v>0x1040102</v>
      </c>
      <c r="N94" t="str">
        <f>_xlfn.XLOOKUP($M94,'Error-codes'!$A:$A,'Error-codes'!B:B)</f>
        <v>inductive sensor error</v>
      </c>
      <c r="O94" s="42">
        <f>_xlfn.XLOOKUP($B94,Errors!$A:$A,Errors!R:R)</f>
        <v>0</v>
      </c>
      <c r="P94" s="46" t="s">
        <v>3391</v>
      </c>
    </row>
    <row r="95" spans="1:19" ht="30.75" hidden="1">
      <c r="A95">
        <v>94</v>
      </c>
      <c r="B95" s="7" t="s">
        <v>307</v>
      </c>
      <c r="C95" t="str">
        <f>_xlfn.XLOOKUP(_xlfn.XLOOKUP(B95,Errors!A:A,Errors!B:B),Robots!C:C,Robots!D:D)</f>
        <v>LumionFix 023</v>
      </c>
      <c r="D95" t="str">
        <f>_xlfn.XLOOKUP($B95,Errors!$A:$A,Errors!D:D)</f>
        <v>7d5b898b-2ec9-438a-896a-ec8d710bf2ae</v>
      </c>
      <c r="E95" s="42" t="str">
        <f>_xlfn.XLOOKUP($B95,Errors!$A:$A,Errors!E:E)</f>
        <v>failed</v>
      </c>
      <c r="F95" t="str">
        <f>_xlfn.XLOOKUP($B95,Errors!$A:$A,Errors!K:K)</f>
        <v>Fatal</v>
      </c>
      <c r="G95" s="43">
        <f>_xlfn.XLOOKUP($B95,Errors!$A:$A,Errors!F:F)</f>
        <v>44812</v>
      </c>
      <c r="H95" s="44">
        <f>_xlfn.XLOOKUP($B95,Errors!$A:$A,Errors!H:H)</f>
        <v>0.16438657407407406</v>
      </c>
      <c r="I95">
        <f>_xlfn.XLOOKUP($D95,NimbusTreatments!B:B,NimbusTreatments!G:G)</f>
        <v>16</v>
      </c>
      <c r="J95">
        <f>_xlfn.XLOOKUP($D95,NimbusTreatments!$B:$B,NimbusTreatments!H:H)</f>
        <v>0</v>
      </c>
      <c r="K95" t="str">
        <f>_xlfn.XLOOKUP($B95,Errors!$A:$A,Errors!L:L)</f>
        <v>left_lane3276</v>
      </c>
      <c r="L95" s="45" t="str" cm="1">
        <f t="array" aca="1" ref="L95" ca="1">HYPERLINK("#" &amp; CELL("address", _xlfn.XLOOKUP($B95,Errors!$A:$A,Errors!M:M)))</f>
        <v>#[VRS_RobotData.xlsx]Errors!$M$95</v>
      </c>
      <c r="M95" t="str">
        <f>_xlfn.XLOOKUP($B95,Errors!$A:$A,Errors!O:O)</f>
        <v>0x1040104</v>
      </c>
      <c r="N95" t="str">
        <f>_xlfn.XLOOKUP($M95,'Error-codes'!$A:$A,'Error-codes'!B:B)</f>
        <v>end of lane open sensor error</v>
      </c>
      <c r="O95" s="42">
        <f>_xlfn.XLOOKUP($B95,Errors!$A:$A,Errors!R:R)</f>
        <v>0</v>
      </c>
      <c r="P95" s="46" t="s">
        <v>3388</v>
      </c>
      <c r="Q95" t="s">
        <v>3385</v>
      </c>
      <c r="R95" s="46" t="s">
        <v>3392</v>
      </c>
      <c r="S95" s="46" t="s">
        <v>3393</v>
      </c>
    </row>
    <row r="96" spans="1:19" ht="45.75" hidden="1">
      <c r="A96">
        <v>95</v>
      </c>
      <c r="B96" s="1" t="s">
        <v>309</v>
      </c>
      <c r="C96" t="str">
        <f>_xlfn.XLOOKUP(_xlfn.XLOOKUP(B96,Errors!A:A,Errors!B:B),Robots!C:C,Robots!D:D)</f>
        <v>LumionFix 023</v>
      </c>
      <c r="D96" t="str">
        <f>_xlfn.XLOOKUP($B96,Errors!$A:$A,Errors!D:D)</f>
        <v>97faf759-c83d-47fc-b2d4-c4ab2a3490c0</v>
      </c>
      <c r="E96" s="42" t="str">
        <f>_xlfn.XLOOKUP($B96,Errors!$A:$A,Errors!E:E)</f>
        <v>failed</v>
      </c>
      <c r="F96" t="str">
        <f>_xlfn.XLOOKUP($B96,Errors!$A:$A,Errors!K:K)</f>
        <v>Fatal</v>
      </c>
      <c r="G96" s="43">
        <f>_xlfn.XLOOKUP($B96,Errors!$A:$A,Errors!F:F)</f>
        <v>44812</v>
      </c>
      <c r="H96" s="44">
        <f>_xlfn.XLOOKUP($B96,Errors!$A:$A,Errors!H:H)</f>
        <v>0.20761574074074074</v>
      </c>
      <c r="I96">
        <f>_xlfn.XLOOKUP($D96,NimbusTreatments!B:B,NimbusTreatments!G:G)</f>
        <v>69</v>
      </c>
      <c r="J96">
        <f>_xlfn.XLOOKUP($D96,NimbusTreatments!$B:$B,NimbusTreatments!H:H)</f>
        <v>13</v>
      </c>
      <c r="K96" t="str">
        <f>_xlfn.XLOOKUP($B96,Errors!$A:$A,Errors!L:L)</f>
        <v>left_lane3308</v>
      </c>
      <c r="L96" s="45" t="str" cm="1">
        <f t="array" aca="1" ref="L96" ca="1">HYPERLINK("#" &amp; CELL("address", _xlfn.XLOOKUP($B96,Errors!$A:$A,Errors!M:M)))</f>
        <v>#[VRS_RobotData.xlsx]Errors!$M$96</v>
      </c>
      <c r="M96" t="str">
        <f>_xlfn.XLOOKUP($B96,Errors!$A:$A,Errors!O:O)</f>
        <v>0x1040105</v>
      </c>
      <c r="N96" t="str">
        <f>_xlfn.XLOOKUP($M96,'Error-codes'!$A:$A,'Error-codes'!B:B)</f>
        <v>xtheta sensor error</v>
      </c>
      <c r="O96" s="42">
        <f>_xlfn.XLOOKUP($B96,Errors!$A:$A,Errors!R:R)</f>
        <v>0</v>
      </c>
      <c r="P96" s="46" t="s">
        <v>3394</v>
      </c>
      <c r="Q96" s="45">
        <v>20220922</v>
      </c>
    </row>
    <row r="97" spans="1:19">
      <c r="A97">
        <v>96</v>
      </c>
      <c r="B97" s="7" t="s">
        <v>312</v>
      </c>
      <c r="C97" t="str">
        <f>_xlfn.XLOOKUP(_xlfn.XLOOKUP(B97,Errors!A:A,Errors!B:B),Robots!C:C,Robots!D:D)</f>
        <v>LumionFix 024</v>
      </c>
      <c r="D97" t="str">
        <f>_xlfn.XLOOKUP($B97,Errors!$A:$A,Errors!D:D)</f>
        <v>63e73a2e-1e3f-414e-9922-53da566035d8</v>
      </c>
      <c r="E97" s="42" t="str">
        <f>_xlfn.XLOOKUP($B97,Errors!$A:$A,Errors!E:E)</f>
        <v>failed</v>
      </c>
      <c r="F97" t="str">
        <f>_xlfn.XLOOKUP($B97,Errors!$A:$A,Errors!K:K)</f>
        <v>Recovery</v>
      </c>
      <c r="G97" s="43">
        <f>_xlfn.XLOOKUP($B97,Errors!$A:$A,Errors!F:F)</f>
        <v>44816</v>
      </c>
      <c r="H97" s="44">
        <f>_xlfn.XLOOKUP($B97,Errors!$A:$A,Errors!H:H)</f>
        <v>0.68119212962962961</v>
      </c>
      <c r="I97">
        <f>_xlfn.XLOOKUP($D97,NimbusTreatments!B:B,NimbusTreatments!G:G)</f>
        <v>103</v>
      </c>
      <c r="J97">
        <f>_xlfn.XLOOKUP($D97,NimbusTreatments!$B:$B,NimbusTreatments!H:H)</f>
        <v>0</v>
      </c>
      <c r="K97">
        <f>_xlfn.XLOOKUP($B97,Errors!$A:$A,Errors!L:L)</f>
        <v>0</v>
      </c>
      <c r="L97" s="45" t="str" cm="1">
        <f t="array" aca="1" ref="L97" ca="1">HYPERLINK("#" &amp; CELL("address", _xlfn.XLOOKUP($B97,Errors!$A:$A,Errors!M:M)))</f>
        <v>#[VRS_RobotData.xlsx]Errors!$M$97</v>
      </c>
      <c r="M97" t="str">
        <f>_xlfn.XLOOKUP($B97,Errors!$A:$A,Errors!O:O)</f>
        <v>0x1060101</v>
      </c>
      <c r="N97" t="str">
        <f>_xlfn.XLOOKUP($M97,'Error-codes'!$A:$A,'Error-codes'!B:B)</f>
        <v>vision error</v>
      </c>
      <c r="O97" s="42">
        <f>_xlfn.XLOOKUP($B97,Errors!$A:$A,Errors!R:R)</f>
        <v>0</v>
      </c>
    </row>
    <row r="98" spans="1:19">
      <c r="A98">
        <v>97</v>
      </c>
      <c r="B98" s="1" t="s">
        <v>315</v>
      </c>
      <c r="C98" t="str">
        <f>_xlfn.XLOOKUP(_xlfn.XLOOKUP(B98,Errors!A:A,Errors!B:B),Robots!C:C,Robots!D:D)</f>
        <v>LumionFix 024</v>
      </c>
      <c r="D98" t="str">
        <f>_xlfn.XLOOKUP($B98,Errors!$A:$A,Errors!D:D)</f>
        <v>63e73a2e-1e3f-414e-9922-53da566035d8</v>
      </c>
      <c r="E98" s="42" t="str">
        <f>_xlfn.XLOOKUP($B98,Errors!$A:$A,Errors!E:E)</f>
        <v>failed</v>
      </c>
      <c r="F98" t="str">
        <f>_xlfn.XLOOKUP($B98,Errors!$A:$A,Errors!K:K)</f>
        <v>Fatal</v>
      </c>
      <c r="G98" s="43">
        <f>_xlfn.XLOOKUP($B98,Errors!$A:$A,Errors!F:F)</f>
        <v>44816</v>
      </c>
      <c r="H98" s="44">
        <f>_xlfn.XLOOKUP($B98,Errors!$A:$A,Errors!H:H)</f>
        <v>0.68174768518518514</v>
      </c>
      <c r="I98">
        <f>_xlfn.XLOOKUP($D98,NimbusTreatments!B:B,NimbusTreatments!G:G)</f>
        <v>103</v>
      </c>
      <c r="J98">
        <f>_xlfn.XLOOKUP($D98,NimbusTreatments!$B:$B,NimbusTreatments!H:H)</f>
        <v>0</v>
      </c>
      <c r="K98" t="str">
        <f>_xlfn.XLOOKUP($B98,Errors!$A:$A,Errors!L:L)</f>
        <v>right_3261</v>
      </c>
      <c r="L98" s="45" t="str" cm="1">
        <f t="array" aca="1" ref="L98" ca="1">HYPERLINK("#" &amp; CELL("address", _xlfn.XLOOKUP($B98,Errors!$A:$A,Errors!M:M)))</f>
        <v>#[VRS_RobotData.xlsx]Errors!$M$98</v>
      </c>
      <c r="M98" t="str">
        <f>_xlfn.XLOOKUP($B98,Errors!$A:$A,Errors!O:O)</f>
        <v>0x1060101</v>
      </c>
      <c r="N98" t="str">
        <f>_xlfn.XLOOKUP($M98,'Error-codes'!$A:$A,'Error-codes'!B:B)</f>
        <v>vision error</v>
      </c>
      <c r="O98" s="42">
        <f>_xlfn.XLOOKUP($B98,Errors!$A:$A,Errors!R:R)</f>
        <v>0</v>
      </c>
    </row>
    <row r="99" spans="1:19">
      <c r="A99">
        <v>98</v>
      </c>
      <c r="B99" s="7" t="s">
        <v>317</v>
      </c>
      <c r="C99" t="str">
        <f>_xlfn.XLOOKUP(_xlfn.XLOOKUP(B99,Errors!A:A,Errors!B:B),Robots!C:C,Robots!D:D)</f>
        <v>LumionFix 024</v>
      </c>
      <c r="D99" t="str">
        <f>_xlfn.XLOOKUP($B99,Errors!$A:$A,Errors!D:D)</f>
        <v>4038d258-0f00-49cb-b8da-346ce87b6534</v>
      </c>
      <c r="E99" s="42" t="str">
        <f>_xlfn.XLOOKUP($B99,Errors!$A:$A,Errors!E:E)</f>
        <v>failed</v>
      </c>
      <c r="F99" t="str">
        <f>_xlfn.XLOOKUP($B99,Errors!$A:$A,Errors!K:K)</f>
        <v>Fatal</v>
      </c>
      <c r="G99" s="43">
        <f>_xlfn.XLOOKUP($B99,Errors!$A:$A,Errors!F:F)</f>
        <v>44816</v>
      </c>
      <c r="H99" s="44">
        <f>_xlfn.XLOOKUP($B99,Errors!$A:$A,Errors!H:H)</f>
        <v>0.68263888888888891</v>
      </c>
      <c r="I99">
        <f>_xlfn.XLOOKUP($D99,NimbusTreatments!B:B,NimbusTreatments!G:G)</f>
        <v>102</v>
      </c>
      <c r="J99">
        <f>_xlfn.XLOOKUP($D99,NimbusTreatments!$B:$B,NimbusTreatments!H:H)</f>
        <v>0</v>
      </c>
      <c r="K99" t="str">
        <f>_xlfn.XLOOKUP($B99,Errors!$A:$A,Errors!L:L)</f>
        <v>right_3261</v>
      </c>
      <c r="L99" s="45" t="str" cm="1">
        <f t="array" aca="1" ref="L99" ca="1">HYPERLINK("#" &amp; CELL("address", _xlfn.XLOOKUP($B99,Errors!$A:$A,Errors!M:M)))</f>
        <v>#[VRS_RobotData.xlsx]Errors!$M$99</v>
      </c>
      <c r="M99" t="str">
        <f>_xlfn.XLOOKUP($B99,Errors!$A:$A,Errors!O:O)</f>
        <v>0x1060101</v>
      </c>
      <c r="N99" t="str">
        <f>_xlfn.XLOOKUP($M99,'Error-codes'!$A:$A,'Error-codes'!B:B)</f>
        <v>vision error</v>
      </c>
      <c r="O99" s="42">
        <f>_xlfn.XLOOKUP($B99,Errors!$A:$A,Errors!R:R)</f>
        <v>0</v>
      </c>
    </row>
    <row r="100" spans="1:19">
      <c r="A100">
        <v>99</v>
      </c>
      <c r="B100" s="1" t="s">
        <v>319</v>
      </c>
      <c r="C100" t="str">
        <f>_xlfn.XLOOKUP(_xlfn.XLOOKUP(B100,Errors!A:A,Errors!B:B),Robots!C:C,Robots!D:D)</f>
        <v>LumionFix 024</v>
      </c>
      <c r="D100" t="str">
        <f>_xlfn.XLOOKUP($B100,Errors!$A:$A,Errors!D:D)</f>
        <v>a08133f9-17f9-4685-8cd8-c77082e50325</v>
      </c>
      <c r="E100" s="42" t="str">
        <f>_xlfn.XLOOKUP($B100,Errors!$A:$A,Errors!E:E)</f>
        <v>failed</v>
      </c>
      <c r="F100" t="str">
        <f>_xlfn.XLOOKUP($B100,Errors!$A:$A,Errors!K:K)</f>
        <v>Recovery</v>
      </c>
      <c r="G100" s="43">
        <f>_xlfn.XLOOKUP($B100,Errors!$A:$A,Errors!F:F)</f>
        <v>44816</v>
      </c>
      <c r="H100" s="44">
        <f>_xlfn.XLOOKUP($B100,Errors!$A:$A,Errors!H:H)</f>
        <v>0.6937268518518519</v>
      </c>
      <c r="I100">
        <f>_xlfn.XLOOKUP($D100,NimbusTreatments!B:B,NimbusTreatments!G:G)</f>
        <v>103</v>
      </c>
      <c r="J100">
        <f>_xlfn.XLOOKUP($D100,NimbusTreatments!$B:$B,NimbusTreatments!H:H)</f>
        <v>0</v>
      </c>
      <c r="K100">
        <f>_xlfn.XLOOKUP($B100,Errors!$A:$A,Errors!L:L)</f>
        <v>0</v>
      </c>
      <c r="L100" s="45" t="str" cm="1">
        <f t="array" aca="1" ref="L100" ca="1">HYPERLINK("#" &amp; CELL("address", _xlfn.XLOOKUP($B100,Errors!$A:$A,Errors!M:M)))</f>
        <v>#[VRS_RobotData.xlsx]Errors!$M$100</v>
      </c>
      <c r="M100" t="str">
        <f>_xlfn.XLOOKUP($B100,Errors!$A:$A,Errors!O:O)</f>
        <v>0x1060101</v>
      </c>
      <c r="N100" t="str">
        <f>_xlfn.XLOOKUP($M100,'Error-codes'!$A:$A,'Error-codes'!B:B)</f>
        <v>vision error</v>
      </c>
      <c r="O100" s="42">
        <f>_xlfn.XLOOKUP($B100,Errors!$A:$A,Errors!R:R)</f>
        <v>0</v>
      </c>
    </row>
    <row r="101" spans="1:19">
      <c r="A101">
        <v>100</v>
      </c>
      <c r="B101" s="7" t="s">
        <v>321</v>
      </c>
      <c r="C101" t="str">
        <f>_xlfn.XLOOKUP(_xlfn.XLOOKUP(B101,Errors!A:A,Errors!B:B),Robots!C:C,Robots!D:D)</f>
        <v>LumionFix 024</v>
      </c>
      <c r="D101" t="str">
        <f>_xlfn.XLOOKUP($B101,Errors!$A:$A,Errors!D:D)</f>
        <v>a08133f9-17f9-4685-8cd8-c77082e50325</v>
      </c>
      <c r="E101" s="42" t="str">
        <f>_xlfn.XLOOKUP($B101,Errors!$A:$A,Errors!E:E)</f>
        <v>failed</v>
      </c>
      <c r="F101" t="str">
        <f>_xlfn.XLOOKUP($B101,Errors!$A:$A,Errors!K:K)</f>
        <v>Fatal</v>
      </c>
      <c r="G101" s="43">
        <f>_xlfn.XLOOKUP($B101,Errors!$A:$A,Errors!F:F)</f>
        <v>44816</v>
      </c>
      <c r="H101" s="44">
        <f>_xlfn.XLOOKUP($B101,Errors!$A:$A,Errors!H:H)</f>
        <v>0.69429398148148147</v>
      </c>
      <c r="I101">
        <f>_xlfn.XLOOKUP($D101,NimbusTreatments!B:B,NimbusTreatments!G:G)</f>
        <v>103</v>
      </c>
      <c r="J101">
        <f>_xlfn.XLOOKUP($D101,NimbusTreatments!$B:$B,NimbusTreatments!H:H)</f>
        <v>0</v>
      </c>
      <c r="K101" t="str">
        <f>_xlfn.XLOOKUP($B101,Errors!$A:$A,Errors!L:L)</f>
        <v>right_3261</v>
      </c>
      <c r="L101" s="45" t="str" cm="1">
        <f t="array" aca="1" ref="L101" ca="1">HYPERLINK("#" &amp; CELL("address", _xlfn.XLOOKUP($B101,Errors!$A:$A,Errors!M:M)))</f>
        <v>#[VRS_RobotData.xlsx]Errors!$M$101</v>
      </c>
      <c r="M101" t="str">
        <f>_xlfn.XLOOKUP($B101,Errors!$A:$A,Errors!O:O)</f>
        <v>0x1060101</v>
      </c>
      <c r="N101" t="str">
        <f>_xlfn.XLOOKUP($M101,'Error-codes'!$A:$A,'Error-codes'!B:B)</f>
        <v>vision error</v>
      </c>
      <c r="O101" s="42">
        <f>_xlfn.XLOOKUP($B101,Errors!$A:$A,Errors!R:R)</f>
        <v>0</v>
      </c>
      <c r="P101" s="46"/>
      <c r="Q101" s="46"/>
      <c r="R101" s="46"/>
      <c r="S101" s="46"/>
    </row>
    <row r="102" spans="1:19">
      <c r="A102">
        <v>101</v>
      </c>
      <c r="B102" s="1" t="s">
        <v>322</v>
      </c>
      <c r="C102" t="str">
        <f>_xlfn.XLOOKUP(_xlfn.XLOOKUP(B102,Errors!A:A,Errors!B:B),Robots!C:C,Robots!D:D)</f>
        <v>LumionFix 024</v>
      </c>
      <c r="D102" t="str">
        <f>_xlfn.XLOOKUP($B102,Errors!$A:$A,Errors!D:D)</f>
        <v>df8e3026-232f-4058-9499-d085ff0c1eb9</v>
      </c>
      <c r="E102" s="42" t="str">
        <f>_xlfn.XLOOKUP($B102,Errors!$A:$A,Errors!E:E)</f>
        <v>failed</v>
      </c>
      <c r="F102" t="str">
        <f>_xlfn.XLOOKUP($B102,Errors!$A:$A,Errors!K:K)</f>
        <v>Recovery</v>
      </c>
      <c r="G102" s="43">
        <f>_xlfn.XLOOKUP($B102,Errors!$A:$A,Errors!F:F)</f>
        <v>44816</v>
      </c>
      <c r="H102" s="44">
        <f>_xlfn.XLOOKUP($B102,Errors!$A:$A,Errors!H:H)</f>
        <v>0.69997685185185177</v>
      </c>
      <c r="I102">
        <f>_xlfn.XLOOKUP($D102,NimbusTreatments!B:B,NimbusTreatments!G:G)</f>
        <v>104</v>
      </c>
      <c r="J102">
        <f>_xlfn.XLOOKUP($D102,NimbusTreatments!$B:$B,NimbusTreatments!H:H)</f>
        <v>0</v>
      </c>
      <c r="K102">
        <f>_xlfn.XLOOKUP($B102,Errors!$A:$A,Errors!L:L)</f>
        <v>0</v>
      </c>
      <c r="L102" s="45" t="str" cm="1">
        <f t="array" aca="1" ref="L102" ca="1">HYPERLINK("#" &amp; CELL("address", _xlfn.XLOOKUP($B102,Errors!$A:$A,Errors!M:M)))</f>
        <v>#[VRS_RobotData.xlsx]Errors!$M$102</v>
      </c>
      <c r="M102" t="str">
        <f>_xlfn.XLOOKUP($B102,Errors!$A:$A,Errors!O:O)</f>
        <v>0x1060101</v>
      </c>
      <c r="N102" t="str">
        <f>_xlfn.XLOOKUP($M102,'Error-codes'!$A:$A,'Error-codes'!B:B)</f>
        <v>vision error</v>
      </c>
      <c r="O102" s="42">
        <f>_xlfn.XLOOKUP($B102,Errors!$A:$A,Errors!R:R)</f>
        <v>0</v>
      </c>
    </row>
    <row r="103" spans="1:19">
      <c r="A103">
        <v>102</v>
      </c>
      <c r="B103" s="7" t="s">
        <v>324</v>
      </c>
      <c r="C103" t="str">
        <f>_xlfn.XLOOKUP(_xlfn.XLOOKUP(B103,Errors!A:A,Errors!B:B),Robots!C:C,Robots!D:D)</f>
        <v>LumionFix 024</v>
      </c>
      <c r="D103" t="str">
        <f>_xlfn.XLOOKUP($B103,Errors!$A:$A,Errors!D:D)</f>
        <v>df8e3026-232f-4058-9499-d085ff0c1eb9</v>
      </c>
      <c r="E103" s="42" t="str">
        <f>_xlfn.XLOOKUP($B103,Errors!$A:$A,Errors!E:E)</f>
        <v>failed</v>
      </c>
      <c r="F103" t="str">
        <f>_xlfn.XLOOKUP($B103,Errors!$A:$A,Errors!K:K)</f>
        <v>Recovery</v>
      </c>
      <c r="G103" s="43">
        <f>_xlfn.XLOOKUP($B103,Errors!$A:$A,Errors!F:F)</f>
        <v>44816</v>
      </c>
      <c r="H103" s="44">
        <f>_xlfn.XLOOKUP($B103,Errors!$A:$A,Errors!H:H)</f>
        <v>0.70539351851851861</v>
      </c>
      <c r="I103">
        <f>_xlfn.XLOOKUP($D103,NimbusTreatments!B:B,NimbusTreatments!G:G)</f>
        <v>104</v>
      </c>
      <c r="J103">
        <f>_xlfn.XLOOKUP($D103,NimbusTreatments!$B:$B,NimbusTreatments!H:H)</f>
        <v>0</v>
      </c>
      <c r="K103">
        <f>_xlfn.XLOOKUP($B103,Errors!$A:$A,Errors!L:L)</f>
        <v>0</v>
      </c>
      <c r="L103" s="45" t="str" cm="1">
        <f t="array" aca="1" ref="L103" ca="1">HYPERLINK("#" &amp; CELL("address", _xlfn.XLOOKUP($B103,Errors!$A:$A,Errors!M:M)))</f>
        <v>#[VRS_RobotData.xlsx]Errors!$M$103</v>
      </c>
      <c r="M103" t="str">
        <f>_xlfn.XLOOKUP($B103,Errors!$A:$A,Errors!O:O)</f>
        <v>0x1060101</v>
      </c>
      <c r="N103" t="str">
        <f>_xlfn.XLOOKUP($M103,'Error-codes'!$A:$A,'Error-codes'!B:B)</f>
        <v>vision error</v>
      </c>
      <c r="O103" s="42">
        <f>_xlfn.XLOOKUP($B103,Errors!$A:$A,Errors!R:R)</f>
        <v>0</v>
      </c>
    </row>
    <row r="104" spans="1:19">
      <c r="A104">
        <v>103</v>
      </c>
      <c r="B104" s="1" t="s">
        <v>325</v>
      </c>
      <c r="C104" t="str">
        <f>_xlfn.XLOOKUP(_xlfn.XLOOKUP(B104,Errors!A:A,Errors!B:B),Robots!C:C,Robots!D:D)</f>
        <v>LumionFix 024</v>
      </c>
      <c r="D104" t="str">
        <f>_xlfn.XLOOKUP($B104,Errors!$A:$A,Errors!D:D)</f>
        <v>df8e3026-232f-4058-9499-d085ff0c1eb9</v>
      </c>
      <c r="E104" s="42" t="str">
        <f>_xlfn.XLOOKUP($B104,Errors!$A:$A,Errors!E:E)</f>
        <v>failed</v>
      </c>
      <c r="F104" t="str">
        <f>_xlfn.XLOOKUP($B104,Errors!$A:$A,Errors!K:K)</f>
        <v>Fatal</v>
      </c>
      <c r="G104" s="43">
        <f>_xlfn.XLOOKUP($B104,Errors!$A:$A,Errors!F:F)</f>
        <v>44816</v>
      </c>
      <c r="H104" s="44">
        <f>_xlfn.XLOOKUP($B104,Errors!$A:$A,Errors!H:H)</f>
        <v>0.70672453703703697</v>
      </c>
      <c r="I104">
        <f>_xlfn.XLOOKUP($D104,NimbusTreatments!B:B,NimbusTreatments!G:G)</f>
        <v>104</v>
      </c>
      <c r="J104">
        <f>_xlfn.XLOOKUP($D104,NimbusTreatments!$B:$B,NimbusTreatments!H:H)</f>
        <v>0</v>
      </c>
      <c r="K104" t="str">
        <f>_xlfn.XLOOKUP($B104,Errors!$A:$A,Errors!L:L)</f>
        <v>right_3261</v>
      </c>
      <c r="L104" s="45" t="str" cm="1">
        <f t="array" aca="1" ref="L104" ca="1">HYPERLINK("#" &amp; CELL("address", _xlfn.XLOOKUP($B104,Errors!$A:$A,Errors!M:M)))</f>
        <v>#[VRS_RobotData.xlsx]Errors!$M$104</v>
      </c>
      <c r="M104" t="str">
        <f>_xlfn.XLOOKUP($B104,Errors!$A:$A,Errors!O:O)</f>
        <v>0x1060101</v>
      </c>
      <c r="N104" t="str">
        <f>_xlfn.XLOOKUP($M104,'Error-codes'!$A:$A,'Error-codes'!B:B)</f>
        <v>vision error</v>
      </c>
      <c r="O104" s="42">
        <f>_xlfn.XLOOKUP($B104,Errors!$A:$A,Errors!R:R)</f>
        <v>0</v>
      </c>
    </row>
    <row r="105" spans="1:19">
      <c r="A105">
        <v>104</v>
      </c>
      <c r="B105" s="7" t="s">
        <v>326</v>
      </c>
      <c r="C105" t="str">
        <f>_xlfn.XLOOKUP(_xlfn.XLOOKUP(B105,Errors!A:A,Errors!B:B),Robots!C:C,Robots!D:D)</f>
        <v>LumionFix 024</v>
      </c>
      <c r="D105" t="str">
        <f>_xlfn.XLOOKUP($B105,Errors!$A:$A,Errors!D:D)</f>
        <v>ef5717ba-d8da-4c10-a26c-503da8be3ac7</v>
      </c>
      <c r="E105" s="42" t="str">
        <f>_xlfn.XLOOKUP($B105,Errors!$A:$A,Errors!E:E)</f>
        <v>failed</v>
      </c>
      <c r="F105" t="str">
        <f>_xlfn.XLOOKUP($B105,Errors!$A:$A,Errors!K:K)</f>
        <v>Fatal</v>
      </c>
      <c r="G105" s="43">
        <f>_xlfn.XLOOKUP($B105,Errors!$A:$A,Errors!F:F)</f>
        <v>44816</v>
      </c>
      <c r="H105" s="44">
        <f>_xlfn.XLOOKUP($B105,Errors!$A:$A,Errors!H:H)</f>
        <v>0.7085300925925927</v>
      </c>
      <c r="I105">
        <f>_xlfn.XLOOKUP($D105,NimbusTreatments!B:B,NimbusTreatments!G:G)</f>
        <v>2</v>
      </c>
      <c r="J105">
        <f>_xlfn.XLOOKUP($D105,NimbusTreatments!$B:$B,NimbusTreatments!H:H)</f>
        <v>0</v>
      </c>
      <c r="K105" t="str">
        <f>_xlfn.XLOOKUP($B105,Errors!$A:$A,Errors!L:L)</f>
        <v>right_3263</v>
      </c>
      <c r="L105" s="45" t="str" cm="1">
        <f t="array" aca="1" ref="L105" ca="1">HYPERLINK("#" &amp; CELL("address", _xlfn.XLOOKUP($B105,Errors!$A:$A,Errors!M:M)))</f>
        <v>#[VRS_RobotData.xlsx]Errors!$M$105</v>
      </c>
      <c r="M105" t="str">
        <f>_xlfn.XLOOKUP($B105,Errors!$A:$A,Errors!O:O)</f>
        <v>0x1060101</v>
      </c>
      <c r="N105" t="str">
        <f>_xlfn.XLOOKUP($M105,'Error-codes'!$A:$A,'Error-codes'!B:B)</f>
        <v>vision error</v>
      </c>
      <c r="O105" s="42">
        <f>_xlfn.XLOOKUP($B105,Errors!$A:$A,Errors!R:R)</f>
        <v>0</v>
      </c>
    </row>
    <row r="106" spans="1:19" ht="321" hidden="1">
      <c r="A106">
        <v>105</v>
      </c>
      <c r="B106" s="1" t="s">
        <v>329</v>
      </c>
      <c r="C106" t="str">
        <f>_xlfn.XLOOKUP(_xlfn.XLOOKUP(B106,Errors!A:A,Errors!B:B),Robots!C:C,Robots!D:D)</f>
        <v>LumionFix 032</v>
      </c>
      <c r="D106" t="str">
        <f>_xlfn.XLOOKUP($B106,Errors!$A:$A,Errors!D:D)</f>
        <v>0a31e86b-31d8-421f-a838-88df8f272ee5</v>
      </c>
      <c r="E106" s="42" t="str">
        <f>_xlfn.XLOOKUP($B106,Errors!$A:$A,Errors!E:E)</f>
        <v>failed</v>
      </c>
      <c r="F106" t="str">
        <f>_xlfn.XLOOKUP($B106,Errors!$A:$A,Errors!K:K)</f>
        <v>Fatal</v>
      </c>
      <c r="G106" s="43">
        <f>_xlfn.XLOOKUP($B106,Errors!$A:$A,Errors!F:F)</f>
        <v>44816</v>
      </c>
      <c r="H106" s="44">
        <f>_xlfn.XLOOKUP($B106,Errors!$A:$A,Errors!H:H)</f>
        <v>0.86953703703703711</v>
      </c>
      <c r="I106">
        <f>_xlfn.XLOOKUP($D106,NimbusTreatments!B:B,NimbusTreatments!G:G)</f>
        <v>101</v>
      </c>
      <c r="J106">
        <f>_xlfn.XLOOKUP($D106,NimbusTreatments!$B:$B,NimbusTreatments!H:H)</f>
        <v>6</v>
      </c>
      <c r="K106" t="str">
        <f>_xlfn.XLOOKUP($B106,Errors!$A:$A,Errors!L:L)</f>
        <v>left_block14_lane7</v>
      </c>
      <c r="L106" s="45" t="str" cm="1">
        <f t="array" aca="1" ref="L106" ca="1">HYPERLINK("#" &amp; CELL("address", _xlfn.XLOOKUP($B106,Errors!$A:$A,Errors!M:M)))</f>
        <v>#[VRS_RobotData.xlsx]Errors!$M$106</v>
      </c>
      <c r="M106" t="str">
        <f>_xlfn.XLOOKUP($B106,Errors!$A:$A,Errors!O:O)</f>
        <v>0x1040102</v>
      </c>
      <c r="N106" t="str">
        <f>_xlfn.XLOOKUP($M106,'Error-codes'!$A:$A,'Error-codes'!B:B)</f>
        <v>inductive sensor error</v>
      </c>
      <c r="O106" s="42">
        <f>_xlfn.XLOOKUP($B106,Errors!$A:$A,Errors!R:R)</f>
        <v>0</v>
      </c>
      <c r="P106" s="46" t="s">
        <v>2935</v>
      </c>
      <c r="Q106" s="51" t="s">
        <v>3385</v>
      </c>
      <c r="R106" s="46" t="s">
        <v>2937</v>
      </c>
      <c r="S106" s="46" t="s">
        <v>2938</v>
      </c>
    </row>
    <row r="107" spans="1:19" ht="45.75">
      <c r="A107">
        <v>106</v>
      </c>
      <c r="B107" s="7" t="s">
        <v>333</v>
      </c>
      <c r="C107" t="str">
        <f>_xlfn.XLOOKUP(_xlfn.XLOOKUP(B107,Errors!A:A,Errors!B:B),Robots!C:C,Robots!D:D)</f>
        <v>LumionFix 024</v>
      </c>
      <c r="D107" t="str">
        <f>_xlfn.XLOOKUP($B107,Errors!$A:$A,Errors!D:D)</f>
        <v>704e29ea-a148-41d3-a781-e5dbc44b2537</v>
      </c>
      <c r="E107" s="42" t="str">
        <f>_xlfn.XLOOKUP($B107,Errors!$A:$A,Errors!E:E)</f>
        <v>failed</v>
      </c>
      <c r="F107" t="str">
        <f>_xlfn.XLOOKUP($B107,Errors!$A:$A,Errors!K:K)</f>
        <v>Fatal</v>
      </c>
      <c r="G107" s="43">
        <f>_xlfn.XLOOKUP($B107,Errors!$A:$A,Errors!F:F)</f>
        <v>44817</v>
      </c>
      <c r="H107" s="44">
        <f>_xlfn.XLOOKUP($B107,Errors!$A:$A,Errors!H:H)</f>
        <v>0.43684027777777779</v>
      </c>
      <c r="I107">
        <f>_xlfn.XLOOKUP($D107,NimbusTreatments!B:B,NimbusTreatments!G:G)</f>
        <v>146</v>
      </c>
      <c r="J107">
        <f>_xlfn.XLOOKUP($D107,NimbusTreatments!$B:$B,NimbusTreatments!H:H)</f>
        <v>13</v>
      </c>
      <c r="K107" t="str">
        <f>_xlfn.XLOOKUP($B107,Errors!$A:$A,Errors!L:L)</f>
        <v>right_3531</v>
      </c>
      <c r="L107" s="45" t="str" cm="1">
        <f t="array" aca="1" ref="L107" ca="1">HYPERLINK("#" &amp; CELL("address", _xlfn.XLOOKUP($B107,Errors!$A:$A,Errors!M:M)))</f>
        <v>#[VRS_RobotData.xlsx]Errors!$M$107</v>
      </c>
      <c r="M107" t="str">
        <f>_xlfn.XLOOKUP($B107,Errors!$A:$A,Errors!O:O)</f>
        <v>0x1040103</v>
      </c>
      <c r="N107" t="str">
        <f>_xlfn.XLOOKUP($M107,'Error-codes'!$A:$A,'Error-codes'!B:B)</f>
        <v>end of lane wall sensor error</v>
      </c>
      <c r="O107" s="42">
        <f>_xlfn.XLOOKUP($B107,Errors!$A:$A,Errors!R:R)</f>
        <v>0</v>
      </c>
      <c r="P107" s="46" t="s">
        <v>3395</v>
      </c>
      <c r="R107" s="46" t="s">
        <v>3396</v>
      </c>
    </row>
    <row r="108" spans="1:19" ht="30.75">
      <c r="A108">
        <v>107</v>
      </c>
      <c r="B108" s="1" t="s">
        <v>336</v>
      </c>
      <c r="C108" t="str">
        <f>_xlfn.XLOOKUP(_xlfn.XLOOKUP(B108,Errors!A:A,Errors!B:B),Robots!C:C,Robots!D:D)</f>
        <v>LumionFix 024</v>
      </c>
      <c r="D108" t="str">
        <f>_xlfn.XLOOKUP($B108,Errors!$A:$A,Errors!D:D)</f>
        <v>ffb83cdc-fdea-4692-b15e-87ec97b5ab95</v>
      </c>
      <c r="E108" s="42" t="str">
        <f>_xlfn.XLOOKUP($B108,Errors!$A:$A,Errors!E:E)</f>
        <v>failed</v>
      </c>
      <c r="F108" t="str">
        <f>_xlfn.XLOOKUP($B108,Errors!$A:$A,Errors!K:K)</f>
        <v>Recovery</v>
      </c>
      <c r="G108" s="43">
        <f>_xlfn.XLOOKUP($B108,Errors!$A:$A,Errors!F:F)</f>
        <v>44817</v>
      </c>
      <c r="H108" s="44">
        <f>_xlfn.XLOOKUP($B108,Errors!$A:$A,Errors!H:H)</f>
        <v>0.46625</v>
      </c>
      <c r="I108">
        <f>_xlfn.XLOOKUP($D108,NimbusTreatments!B:B,NimbusTreatments!G:G)</f>
        <v>134</v>
      </c>
      <c r="J108">
        <f>_xlfn.XLOOKUP($D108,NimbusTreatments!$B:$B,NimbusTreatments!H:H)</f>
        <v>3</v>
      </c>
      <c r="K108">
        <f>_xlfn.XLOOKUP($B108,Errors!$A:$A,Errors!L:L)</f>
        <v>0</v>
      </c>
      <c r="L108" s="45" t="str" cm="1">
        <f t="array" aca="1" ref="L108" ca="1">HYPERLINK("#" &amp; CELL("address", _xlfn.XLOOKUP($B108,Errors!$A:$A,Errors!M:M)))</f>
        <v>#[VRS_RobotData.xlsx]Errors!$M$108</v>
      </c>
      <c r="M108" t="str">
        <f>_xlfn.XLOOKUP($B108,Errors!$A:$A,Errors!O:O)</f>
        <v>0x1060101</v>
      </c>
      <c r="N108" t="str">
        <f>_xlfn.XLOOKUP($M108,'Error-codes'!$A:$A,'Error-codes'!B:B)</f>
        <v>vision error</v>
      </c>
      <c r="O108" s="42">
        <f>_xlfn.XLOOKUP($B108,Errors!$A:$A,Errors!R:R)</f>
        <v>0</v>
      </c>
      <c r="P108" s="46" t="s">
        <v>3397</v>
      </c>
    </row>
    <row r="109" spans="1:19">
      <c r="A109">
        <v>108</v>
      </c>
      <c r="B109" s="7" t="s">
        <v>338</v>
      </c>
      <c r="C109" t="str">
        <f>_xlfn.XLOOKUP(_xlfn.XLOOKUP(B109,Errors!A:A,Errors!B:B),Robots!C:C,Robots!D:D)</f>
        <v>LumionFix 024</v>
      </c>
      <c r="D109" t="str">
        <f>_xlfn.XLOOKUP($B109,Errors!$A:$A,Errors!D:D)</f>
        <v>ffb83cdc-fdea-4692-b15e-87ec97b5ab95</v>
      </c>
      <c r="E109" s="42" t="str">
        <f>_xlfn.XLOOKUP($B109,Errors!$A:$A,Errors!E:E)</f>
        <v>failed</v>
      </c>
      <c r="F109" t="str">
        <f>_xlfn.XLOOKUP($B109,Errors!$A:$A,Errors!K:K)</f>
        <v>Recovery</v>
      </c>
      <c r="G109" s="43">
        <f>_xlfn.XLOOKUP($B109,Errors!$A:$A,Errors!F:F)</f>
        <v>44817</v>
      </c>
      <c r="H109" s="44">
        <f>_xlfn.XLOOKUP($B109,Errors!$A:$A,Errors!H:H)</f>
        <v>0.46798611111111116</v>
      </c>
      <c r="I109">
        <f>_xlfn.XLOOKUP($D109,NimbusTreatments!B:B,NimbusTreatments!G:G)</f>
        <v>134</v>
      </c>
      <c r="J109">
        <f>_xlfn.XLOOKUP($D109,NimbusTreatments!$B:$B,NimbusTreatments!H:H)</f>
        <v>3</v>
      </c>
      <c r="K109">
        <f>_xlfn.XLOOKUP($B109,Errors!$A:$A,Errors!L:L)</f>
        <v>0</v>
      </c>
      <c r="L109" s="45" t="str" cm="1">
        <f t="array" aca="1" ref="L109" ca="1">HYPERLINK("#" &amp; CELL("address", _xlfn.XLOOKUP($B109,Errors!$A:$A,Errors!M:M)))</f>
        <v>#[VRS_RobotData.xlsx]Errors!$M$109</v>
      </c>
      <c r="M109" t="str">
        <f>_xlfn.XLOOKUP($B109,Errors!$A:$A,Errors!O:O)</f>
        <v>0x1060101</v>
      </c>
      <c r="N109" t="str">
        <f>_xlfn.XLOOKUP($M109,'Error-codes'!$A:$A,'Error-codes'!B:B)</f>
        <v>vision error</v>
      </c>
      <c r="O109" s="42">
        <f>_xlfn.XLOOKUP($B109,Errors!$A:$A,Errors!R:R)</f>
        <v>0</v>
      </c>
      <c r="P109" t="s">
        <v>3398</v>
      </c>
    </row>
    <row r="110" spans="1:19">
      <c r="A110">
        <v>109</v>
      </c>
      <c r="B110" s="1" t="s">
        <v>339</v>
      </c>
      <c r="C110" t="str">
        <f>_xlfn.XLOOKUP(_xlfn.XLOOKUP(B110,Errors!A:A,Errors!B:B),Robots!C:C,Robots!D:D)</f>
        <v>LumionFix 024</v>
      </c>
      <c r="D110" t="str">
        <f>_xlfn.XLOOKUP($B110,Errors!$A:$A,Errors!D:D)</f>
        <v>ffb83cdc-fdea-4692-b15e-87ec97b5ab95</v>
      </c>
      <c r="E110" s="42" t="str">
        <f>_xlfn.XLOOKUP($B110,Errors!$A:$A,Errors!E:E)</f>
        <v>failed</v>
      </c>
      <c r="F110" t="str">
        <f>_xlfn.XLOOKUP($B110,Errors!$A:$A,Errors!K:K)</f>
        <v>Fatal</v>
      </c>
      <c r="G110" s="43">
        <f>_xlfn.XLOOKUP($B110,Errors!$A:$A,Errors!F:F)</f>
        <v>44817</v>
      </c>
      <c r="H110" s="44">
        <f>_xlfn.XLOOKUP($B110,Errors!$A:$A,Errors!H:H)</f>
        <v>0.46841435185185182</v>
      </c>
      <c r="I110">
        <f>_xlfn.XLOOKUP($D110,NimbusTreatments!B:B,NimbusTreatments!G:G)</f>
        <v>134</v>
      </c>
      <c r="J110">
        <f>_xlfn.XLOOKUP($D110,NimbusTreatments!$B:$B,NimbusTreatments!H:H)</f>
        <v>3</v>
      </c>
      <c r="K110" t="str">
        <f>_xlfn.XLOOKUP($B110,Errors!$A:$A,Errors!L:L)</f>
        <v>right_3539</v>
      </c>
      <c r="L110" s="45" t="str" cm="1">
        <f t="array" aca="1" ref="L110" ca="1">HYPERLINK("#" &amp; CELL("address", _xlfn.XLOOKUP($B110,Errors!$A:$A,Errors!M:M)))</f>
        <v>#[VRS_RobotData.xlsx]Errors!$M$110</v>
      </c>
      <c r="M110" t="str">
        <f>_xlfn.XLOOKUP($B110,Errors!$A:$A,Errors!O:O)</f>
        <v>0x1060101</v>
      </c>
      <c r="N110" t="str">
        <f>_xlfn.XLOOKUP($M110,'Error-codes'!$A:$A,'Error-codes'!B:B)</f>
        <v>vision error</v>
      </c>
      <c r="O110" s="42">
        <f>_xlfn.XLOOKUP($B110,Errors!$A:$A,Errors!R:R)</f>
        <v>0</v>
      </c>
      <c r="P110" t="s">
        <v>3398</v>
      </c>
    </row>
    <row r="111" spans="1:19" ht="94.5" customHeight="1">
      <c r="A111">
        <v>110</v>
      </c>
      <c r="B111" s="7" t="s">
        <v>341</v>
      </c>
      <c r="C111" t="str">
        <f>_xlfn.XLOOKUP(_xlfn.XLOOKUP(B111,Errors!A:A,Errors!B:B),Robots!C:C,Robots!D:D)</f>
        <v>LumionFix 024</v>
      </c>
      <c r="D111" t="str">
        <f>_xlfn.XLOOKUP($B111,Errors!$A:$A,Errors!D:D)</f>
        <v>65d68098-531e-451d-8576-27e1e408a562</v>
      </c>
      <c r="E111" s="42" t="str">
        <f>_xlfn.XLOOKUP($B111,Errors!$A:$A,Errors!E:E)</f>
        <v>failed</v>
      </c>
      <c r="F111" t="str">
        <f>_xlfn.XLOOKUP($B111,Errors!$A:$A,Errors!K:K)</f>
        <v>Fatal</v>
      </c>
      <c r="G111" s="43">
        <f>_xlfn.XLOOKUP($B111,Errors!$A:$A,Errors!F:F)</f>
        <v>44817</v>
      </c>
      <c r="H111" s="44">
        <f>_xlfn.XLOOKUP($B111,Errors!$A:$A,Errors!H:H)</f>
        <v>0.53134259259259264</v>
      </c>
      <c r="I111">
        <f>_xlfn.XLOOKUP($D111,NimbusTreatments!B:B,NimbusTreatments!G:G)</f>
        <v>45</v>
      </c>
      <c r="J111">
        <f>_xlfn.XLOOKUP($D111,NimbusTreatments!$B:$B,NimbusTreatments!H:H)</f>
        <v>17</v>
      </c>
      <c r="K111" t="str">
        <f>_xlfn.XLOOKUP($B111,Errors!$A:$A,Errors!L:L)</f>
        <v>right_3575</v>
      </c>
      <c r="L111" s="45" t="str" cm="1">
        <f t="array" aca="1" ref="L111" ca="1">HYPERLINK("#" &amp; CELL("address", _xlfn.XLOOKUP($B111,Errors!$A:$A,Errors!M:M)))</f>
        <v>#[VRS_RobotData.xlsx]Errors!$M$111</v>
      </c>
      <c r="M111" t="str">
        <f>_xlfn.XLOOKUP($B111,Errors!$A:$A,Errors!O:O)</f>
        <v>0x1040001</v>
      </c>
      <c r="N111" t="str">
        <f>_xlfn.XLOOKUP($M111,'Error-codes'!$A:$A,'Error-codes'!B:B)</f>
        <v>vehicle diverged too far from trajectory</v>
      </c>
      <c r="O111" s="42">
        <f>_xlfn.XLOOKUP($B111,Errors!$A:$A,Errors!R:R)</f>
        <v>0</v>
      </c>
      <c r="P111" s="46" t="s">
        <v>3399</v>
      </c>
      <c r="Q111" s="51" t="s">
        <v>3400</v>
      </c>
    </row>
    <row r="112" spans="1:19" hidden="1">
      <c r="A112">
        <v>111</v>
      </c>
      <c r="B112" s="1" t="s">
        <v>345</v>
      </c>
      <c r="C112" t="str">
        <f>_xlfn.XLOOKUP(_xlfn.XLOOKUP(B112,Errors!A:A,Errors!B:B),Robots!C:C,Robots!D:D)</f>
        <v>LumionFix 023</v>
      </c>
      <c r="D112" t="str">
        <f>_xlfn.XLOOKUP($B112,Errors!$A:$A,Errors!D:D)</f>
        <v>f7c4f6f2-d6d1-4838-ab64-1ab3361379e1</v>
      </c>
      <c r="E112" s="42" t="str">
        <f>_xlfn.XLOOKUP($B112,Errors!$A:$A,Errors!E:E)</f>
        <v>failed</v>
      </c>
      <c r="F112" t="str">
        <f>_xlfn.XLOOKUP($B112,Errors!$A:$A,Errors!K:K)</f>
        <v>Fatal</v>
      </c>
      <c r="G112" s="43">
        <f>_xlfn.XLOOKUP($B112,Errors!$A:$A,Errors!F:F)</f>
        <v>44818</v>
      </c>
      <c r="H112" s="44">
        <f>_xlfn.XLOOKUP($B112,Errors!$A:$A,Errors!H:H)</f>
        <v>0.18967592592592594</v>
      </c>
      <c r="I112">
        <f>_xlfn.XLOOKUP($D112,NimbusTreatments!B:B,NimbusTreatments!G:G)</f>
        <v>133</v>
      </c>
      <c r="J112">
        <f>_xlfn.XLOOKUP($D112,NimbusTreatments!$B:$B,NimbusTreatments!H:H)</f>
        <v>100</v>
      </c>
      <c r="K112" t="str">
        <f>_xlfn.XLOOKUP($B112,Errors!$A:$A,Errors!L:L)</f>
        <v>left_lane3758</v>
      </c>
      <c r="L112" s="45" t="str" cm="1">
        <f t="array" aca="1" ref="L112" ca="1">HYPERLINK("#" &amp; CELL("address", _xlfn.XLOOKUP($B112,Errors!$A:$A,Errors!M:M)))</f>
        <v>#[VRS_RobotData.xlsx]Errors!$M$112</v>
      </c>
      <c r="M112" t="str">
        <f>_xlfn.XLOOKUP($B112,Errors!$A:$A,Errors!O:O)</f>
        <v>0x1060009</v>
      </c>
      <c r="N112" t="str">
        <f>_xlfn.XLOOKUP($M112,'Error-codes'!$A:$A,'Error-codes'!B:B)</f>
        <v>motor drive: DRV8353 FAULT</v>
      </c>
      <c r="O112" s="42">
        <f>_xlfn.XLOOKUP($B112,Errors!$A:$A,Errors!R:R)</f>
        <v>0</v>
      </c>
      <c r="P112" t="s">
        <v>2943</v>
      </c>
      <c r="Q112" t="s">
        <v>3379</v>
      </c>
      <c r="R112" t="s">
        <v>3379</v>
      </c>
    </row>
    <row r="113" spans="1:19">
      <c r="A113">
        <v>112</v>
      </c>
      <c r="B113" s="7" t="s">
        <v>348</v>
      </c>
      <c r="C113" t="str">
        <f>_xlfn.XLOOKUP(_xlfn.XLOOKUP(B113,Errors!A:A,Errors!B:B),Robots!C:C,Robots!D:D)</f>
        <v>LumionFix 024</v>
      </c>
      <c r="D113" t="str">
        <f>_xlfn.XLOOKUP($B113,Errors!$A:$A,Errors!D:D)</f>
        <v>46446112-ae2b-47f3-af7f-e2bc1e7c6de1</v>
      </c>
      <c r="E113" s="42" t="str">
        <f>_xlfn.XLOOKUP($B113,Errors!$A:$A,Errors!E:E)</f>
        <v>failed</v>
      </c>
      <c r="F113" t="str">
        <f>_xlfn.XLOOKUP($B113,Errors!$A:$A,Errors!K:K)</f>
        <v>Recovery</v>
      </c>
      <c r="G113" s="43">
        <f>_xlfn.XLOOKUP($B113,Errors!$A:$A,Errors!F:F)</f>
        <v>44818</v>
      </c>
      <c r="H113" s="44">
        <f>_xlfn.XLOOKUP($B113,Errors!$A:$A,Errors!H:H)</f>
        <v>0.50855324074074071</v>
      </c>
      <c r="I113">
        <f>_xlfn.XLOOKUP($D113,NimbusTreatments!B:B,NimbusTreatments!G:G)</f>
        <v>216</v>
      </c>
      <c r="J113">
        <f>_xlfn.XLOOKUP($D113,NimbusTreatments!$B:$B,NimbusTreatments!H:H)</f>
        <v>29</v>
      </c>
      <c r="K113">
        <f>_xlfn.XLOOKUP($B113,Errors!$A:$A,Errors!L:L)</f>
        <v>0</v>
      </c>
      <c r="L113" s="45" t="str" cm="1">
        <f t="array" aca="1" ref="L113" ca="1">HYPERLINK("#" &amp; CELL("address", _xlfn.XLOOKUP($B113,Errors!$A:$A,Errors!M:M)))</f>
        <v>#[VRS_RobotData.xlsx]Errors!$M$113</v>
      </c>
      <c r="M113" t="str">
        <f>_xlfn.XLOOKUP($B113,Errors!$A:$A,Errors!O:O)</f>
        <v>0x1060009</v>
      </c>
      <c r="N113" t="str">
        <f>_xlfn.XLOOKUP($M113,'Error-codes'!$A:$A,'Error-codes'!B:B)</f>
        <v>motor drive: DRV8353 FAULT</v>
      </c>
      <c r="O113" s="42">
        <f>_xlfn.XLOOKUP($B113,Errors!$A:$A,Errors!R:R)</f>
        <v>0</v>
      </c>
    </row>
    <row r="114" spans="1:19">
      <c r="A114">
        <v>113</v>
      </c>
      <c r="B114" s="1" t="s">
        <v>351</v>
      </c>
      <c r="C114" t="str">
        <f>_xlfn.XLOOKUP(_xlfn.XLOOKUP(B114,Errors!A:A,Errors!B:B),Robots!C:C,Robots!D:D)</f>
        <v>LumionFix 024</v>
      </c>
      <c r="D114" t="str">
        <f>_xlfn.XLOOKUP($B114,Errors!$A:$A,Errors!D:D)</f>
        <v>46446112-ae2b-47f3-af7f-e2bc1e7c6de1</v>
      </c>
      <c r="E114" s="42" t="str">
        <f>_xlfn.XLOOKUP($B114,Errors!$A:$A,Errors!E:E)</f>
        <v>failed</v>
      </c>
      <c r="F114" t="str">
        <f>_xlfn.XLOOKUP($B114,Errors!$A:$A,Errors!K:K)</f>
        <v>Recovery</v>
      </c>
      <c r="G114" s="43">
        <f>_xlfn.XLOOKUP($B114,Errors!$A:$A,Errors!F:F)</f>
        <v>44818</v>
      </c>
      <c r="H114" s="44">
        <f>_xlfn.XLOOKUP($B114,Errors!$A:$A,Errors!H:H)</f>
        <v>0.52153935185185185</v>
      </c>
      <c r="I114">
        <f>_xlfn.XLOOKUP($D114,NimbusTreatments!B:B,NimbusTreatments!G:G)</f>
        <v>216</v>
      </c>
      <c r="J114">
        <f>_xlfn.XLOOKUP($D114,NimbusTreatments!$B:$B,NimbusTreatments!H:H)</f>
        <v>29</v>
      </c>
      <c r="K114">
        <f>_xlfn.XLOOKUP($B114,Errors!$A:$A,Errors!L:L)</f>
        <v>0</v>
      </c>
      <c r="L114" s="45" t="str" cm="1">
        <f t="array" aca="1" ref="L114" ca="1">HYPERLINK("#" &amp; CELL("address", _xlfn.XLOOKUP($B114,Errors!$A:$A,Errors!M:M)))</f>
        <v>#[VRS_RobotData.xlsx]Errors!$M$114</v>
      </c>
      <c r="M114" t="str">
        <f>_xlfn.XLOOKUP($B114,Errors!$A:$A,Errors!O:O)</f>
        <v>0x1060002</v>
      </c>
      <c r="N114" t="str">
        <f>_xlfn.XLOOKUP($M114,'Error-codes'!$A:$A,'Error-codes'!B:B)</f>
        <v>motor drive: UNDER VOLTAGE</v>
      </c>
      <c r="O114" s="42">
        <f>_xlfn.XLOOKUP($B114,Errors!$A:$A,Errors!R:R)</f>
        <v>0</v>
      </c>
    </row>
    <row r="115" spans="1:19" ht="73.5" customHeight="1">
      <c r="A115">
        <v>114</v>
      </c>
      <c r="B115" s="7" t="s">
        <v>352</v>
      </c>
      <c r="C115" t="str">
        <f>_xlfn.XLOOKUP(_xlfn.XLOOKUP(B115,Errors!A:A,Errors!B:B),Robots!C:C,Robots!D:D)</f>
        <v>LumionFix 024</v>
      </c>
      <c r="D115" t="str">
        <f>_xlfn.XLOOKUP($B115,Errors!$A:$A,Errors!D:D)</f>
        <v>46446112-ae2b-47f3-af7f-e2bc1e7c6de1</v>
      </c>
      <c r="E115" s="42" t="str">
        <f>_xlfn.XLOOKUP($B115,Errors!$A:$A,Errors!E:E)</f>
        <v>failed</v>
      </c>
      <c r="F115" t="str">
        <f>_xlfn.XLOOKUP($B115,Errors!$A:$A,Errors!K:K)</f>
        <v>Fatal</v>
      </c>
      <c r="G115" s="43">
        <f>_xlfn.XLOOKUP($B115,Errors!$A:$A,Errors!F:F)</f>
        <v>44818</v>
      </c>
      <c r="H115" s="44">
        <f>_xlfn.XLOOKUP($B115,Errors!$A:$A,Errors!H:H)</f>
        <v>0.59877314814814808</v>
      </c>
      <c r="I115">
        <f>_xlfn.XLOOKUP($D115,NimbusTreatments!B:B,NimbusTreatments!G:G)</f>
        <v>216</v>
      </c>
      <c r="J115">
        <f>_xlfn.XLOOKUP($D115,NimbusTreatments!$B:$B,NimbusTreatments!H:H)</f>
        <v>29</v>
      </c>
      <c r="K115" t="str">
        <f>_xlfn.XLOOKUP($B115,Errors!$A:$A,Errors!L:L)</f>
        <v>right_3427</v>
      </c>
      <c r="L115" s="45" t="str" cm="1">
        <f t="array" aca="1" ref="L115" ca="1">HYPERLINK("#" &amp; CELL("address", _xlfn.XLOOKUP($B115,Errors!$A:$A,Errors!M:M)))</f>
        <v>#[VRS_RobotData.xlsx]Errors!$M$115</v>
      </c>
      <c r="M115" t="str">
        <f>_xlfn.XLOOKUP($B115,Errors!$A:$A,Errors!O:O)</f>
        <v>0x1040105</v>
      </c>
      <c r="N115" t="str">
        <f>_xlfn.XLOOKUP($M115,'Error-codes'!$A:$A,'Error-codes'!B:B)</f>
        <v>xtheta sensor error</v>
      </c>
      <c r="O115" s="42">
        <f>_xlfn.XLOOKUP($B115,Errors!$A:$A,Errors!R:R)</f>
        <v>0</v>
      </c>
      <c r="P115" s="46" t="s">
        <v>3401</v>
      </c>
      <c r="Q115" s="46"/>
      <c r="R115" s="46"/>
      <c r="S115" s="46"/>
    </row>
    <row r="116" spans="1:19" hidden="1">
      <c r="A116">
        <v>115</v>
      </c>
      <c r="B116" s="1" t="s">
        <v>355</v>
      </c>
      <c r="C116" t="str">
        <f>_xlfn.XLOOKUP(_xlfn.XLOOKUP(B116,Errors!A:A,Errors!B:B),Robots!C:C,Robots!D:D)</f>
        <v>LumionFix 029</v>
      </c>
      <c r="D116" t="str">
        <f>_xlfn.XLOOKUP($B116,Errors!$A:$A,Errors!D:D)</f>
        <v>28050269-7630-4a2b-9c2b-cd73e8059272</v>
      </c>
      <c r="E116" s="42" t="str">
        <f>_xlfn.XLOOKUP($B116,Errors!$A:$A,Errors!E:E)</f>
        <v>failed</v>
      </c>
      <c r="F116" t="str">
        <f>_xlfn.XLOOKUP($B116,Errors!$A:$A,Errors!K:K)</f>
        <v>Fatal</v>
      </c>
      <c r="G116" s="43">
        <f>_xlfn.XLOOKUP($B116,Errors!$A:$A,Errors!F:F)</f>
        <v>44818</v>
      </c>
      <c r="H116" s="44">
        <f>_xlfn.XLOOKUP($B116,Errors!$A:$A,Errors!H:H)</f>
        <v>0.83523148148148152</v>
      </c>
      <c r="I116">
        <f>_xlfn.XLOOKUP($D116,NimbusTreatments!B:B,NimbusTreatments!G:G)</f>
        <v>95</v>
      </c>
      <c r="J116">
        <f>_xlfn.XLOOKUP($D116,NimbusTreatments!$B:$B,NimbusTreatments!H:H)</f>
        <v>1</v>
      </c>
      <c r="K116" t="str">
        <f>_xlfn.XLOOKUP($B116,Errors!$A:$A,Errors!L:L)</f>
        <v>left_block14_lane8</v>
      </c>
      <c r="L116" s="45" t="str" cm="1">
        <f t="array" aca="1" ref="L116" ca="1">HYPERLINK("#" &amp; CELL("address", _xlfn.XLOOKUP($B116,Errors!$A:$A,Errors!M:M)))</f>
        <v>#[VRS_RobotData.xlsx]Errors!$M$116</v>
      </c>
      <c r="M116" t="str">
        <f>_xlfn.XLOOKUP($B116,Errors!$A:$A,Errors!O:O)</f>
        <v>0x1060002</v>
      </c>
      <c r="N116" t="str">
        <f>_xlfn.XLOOKUP($M116,'Error-codes'!$A:$A,'Error-codes'!B:B)</f>
        <v>motor drive: UNDER VOLTAGE</v>
      </c>
      <c r="O116" s="42">
        <f>_xlfn.XLOOKUP($B116,Errors!$A:$A,Errors!R:R)</f>
        <v>0</v>
      </c>
      <c r="P116" s="46"/>
      <c r="Q116" s="46"/>
      <c r="R116" s="46"/>
      <c r="S116" s="46"/>
    </row>
    <row r="117" spans="1:19">
      <c r="A117">
        <v>116</v>
      </c>
      <c r="B117" s="7" t="s">
        <v>360</v>
      </c>
      <c r="C117" t="str">
        <f>_xlfn.XLOOKUP(_xlfn.XLOOKUP(B117,Errors!A:A,Errors!B:B),Robots!C:C,Robots!D:D)</f>
        <v>LumionFix 024</v>
      </c>
      <c r="D117" t="str">
        <f>_xlfn.XLOOKUP($B117,Errors!$A:$A,Errors!D:D)</f>
        <v>b110e859-a833-48d5-8013-c9310aee00d7</v>
      </c>
      <c r="E117" s="42" t="str">
        <f>_xlfn.XLOOKUP($B117,Errors!$A:$A,Errors!E:E)</f>
        <v>stopped</v>
      </c>
      <c r="F117" t="str">
        <f>_xlfn.XLOOKUP($B117,Errors!$A:$A,Errors!K:K)</f>
        <v>Fatal</v>
      </c>
      <c r="G117" s="43">
        <f>_xlfn.XLOOKUP($B117,Errors!$A:$A,Errors!F:F)</f>
        <v>44818</v>
      </c>
      <c r="H117" s="44">
        <f>_xlfn.XLOOKUP($B117,Errors!$A:$A,Errors!H:H)</f>
        <v>0.88530092592592602</v>
      </c>
      <c r="I117">
        <f>_xlfn.XLOOKUP($D117,NimbusTreatments!B:B,NimbusTreatments!G:G)</f>
        <v>192</v>
      </c>
      <c r="J117">
        <f>_xlfn.XLOOKUP($D117,NimbusTreatments!$B:$B,NimbusTreatments!H:H)</f>
        <v>0</v>
      </c>
      <c r="K117">
        <f>_xlfn.XLOOKUP($B117,Errors!$A:$A,Errors!L:L)</f>
        <v>0</v>
      </c>
      <c r="L117" s="45" t="str" cm="1">
        <f t="array" aca="1" ref="L117" ca="1">HYPERLINK("#" &amp; CELL("address", _xlfn.XLOOKUP($B117,Errors!$A:$A,Errors!M:M)))</f>
        <v>#[VRS_RobotData.xlsx]Errors!$M$117</v>
      </c>
      <c r="M117" t="str">
        <f>_xlfn.XLOOKUP($B117,Errors!$A:$A,Errors!O:O)</f>
        <v>0x1040102</v>
      </c>
      <c r="N117" t="str">
        <f>_xlfn.XLOOKUP($M117,'Error-codes'!$A:$A,'Error-codes'!B:B)</f>
        <v>inductive sensor error</v>
      </c>
      <c r="O117" s="42">
        <f>_xlfn.XLOOKUP($B117,Errors!$A:$A,Errors!R:R)</f>
        <v>0</v>
      </c>
      <c r="P117" s="46" t="s">
        <v>2943</v>
      </c>
      <c r="Q117" s="46"/>
      <c r="R117" s="46"/>
      <c r="S117" s="46"/>
    </row>
    <row r="118" spans="1:19" ht="30.75">
      <c r="A118">
        <v>117</v>
      </c>
      <c r="B118" s="1" t="s">
        <v>362</v>
      </c>
      <c r="C118" t="str">
        <f>_xlfn.XLOOKUP(_xlfn.XLOOKUP(B118,Errors!A:A,Errors!B:B),Robots!C:C,Robots!D:D)</f>
        <v>LumionFix 024</v>
      </c>
      <c r="D118" t="str">
        <f>_xlfn.XLOOKUP($B118,Errors!$A:$A,Errors!D:D)</f>
        <v>6d923a95-bdea-47f9-83d2-f0ebef2d515e</v>
      </c>
      <c r="E118" s="42" t="str">
        <f>_xlfn.XLOOKUP($B118,Errors!$A:$A,Errors!E:E)</f>
        <v>failed</v>
      </c>
      <c r="F118" t="str">
        <f>_xlfn.XLOOKUP($B118,Errors!$A:$A,Errors!K:K)</f>
        <v>Recovery</v>
      </c>
      <c r="G118" s="43">
        <f>_xlfn.XLOOKUP($B118,Errors!$A:$A,Errors!F:F)</f>
        <v>44818</v>
      </c>
      <c r="H118" s="44">
        <f>_xlfn.XLOOKUP($B118,Errors!$A:$A,Errors!H:H)</f>
        <v>0.91663194444444451</v>
      </c>
      <c r="I118">
        <f>_xlfn.XLOOKUP($D118,NimbusTreatments!B:B,NimbusTreatments!G:G)</f>
        <v>192</v>
      </c>
      <c r="J118">
        <f>_xlfn.XLOOKUP($D118,NimbusTreatments!$B:$B,NimbusTreatments!H:H)</f>
        <v>11</v>
      </c>
      <c r="K118">
        <f>_xlfn.XLOOKUP($B118,Errors!$A:$A,Errors!L:L)</f>
        <v>0</v>
      </c>
      <c r="L118" s="45" t="str" cm="1">
        <f t="array" aca="1" ref="L118" ca="1">HYPERLINK("#" &amp; CELL("address", _xlfn.XLOOKUP($B118,Errors!$A:$A,Errors!M:M)))</f>
        <v>#[VRS_RobotData.xlsx]Errors!$M$118</v>
      </c>
      <c r="M118" t="str">
        <f>_xlfn.XLOOKUP($B118,Errors!$A:$A,Errors!O:O)</f>
        <v>0x1040105</v>
      </c>
      <c r="N118" t="str">
        <f>_xlfn.XLOOKUP($M118,'Error-codes'!$A:$A,'Error-codes'!B:B)</f>
        <v>xtheta sensor error</v>
      </c>
      <c r="O118" s="42">
        <f>_xlfn.XLOOKUP($B118,Errors!$A:$A,Errors!R:R)</f>
        <v>0</v>
      </c>
      <c r="P118" s="46"/>
      <c r="Q118" s="46" t="s">
        <v>3402</v>
      </c>
      <c r="R118" s="46"/>
      <c r="S118" s="46"/>
    </row>
    <row r="119" spans="1:19" ht="30.75">
      <c r="A119">
        <v>118</v>
      </c>
      <c r="B119" s="7" t="s">
        <v>364</v>
      </c>
      <c r="C119" t="str">
        <f>_xlfn.XLOOKUP(_xlfn.XLOOKUP(B119,Errors!A:A,Errors!B:B),Robots!C:C,Robots!D:D)</f>
        <v>LumionFix 024</v>
      </c>
      <c r="D119" t="str">
        <f>_xlfn.XLOOKUP($B119,Errors!$A:$A,Errors!D:D)</f>
        <v>6d923a95-bdea-47f9-83d2-f0ebef2d515e</v>
      </c>
      <c r="E119" s="42" t="str">
        <f>_xlfn.XLOOKUP($B119,Errors!$A:$A,Errors!E:E)</f>
        <v>failed</v>
      </c>
      <c r="F119" t="str">
        <f>_xlfn.XLOOKUP($B119,Errors!$A:$A,Errors!K:K)</f>
        <v>Fatal</v>
      </c>
      <c r="G119" s="43">
        <f>_xlfn.XLOOKUP($B119,Errors!$A:$A,Errors!F:F)</f>
        <v>44818</v>
      </c>
      <c r="H119" s="44">
        <f>_xlfn.XLOOKUP($B119,Errors!$A:$A,Errors!H:H)</f>
        <v>0.9361342592592593</v>
      </c>
      <c r="I119">
        <f>_xlfn.XLOOKUP($D119,NimbusTreatments!B:B,NimbusTreatments!G:G)</f>
        <v>192</v>
      </c>
      <c r="J119">
        <f>_xlfn.XLOOKUP($D119,NimbusTreatments!$B:$B,NimbusTreatments!H:H)</f>
        <v>11</v>
      </c>
      <c r="K119" t="str">
        <f>_xlfn.XLOOKUP($B119,Errors!$A:$A,Errors!L:L)</f>
        <v>right_3415</v>
      </c>
      <c r="L119" s="45" t="str" cm="1">
        <f t="array" aca="1" ref="L119" ca="1">HYPERLINK("#" &amp; CELL("address", _xlfn.XLOOKUP($B119,Errors!$A:$A,Errors!M:M)))</f>
        <v>#[VRS_RobotData.xlsx]Errors!$M$119</v>
      </c>
      <c r="M119" t="str">
        <f>_xlfn.XLOOKUP($B119,Errors!$A:$A,Errors!O:O)</f>
        <v>0x1040105</v>
      </c>
      <c r="N119" t="str">
        <f>_xlfn.XLOOKUP($M119,'Error-codes'!$A:$A,'Error-codes'!B:B)</f>
        <v>xtheta sensor error</v>
      </c>
      <c r="O119" s="42">
        <f>_xlfn.XLOOKUP($B119,Errors!$A:$A,Errors!R:R)</f>
        <v>0</v>
      </c>
      <c r="P119" s="46"/>
      <c r="Q119" s="46" t="s">
        <v>3402</v>
      </c>
      <c r="R119" s="46"/>
      <c r="S119" s="46"/>
    </row>
    <row r="120" spans="1:19">
      <c r="A120">
        <v>119</v>
      </c>
      <c r="B120" s="1" t="s">
        <v>366</v>
      </c>
      <c r="C120" t="str">
        <f>_xlfn.XLOOKUP(_xlfn.XLOOKUP(B120,Errors!A:A,Errors!B:B),Robots!C:C,Robots!D:D)</f>
        <v>LumionFix 024</v>
      </c>
      <c r="D120" t="str">
        <f>_xlfn.XLOOKUP($B120,Errors!$A:$A,Errors!D:D)</f>
        <v>fae98067-cde6-44df-a4b4-306cd7873ae7</v>
      </c>
      <c r="E120" s="42" t="str">
        <f>_xlfn.XLOOKUP($B120,Errors!$A:$A,Errors!E:E)</f>
        <v>failed</v>
      </c>
      <c r="F120" t="str">
        <f>_xlfn.XLOOKUP($B120,Errors!$A:$A,Errors!K:K)</f>
        <v>Fatal</v>
      </c>
      <c r="G120" s="43">
        <f>_xlfn.XLOOKUP($B120,Errors!$A:$A,Errors!F:F)</f>
        <v>44819</v>
      </c>
      <c r="H120" s="44">
        <f>_xlfn.XLOOKUP($B120,Errors!$A:$A,Errors!H:H)</f>
        <v>0.44292824074074072</v>
      </c>
      <c r="I120">
        <f>_xlfn.XLOOKUP($D120,NimbusTreatments!B:B,NimbusTreatments!G:G)</f>
        <v>85</v>
      </c>
      <c r="J120">
        <f>_xlfn.XLOOKUP($D120,NimbusTreatments!$B:$B,NimbusTreatments!H:H)</f>
        <v>0</v>
      </c>
      <c r="K120" t="str">
        <f>_xlfn.XLOOKUP($B120,Errors!$A:$A,Errors!L:L)</f>
        <v>right_3007</v>
      </c>
      <c r="L120" s="45" t="str" cm="1">
        <f t="array" aca="1" ref="L120" ca="1">HYPERLINK("#" &amp; CELL("address", _xlfn.XLOOKUP($B120,Errors!$A:$A,Errors!M:M)))</f>
        <v>#[VRS_RobotData.xlsx]Errors!$M$120</v>
      </c>
      <c r="M120" t="str">
        <f>_xlfn.XLOOKUP($B120,Errors!$A:$A,Errors!O:O)</f>
        <v>0x1060002</v>
      </c>
      <c r="N120" t="str">
        <f>_xlfn.XLOOKUP($M120,'Error-codes'!$A:$A,'Error-codes'!B:B)</f>
        <v>motor drive: UNDER VOLTAGE</v>
      </c>
      <c r="O120" s="42">
        <f>_xlfn.XLOOKUP($B120,Errors!$A:$A,Errors!R:R)</f>
        <v>0</v>
      </c>
      <c r="P120" t="s">
        <v>2943</v>
      </c>
      <c r="Q120" t="s">
        <v>3403</v>
      </c>
    </row>
    <row r="121" spans="1:19">
      <c r="A121">
        <v>120</v>
      </c>
      <c r="B121" s="7" t="s">
        <v>368</v>
      </c>
      <c r="C121" t="str">
        <f>_xlfn.XLOOKUP(_xlfn.XLOOKUP(B121,Errors!A:A,Errors!B:B),Robots!C:C,Robots!D:D)</f>
        <v>LumionFix 024</v>
      </c>
      <c r="D121" t="str">
        <f>_xlfn.XLOOKUP($B121,Errors!$A:$A,Errors!D:D)</f>
        <v>18be8578-fbf6-450f-9205-6cf00e205c6d</v>
      </c>
      <c r="E121" s="42">
        <f>_xlfn.XLOOKUP($B121,Errors!$A:$A,Errors!E:E)</f>
        <v>0</v>
      </c>
      <c r="F121" t="str">
        <f>_xlfn.XLOOKUP($B121,Errors!$A:$A,Errors!K:K)</f>
        <v>Fatal</v>
      </c>
      <c r="G121" s="43">
        <f>_xlfn.XLOOKUP($B121,Errors!$A:$A,Errors!F:F)</f>
        <v>44819</v>
      </c>
      <c r="H121" s="44">
        <f>_xlfn.XLOOKUP($B121,Errors!$A:$A,Errors!H:H)</f>
        <v>0.45870370370370367</v>
      </c>
      <c r="I121">
        <f>_xlfn.XLOOKUP($D121,NimbusTreatments!B:B,NimbusTreatments!G:G)</f>
        <v>174</v>
      </c>
      <c r="J121">
        <f>_xlfn.XLOOKUP($D121,NimbusTreatments!$B:$B,NimbusTreatments!H:H)</f>
        <v>1</v>
      </c>
      <c r="K121">
        <f>_xlfn.XLOOKUP($B121,Errors!$A:$A,Errors!L:L)</f>
        <v>0</v>
      </c>
      <c r="L121" s="45" t="str" cm="1">
        <f t="array" aca="1" ref="L121" ca="1">HYPERLINK("#" &amp; CELL("address", _xlfn.XLOOKUP($B121,Errors!$A:$A,Errors!M:M)))</f>
        <v>#[VRS_RobotData.xlsx]Errors!$M$121</v>
      </c>
      <c r="M121" t="str">
        <f>_xlfn.XLOOKUP($B121,Errors!$A:$A,Errors!O:O)</f>
        <v>0x1010102</v>
      </c>
      <c r="N121" t="str">
        <f>_xlfn.XLOOKUP($M121,'Error-codes'!$A:$A,'Error-codes'!B:B)</f>
        <v>received error from global planner while in {} state</v>
      </c>
      <c r="O121" s="42">
        <f>_xlfn.XLOOKUP($B121,Errors!$A:$A,Errors!R:R)</f>
        <v>0</v>
      </c>
      <c r="P121" t="s">
        <v>2943</v>
      </c>
      <c r="Q121" t="s">
        <v>3403</v>
      </c>
    </row>
    <row r="122" spans="1:19" hidden="1">
      <c r="A122">
        <v>121</v>
      </c>
      <c r="B122" s="1" t="s">
        <v>371</v>
      </c>
      <c r="C122" t="str">
        <f>_xlfn.XLOOKUP(_xlfn.XLOOKUP(B122,Errors!A:A,Errors!B:B),Robots!C:C,Robots!D:D)</f>
        <v>LumionFix 023</v>
      </c>
      <c r="D122" t="str">
        <f>_xlfn.XLOOKUP($B122,Errors!$A:$A,Errors!D:D)</f>
        <v>69659bf1-1a8e-4685-b5dc-34cc28f67a99</v>
      </c>
      <c r="E122" s="42" t="str">
        <f>_xlfn.XLOOKUP($B122,Errors!$A:$A,Errors!E:E)</f>
        <v>failed</v>
      </c>
      <c r="F122" t="str">
        <f>_xlfn.XLOOKUP($B122,Errors!$A:$A,Errors!K:K)</f>
        <v>Fatal</v>
      </c>
      <c r="G122" s="43">
        <f>_xlfn.XLOOKUP($B122,Errors!$A:$A,Errors!F:F)</f>
        <v>44819</v>
      </c>
      <c r="H122" s="44">
        <f>_xlfn.XLOOKUP($B122,Errors!$A:$A,Errors!H:H)</f>
        <v>0.48076388888888894</v>
      </c>
      <c r="I122">
        <f>_xlfn.XLOOKUP($D122,NimbusTreatments!B:B,NimbusTreatments!G:G)</f>
        <v>193</v>
      </c>
      <c r="J122">
        <f>_xlfn.XLOOKUP($D122,NimbusTreatments!$B:$B,NimbusTreatments!H:H)</f>
        <v>22</v>
      </c>
      <c r="K122" t="str">
        <f>_xlfn.XLOOKUP($B122,Errors!$A:$A,Errors!L:L)</f>
        <v>right_3395</v>
      </c>
      <c r="L122" s="45" t="str" cm="1">
        <f t="array" aca="1" ref="L122" ca="1">HYPERLINK("#" &amp; CELL("address", _xlfn.XLOOKUP($B122,Errors!$A:$A,Errors!M:M)))</f>
        <v>#[VRS_RobotData.xlsx]Errors!$M$122</v>
      </c>
      <c r="M122" t="str">
        <f>_xlfn.XLOOKUP($B122,Errors!$A:$A,Errors!O:O)</f>
        <v>0x1010101</v>
      </c>
      <c r="N122" t="str">
        <f>_xlfn.XLOOKUP($M122,'Error-codes'!$A:$A,'Error-codes'!B:B)</f>
        <v>low level fsm is no longer executing the given command</v>
      </c>
      <c r="O122" s="42">
        <f>_xlfn.XLOOKUP($B122,Errors!$A:$A,Errors!R:R)</f>
        <v>0</v>
      </c>
      <c r="P122" t="s">
        <v>2943</v>
      </c>
      <c r="Q122" t="s">
        <v>3379</v>
      </c>
      <c r="R122" t="s">
        <v>3379</v>
      </c>
    </row>
    <row r="123" spans="1:19">
      <c r="A123">
        <v>122</v>
      </c>
      <c r="B123" s="7" t="s">
        <v>376</v>
      </c>
      <c r="C123" t="str">
        <f>_xlfn.XLOOKUP(_xlfn.XLOOKUP(B123,Errors!A:A,Errors!B:B),Robots!C:C,Robots!D:D)</f>
        <v>LumionFix 024</v>
      </c>
      <c r="D123" t="str">
        <f>_xlfn.XLOOKUP($B123,Errors!$A:$A,Errors!D:D)</f>
        <v>82cf82c2-57a0-43db-913c-3b4073906f1e</v>
      </c>
      <c r="E123" s="42" t="str">
        <f>_xlfn.XLOOKUP($B123,Errors!$A:$A,Errors!E:E)</f>
        <v>failed</v>
      </c>
      <c r="F123" t="str">
        <f>_xlfn.XLOOKUP($B123,Errors!$A:$A,Errors!K:K)</f>
        <v>Recovery</v>
      </c>
      <c r="G123" s="43">
        <f>_xlfn.XLOOKUP($B123,Errors!$A:$A,Errors!F:F)</f>
        <v>44819</v>
      </c>
      <c r="H123" s="44">
        <f>_xlfn.XLOOKUP($B123,Errors!$A:$A,Errors!H:H)</f>
        <v>0.53637731481481488</v>
      </c>
      <c r="I123">
        <f>_xlfn.XLOOKUP($D123,NimbusTreatments!B:B,NimbusTreatments!G:G)</f>
        <v>152</v>
      </c>
      <c r="J123">
        <f>_xlfn.XLOOKUP($D123,NimbusTreatments!$B:$B,NimbusTreatments!H:H)</f>
        <v>26</v>
      </c>
      <c r="K123">
        <f>_xlfn.XLOOKUP($B123,Errors!$A:$A,Errors!L:L)</f>
        <v>0</v>
      </c>
      <c r="L123" s="45" t="str" cm="1">
        <f t="array" aca="1" ref="L123" ca="1">HYPERLINK("#" &amp; CELL("address", _xlfn.XLOOKUP($B123,Errors!$A:$A,Errors!M:M)))</f>
        <v>#[VRS_RobotData.xlsx]Errors!$M$123</v>
      </c>
      <c r="M123" t="str">
        <f>_xlfn.XLOOKUP($B123,Errors!$A:$A,Errors!O:O)</f>
        <v>0x1040001</v>
      </c>
      <c r="N123" t="str">
        <f>_xlfn.XLOOKUP($M123,'Error-codes'!$A:$A,'Error-codes'!B:B)</f>
        <v>vehicle diverged too far from trajectory</v>
      </c>
      <c r="O123" s="42">
        <f>_xlfn.XLOOKUP($B123,Errors!$A:$A,Errors!R:R)</f>
        <v>0</v>
      </c>
      <c r="Q123" t="s">
        <v>2946</v>
      </c>
    </row>
    <row r="124" spans="1:19">
      <c r="A124">
        <v>123</v>
      </c>
      <c r="B124" s="1" t="s">
        <v>378</v>
      </c>
      <c r="C124" t="str">
        <f>_xlfn.XLOOKUP(_xlfn.XLOOKUP(B124,Errors!A:A,Errors!B:B),Robots!C:C,Robots!D:D)</f>
        <v>LumionFix 024</v>
      </c>
      <c r="D124" t="str">
        <f>_xlfn.XLOOKUP($B124,Errors!$A:$A,Errors!D:D)</f>
        <v>82cf82c2-57a0-43db-913c-3b4073906f1e</v>
      </c>
      <c r="E124" s="42" t="str">
        <f>_xlfn.XLOOKUP($B124,Errors!$A:$A,Errors!E:E)</f>
        <v>failed</v>
      </c>
      <c r="F124" t="str">
        <f>_xlfn.XLOOKUP($B124,Errors!$A:$A,Errors!K:K)</f>
        <v>Fatal</v>
      </c>
      <c r="G124" s="43">
        <f>_xlfn.XLOOKUP($B124,Errors!$A:$A,Errors!F:F)</f>
        <v>44819</v>
      </c>
      <c r="H124" s="44">
        <f>_xlfn.XLOOKUP($B124,Errors!$A:$A,Errors!H:H)</f>
        <v>0.53733796296296299</v>
      </c>
      <c r="I124">
        <f>_xlfn.XLOOKUP($D124,NimbusTreatments!B:B,NimbusTreatments!G:G)</f>
        <v>152</v>
      </c>
      <c r="J124">
        <f>_xlfn.XLOOKUP($D124,NimbusTreatments!$B:$B,NimbusTreatments!H:H)</f>
        <v>26</v>
      </c>
      <c r="K124" t="str">
        <f>_xlfn.XLOOKUP($B124,Errors!$A:$A,Errors!L:L)</f>
        <v>right_3207</v>
      </c>
      <c r="L124" s="45" t="str" cm="1">
        <f t="array" aca="1" ref="L124" ca="1">HYPERLINK("#" &amp; CELL("address", _xlfn.XLOOKUP($B124,Errors!$A:$A,Errors!M:M)))</f>
        <v>#[VRS_RobotData.xlsx]Errors!$M$124</v>
      </c>
      <c r="M124" t="str">
        <f>_xlfn.XLOOKUP($B124,Errors!$A:$A,Errors!O:O)</f>
        <v>0x1040102</v>
      </c>
      <c r="N124" t="str">
        <f>_xlfn.XLOOKUP($M124,'Error-codes'!$A:$A,'Error-codes'!B:B)</f>
        <v>inductive sensor error</v>
      </c>
      <c r="O124" s="42">
        <f>_xlfn.XLOOKUP($B124,Errors!$A:$A,Errors!R:R)</f>
        <v>0</v>
      </c>
      <c r="Q124" t="s">
        <v>2946</v>
      </c>
    </row>
    <row r="125" spans="1:19">
      <c r="A125">
        <v>124</v>
      </c>
      <c r="B125" s="7" t="s">
        <v>379</v>
      </c>
      <c r="C125" t="str">
        <f>_xlfn.XLOOKUP(_xlfn.XLOOKUP(B125,Errors!A:A,Errors!B:B),Robots!C:C,Robots!D:D)</f>
        <v>LumionFix 024</v>
      </c>
      <c r="D125" t="str">
        <f>_xlfn.XLOOKUP($B125,Errors!$A:$A,Errors!D:D)</f>
        <v>d0553d27-386a-4f9f-9b05-178968707659</v>
      </c>
      <c r="E125" s="42" t="str">
        <f>_xlfn.XLOOKUP($B125,Errors!$A:$A,Errors!E:E)</f>
        <v>failed</v>
      </c>
      <c r="F125" t="str">
        <f>_xlfn.XLOOKUP($B125,Errors!$A:$A,Errors!K:K)</f>
        <v>Recovery</v>
      </c>
      <c r="G125" s="43">
        <f>_xlfn.XLOOKUP($B125,Errors!$A:$A,Errors!F:F)</f>
        <v>44819</v>
      </c>
      <c r="H125" s="44">
        <f>_xlfn.XLOOKUP($B125,Errors!$A:$A,Errors!H:H)</f>
        <v>0.5685648148148148</v>
      </c>
      <c r="I125">
        <f>_xlfn.XLOOKUP($D125,NimbusTreatments!B:B,NimbusTreatments!G:G)</f>
        <v>122</v>
      </c>
      <c r="J125">
        <f>_xlfn.XLOOKUP($D125,NimbusTreatments!$B:$B,NimbusTreatments!H:H)</f>
        <v>0</v>
      </c>
      <c r="K125">
        <f>_xlfn.XLOOKUP($B125,Errors!$A:$A,Errors!L:L)</f>
        <v>0</v>
      </c>
      <c r="L125" s="45" t="str" cm="1">
        <f t="array" aca="1" ref="L125" ca="1">HYPERLINK("#" &amp; CELL("address", _xlfn.XLOOKUP($B125,Errors!$A:$A,Errors!M:M)))</f>
        <v>#[VRS_RobotData.xlsx]Errors!$M$125</v>
      </c>
      <c r="M125" t="str">
        <f>_xlfn.XLOOKUP($B125,Errors!$A:$A,Errors!O:O)</f>
        <v>0x1060101</v>
      </c>
      <c r="N125" t="str">
        <f>_xlfn.XLOOKUP($M125,'Error-codes'!$A:$A,'Error-codes'!B:B)</f>
        <v>vision error</v>
      </c>
      <c r="O125" s="42">
        <f>_xlfn.XLOOKUP($B125,Errors!$A:$A,Errors!R:R)</f>
        <v>0</v>
      </c>
      <c r="P125" t="s">
        <v>3404</v>
      </c>
    </row>
    <row r="126" spans="1:19">
      <c r="A126">
        <v>125</v>
      </c>
      <c r="B126" s="1" t="s">
        <v>381</v>
      </c>
      <c r="C126" t="str">
        <f>_xlfn.XLOOKUP(_xlfn.XLOOKUP(B126,Errors!A:A,Errors!B:B),Robots!C:C,Robots!D:D)</f>
        <v>LumionFix 024</v>
      </c>
      <c r="D126" t="str">
        <f>_xlfn.XLOOKUP($B126,Errors!$A:$A,Errors!D:D)</f>
        <v>d0553d27-386a-4f9f-9b05-178968707659</v>
      </c>
      <c r="E126" s="42" t="str">
        <f>_xlfn.XLOOKUP($B126,Errors!$A:$A,Errors!E:E)</f>
        <v>failed</v>
      </c>
      <c r="F126" t="str">
        <f>_xlfn.XLOOKUP($B126,Errors!$A:$A,Errors!K:K)</f>
        <v>Fatal</v>
      </c>
      <c r="G126" s="43">
        <f>_xlfn.XLOOKUP($B126,Errors!$A:$A,Errors!F:F)</f>
        <v>44819</v>
      </c>
      <c r="H126" s="44">
        <f>_xlfn.XLOOKUP($B126,Errors!$A:$A,Errors!H:H)</f>
        <v>0.5709953703703704</v>
      </c>
      <c r="I126">
        <f>_xlfn.XLOOKUP($D126,NimbusTreatments!B:B,NimbusTreatments!G:G)</f>
        <v>122</v>
      </c>
      <c r="J126">
        <f>_xlfn.XLOOKUP($D126,NimbusTreatments!$B:$B,NimbusTreatments!H:H)</f>
        <v>0</v>
      </c>
      <c r="K126" t="str">
        <f>_xlfn.XLOOKUP($B126,Errors!$A:$A,Errors!L:L)</f>
        <v>right_3215</v>
      </c>
      <c r="L126" s="45" t="str" cm="1">
        <f t="array" aca="1" ref="L126" ca="1">HYPERLINK("#" &amp; CELL("address", _xlfn.XLOOKUP($B126,Errors!$A:$A,Errors!M:M)))</f>
        <v>#[VRS_RobotData.xlsx]Errors!$M$126</v>
      </c>
      <c r="M126" t="str">
        <f>_xlfn.XLOOKUP($B126,Errors!$A:$A,Errors!O:O)</f>
        <v>0x1060101</v>
      </c>
      <c r="N126" t="str">
        <f>_xlfn.XLOOKUP($M126,'Error-codes'!$A:$A,'Error-codes'!B:B)</f>
        <v>vision error</v>
      </c>
      <c r="O126" s="42">
        <f>_xlfn.XLOOKUP($B126,Errors!$A:$A,Errors!R:R)</f>
        <v>0</v>
      </c>
      <c r="P126" t="s">
        <v>3404</v>
      </c>
    </row>
    <row r="127" spans="1:19" ht="45" customHeight="1">
      <c r="A127">
        <v>126</v>
      </c>
      <c r="B127" s="7" t="s">
        <v>383</v>
      </c>
      <c r="C127" t="str">
        <f>_xlfn.XLOOKUP(_xlfn.XLOOKUP(B127,Errors!A:A,Errors!B:B),Robots!C:C,Robots!D:D)</f>
        <v>LumionFix 024</v>
      </c>
      <c r="D127" t="str">
        <f>_xlfn.XLOOKUP($B127,Errors!$A:$A,Errors!D:D)</f>
        <v>d2d176e9-972f-459a-af0b-8d548135a0be</v>
      </c>
      <c r="E127" s="42" t="str">
        <f>_xlfn.XLOOKUP($B127,Errors!$A:$A,Errors!E:E)</f>
        <v>failed</v>
      </c>
      <c r="F127" t="str">
        <f>_xlfn.XLOOKUP($B127,Errors!$A:$A,Errors!K:K)</f>
        <v>Fatal</v>
      </c>
      <c r="G127" s="43">
        <f>_xlfn.XLOOKUP($B127,Errors!$A:$A,Errors!F:F)</f>
        <v>44819</v>
      </c>
      <c r="H127" s="44">
        <f>_xlfn.XLOOKUP($B127,Errors!$A:$A,Errors!H:H)</f>
        <v>0.6334953703703704</v>
      </c>
      <c r="I127">
        <f>_xlfn.XLOOKUP($D127,NimbusTreatments!B:B,NimbusTreatments!G:G)</f>
        <v>125</v>
      </c>
      <c r="J127">
        <f>_xlfn.XLOOKUP($D127,NimbusTreatments!$B:$B,NimbusTreatments!H:H)</f>
        <v>19</v>
      </c>
      <c r="K127" t="str">
        <f>_xlfn.XLOOKUP($B127,Errors!$A:$A,Errors!L:L)</f>
        <v>right_3253</v>
      </c>
      <c r="L127" s="45" t="str" cm="1">
        <f t="array" aca="1" ref="L127" ca="1">HYPERLINK("#" &amp; CELL("address", _xlfn.XLOOKUP($B127,Errors!$A:$A,Errors!M:M)))</f>
        <v>#[VRS_RobotData.xlsx]Errors!$M$127</v>
      </c>
      <c r="M127" t="str">
        <f>_xlfn.XLOOKUP($B127,Errors!$A:$A,Errors!O:O)</f>
        <v>0x1040001</v>
      </c>
      <c r="N127" t="str">
        <f>_xlfn.XLOOKUP($M127,'Error-codes'!$A:$A,'Error-codes'!B:B)</f>
        <v>vehicle diverged too far from trajectory</v>
      </c>
      <c r="O127" s="42">
        <f>_xlfn.XLOOKUP($B127,Errors!$A:$A,Errors!R:R)</f>
        <v>0</v>
      </c>
      <c r="P127" s="46" t="s">
        <v>3405</v>
      </c>
    </row>
    <row r="128" spans="1:19" ht="51.75" customHeight="1">
      <c r="A128">
        <v>127</v>
      </c>
      <c r="B128" s="1" t="s">
        <v>386</v>
      </c>
      <c r="C128" t="str">
        <f>_xlfn.XLOOKUP(_xlfn.XLOOKUP(B128,Errors!A:A,Errors!B:B),Robots!C:C,Robots!D:D)</f>
        <v>LumionFix 024</v>
      </c>
      <c r="D128" t="str">
        <f>_xlfn.XLOOKUP($B128,Errors!$A:$A,Errors!D:D)</f>
        <v>63b34c7b-3fde-4bb9-8ad9-5b91e7b1d2e5</v>
      </c>
      <c r="E128" s="42" t="str">
        <f>_xlfn.XLOOKUP($B128,Errors!$A:$A,Errors!E:E)</f>
        <v>completed</v>
      </c>
      <c r="F128" t="str">
        <f>_xlfn.XLOOKUP($B128,Errors!$A:$A,Errors!K:K)</f>
        <v>Recovery</v>
      </c>
      <c r="G128" s="43">
        <f>_xlfn.XLOOKUP($B128,Errors!$A:$A,Errors!F:F)</f>
        <v>44819</v>
      </c>
      <c r="H128" s="44">
        <f>_xlfn.XLOOKUP($B128,Errors!$A:$A,Errors!H:H)</f>
        <v>0.68125000000000002</v>
      </c>
      <c r="I128">
        <f>_xlfn.XLOOKUP($D128,NimbusTreatments!B:B,NimbusTreatments!G:G)</f>
        <v>104</v>
      </c>
      <c r="J128">
        <f>_xlfn.XLOOKUP($D128,NimbusTreatments!$B:$B,NimbusTreatments!H:H)</f>
        <v>103</v>
      </c>
      <c r="K128">
        <f>_xlfn.XLOOKUP($B128,Errors!$A:$A,Errors!L:L)</f>
        <v>0</v>
      </c>
      <c r="L128" s="45" t="str" cm="1">
        <f t="array" aca="1" ref="L128" ca="1">HYPERLINK("#" &amp; CELL("address", _xlfn.XLOOKUP($B128,Errors!$A:$A,Errors!M:M)))</f>
        <v>#[VRS_RobotData.xlsx]Errors!$M$128</v>
      </c>
      <c r="M128" t="str">
        <f>_xlfn.XLOOKUP($B128,Errors!$A:$A,Errors!O:O)</f>
        <v>0x1040001</v>
      </c>
      <c r="N128" t="str">
        <f>_xlfn.XLOOKUP($M128,'Error-codes'!$A:$A,'Error-codes'!B:B)</f>
        <v>vehicle diverged too far from trajectory</v>
      </c>
      <c r="O128" s="42">
        <f>_xlfn.XLOOKUP($B128,Errors!$A:$A,Errors!R:R)</f>
        <v>0</v>
      </c>
      <c r="P128" s="46" t="s">
        <v>3405</v>
      </c>
    </row>
    <row r="129" spans="1:19" ht="81" hidden="1" customHeight="1">
      <c r="A129">
        <v>128</v>
      </c>
      <c r="B129" s="7" t="s">
        <v>389</v>
      </c>
      <c r="C129" t="str">
        <f>_xlfn.XLOOKUP(_xlfn.XLOOKUP(B129,Errors!A:A,Errors!B:B),Robots!C:C,Robots!D:D)</f>
        <v>LumionFix 023</v>
      </c>
      <c r="D129" t="str">
        <f>_xlfn.XLOOKUP($B129,Errors!$A:$A,Errors!D:D)</f>
        <v>012a2a77-16f5-4a0d-a0b5-e526e2a58ec4</v>
      </c>
      <c r="E129" s="42">
        <f>_xlfn.XLOOKUP($B129,Errors!$A:$A,Errors!E:E)</f>
        <v>0</v>
      </c>
      <c r="F129" t="str">
        <f>_xlfn.XLOOKUP($B129,Errors!$A:$A,Errors!K:K)</f>
        <v>Fatal</v>
      </c>
      <c r="G129" s="43">
        <f>_xlfn.XLOOKUP($B129,Errors!$A:$A,Errors!F:F)</f>
        <v>44819</v>
      </c>
      <c r="H129" s="44">
        <f>_xlfn.XLOOKUP($B129,Errors!$A:$A,Errors!H:H)</f>
        <v>0.6912152777777778</v>
      </c>
      <c r="I129">
        <f>_xlfn.XLOOKUP($D129,NimbusTreatments!B:B,NimbusTreatments!G:G)</f>
        <v>140</v>
      </c>
      <c r="J129">
        <f>_xlfn.XLOOKUP($D129,NimbusTreatments!$B:$B,NimbusTreatments!H:H)</f>
        <v>2</v>
      </c>
      <c r="K129">
        <f>_xlfn.XLOOKUP($B129,Errors!$A:$A,Errors!L:L)</f>
        <v>0</v>
      </c>
      <c r="L129" s="45" t="str" cm="1">
        <f t="array" aca="1" ref="L129" ca="1">HYPERLINK("#" &amp; CELL("address", _xlfn.XLOOKUP($B129,Errors!$A:$A,Errors!M:M)))</f>
        <v>#[VRS_RobotData.xlsx]Errors!$M$129</v>
      </c>
      <c r="M129" t="str">
        <f>_xlfn.XLOOKUP($B129,Errors!$A:$A,Errors!O:O)</f>
        <v>0x1040105</v>
      </c>
      <c r="N129" t="str">
        <f>_xlfn.XLOOKUP($M129,'Error-codes'!$A:$A,'Error-codes'!B:B)</f>
        <v>xtheta sensor error</v>
      </c>
      <c r="O129" s="42">
        <f>_xlfn.XLOOKUP($B129,Errors!$A:$A,Errors!R:R)</f>
        <v>0</v>
      </c>
      <c r="P129" s="46" t="s">
        <v>3406</v>
      </c>
      <c r="Q129" s="45">
        <v>20220922</v>
      </c>
    </row>
    <row r="130" spans="1:19" ht="159.75" hidden="1" customHeight="1">
      <c r="A130">
        <v>129</v>
      </c>
      <c r="B130" s="1" t="s">
        <v>391</v>
      </c>
      <c r="C130" t="str">
        <f>_xlfn.XLOOKUP(_xlfn.XLOOKUP(B130,Errors!A:A,Errors!B:B),Robots!C:C,Robots!D:D)</f>
        <v>LumionFix 023</v>
      </c>
      <c r="D130" t="str">
        <f>_xlfn.XLOOKUP($B130,Errors!$A:$A,Errors!D:D)</f>
        <v>aebe1f7a-2643-4f5a-9eee-55a00bfe18f9</v>
      </c>
      <c r="E130" s="42" t="str">
        <f>_xlfn.XLOOKUP($B130,Errors!$A:$A,Errors!E:E)</f>
        <v>failed</v>
      </c>
      <c r="F130" t="str">
        <f>_xlfn.XLOOKUP($B130,Errors!$A:$A,Errors!K:K)</f>
        <v>Fatal</v>
      </c>
      <c r="G130" s="43">
        <f>_xlfn.XLOOKUP($B130,Errors!$A:$A,Errors!F:F)</f>
        <v>44820</v>
      </c>
      <c r="H130" s="44">
        <f>_xlfn.XLOOKUP($B130,Errors!$A:$A,Errors!H:H)</f>
        <v>8.671296296296295E-2</v>
      </c>
      <c r="I130">
        <f>_xlfn.XLOOKUP($D130,NimbusTreatments!B:B,NimbusTreatments!G:G)</f>
        <v>137</v>
      </c>
      <c r="J130">
        <f>_xlfn.XLOOKUP($D130,NimbusTreatments!$B:$B,NimbusTreatments!H:H)</f>
        <v>129</v>
      </c>
      <c r="K130" t="str">
        <f>_xlfn.XLOOKUP($B130,Errors!$A:$A,Errors!L:L)</f>
        <v>left_lane3474</v>
      </c>
      <c r="L130" s="45" t="str" cm="1">
        <f t="array" aca="1" ref="L130" ca="1">HYPERLINK("#" &amp; CELL("address", _xlfn.XLOOKUP($B130,Errors!$A:$A,Errors!M:M)))</f>
        <v>#[VRS_RobotData.xlsx]Errors!$M$130</v>
      </c>
      <c r="M130" t="str">
        <f>_xlfn.XLOOKUP($B130,Errors!$A:$A,Errors!O:O)</f>
        <v>0x1040103</v>
      </c>
      <c r="N130" t="str">
        <f>_xlfn.XLOOKUP($M130,'Error-codes'!$A:$A,'Error-codes'!B:B)</f>
        <v>end of lane wall sensor error</v>
      </c>
      <c r="O130" s="42">
        <f>_xlfn.XLOOKUP($B130,Errors!$A:$A,Errors!R:R)</f>
        <v>0</v>
      </c>
      <c r="P130" s="46" t="s">
        <v>3407</v>
      </c>
      <c r="Q130" s="45">
        <v>20220922</v>
      </c>
      <c r="R130" s="46" t="s">
        <v>3408</v>
      </c>
      <c r="S130" s="46" t="s">
        <v>3409</v>
      </c>
    </row>
    <row r="131" spans="1:19" ht="152.25" hidden="1">
      <c r="A131">
        <v>130</v>
      </c>
      <c r="B131" s="7" t="s">
        <v>424</v>
      </c>
      <c r="C131" t="str">
        <f>_xlfn.XLOOKUP(_xlfn.XLOOKUP(B131,Errors!A:A,Errors!B:B),Robots!C:C,Robots!D:D)</f>
        <v>LumionFix 023</v>
      </c>
      <c r="D131" t="str">
        <f>_xlfn.XLOOKUP($B131,Errors!$A:$A,Errors!D:D)</f>
        <v>9939c1b3-abe4-4786-a475-2ac9b955bbe3</v>
      </c>
      <c r="E131" s="42" t="str">
        <f>_xlfn.XLOOKUP($B131,Errors!$A:$A,Errors!E:E)</f>
        <v>stopped</v>
      </c>
      <c r="F131" t="str">
        <f>_xlfn.XLOOKUP($B131,Errors!$A:$A,Errors!K:K)</f>
        <v>Fatal</v>
      </c>
      <c r="G131" s="43">
        <f>_xlfn.XLOOKUP($B131,Errors!$A:$A,Errors!F:F)</f>
        <v>44823</v>
      </c>
      <c r="H131" s="44">
        <f>_xlfn.XLOOKUP($B131,Errors!$A:$A,Errors!H:H)</f>
        <v>0.30480324074074078</v>
      </c>
      <c r="I131">
        <f>_xlfn.XLOOKUP($D131,NimbusTreatments!B:B,NimbusTreatments!G:G)</f>
        <v>82</v>
      </c>
      <c r="J131">
        <f>_xlfn.XLOOKUP($D131,NimbusTreatments!$B:$B,NimbusTreatments!H:H)</f>
        <v>3</v>
      </c>
      <c r="K131">
        <f>_xlfn.XLOOKUP($B131,Errors!$A:$A,Errors!L:L)</f>
        <v>0</v>
      </c>
      <c r="L131" s="45" t="str" cm="1">
        <f t="array" aca="1" ref="L131" ca="1">HYPERLINK("#" &amp; CELL("address", _xlfn.XLOOKUP($B131,Errors!$A:$A,Errors!M:M)))</f>
        <v>#[VRS_RobotData.xlsx]Errors!$M$149</v>
      </c>
      <c r="M131" t="str">
        <f>_xlfn.XLOOKUP($B131,Errors!$A:$A,Errors!O:O)</f>
        <v>0x1040105</v>
      </c>
      <c r="N131" t="str">
        <f>_xlfn.XLOOKUP($M131,'Error-codes'!$A:$A,'Error-codes'!B:B)</f>
        <v>xtheta sensor error</v>
      </c>
      <c r="O131" s="42">
        <f>_xlfn.XLOOKUP($B131,Errors!$A:$A,Errors!R:R)</f>
        <v>0</v>
      </c>
      <c r="P131" s="46" t="s">
        <v>3406</v>
      </c>
      <c r="Q131" s="45">
        <v>20220922</v>
      </c>
      <c r="R131" s="46" t="s">
        <v>3410</v>
      </c>
      <c r="S131" s="48" t="s">
        <v>3411</v>
      </c>
    </row>
    <row r="132" spans="1:19" ht="30.75">
      <c r="A132">
        <v>131</v>
      </c>
      <c r="B132" s="1" t="s">
        <v>430</v>
      </c>
      <c r="C132" t="str">
        <f>_xlfn.XLOOKUP(_xlfn.XLOOKUP(B132,Errors!A:A,Errors!B:B),Robots!C:C,Robots!D:D)</f>
        <v>LumionFix 024</v>
      </c>
      <c r="D132" t="str">
        <f>_xlfn.XLOOKUP($B132,Errors!$A:$A,Errors!D:D)</f>
        <v>d7c8c990-fcad-4907-add2-92839fe32ae5</v>
      </c>
      <c r="E132" s="42" t="str">
        <f>_xlfn.XLOOKUP($B132,Errors!$A:$A,Errors!E:E)</f>
        <v>failed</v>
      </c>
      <c r="F132" t="str">
        <f>_xlfn.XLOOKUP($B132,Errors!$A:$A,Errors!K:K)</f>
        <v>Fatal</v>
      </c>
      <c r="G132" s="43">
        <f>_xlfn.XLOOKUP($B132,Errors!$A:$A,Errors!F:F)</f>
        <v>44825</v>
      </c>
      <c r="H132" s="44">
        <f>_xlfn.XLOOKUP($B132,Errors!$A:$A,Errors!H:H)</f>
        <v>0.68200231481481488</v>
      </c>
      <c r="I132">
        <f>_xlfn.XLOOKUP($D132,NimbusTreatments!B:B,NimbusTreatments!G:G)</f>
        <v>139</v>
      </c>
      <c r="J132">
        <f>_xlfn.XLOOKUP($D132,NimbusTreatments!$B:$B,NimbusTreatments!H:H)</f>
        <v>5</v>
      </c>
      <c r="K132" t="str">
        <f>_xlfn.XLOOKUP($B132,Errors!$A:$A,Errors!L:L)</f>
        <v>left_lane3478</v>
      </c>
      <c r="L132" s="45" t="str" cm="1">
        <f t="array" aca="1" ref="L132" ca="1">HYPERLINK("#" &amp; CELL("address", _xlfn.XLOOKUP($B132,Errors!$A:$A,Errors!M:M)))</f>
        <v>#[VRS_RobotData.xlsx]Errors!$M$151</v>
      </c>
      <c r="M132" t="str">
        <f>_xlfn.XLOOKUP($B132,Errors!$A:$A,Errors!O:O)</f>
        <v>0x1040001</v>
      </c>
      <c r="N132" t="str">
        <f>_xlfn.XLOOKUP($M132,'Error-codes'!$A:$A,'Error-codes'!B:B)</f>
        <v>vehicle diverged too far from trajectory</v>
      </c>
      <c r="O132" s="42">
        <f>_xlfn.XLOOKUP($B132,Errors!$A:$A,Errors!R:R)</f>
        <v>0</v>
      </c>
      <c r="P132" s="46" t="s">
        <v>3412</v>
      </c>
    </row>
    <row r="133" spans="1:19" hidden="1">
      <c r="A133">
        <v>132</v>
      </c>
      <c r="B133" s="7" t="s">
        <v>433</v>
      </c>
      <c r="C133" t="str">
        <f>_xlfn.XLOOKUP(_xlfn.XLOOKUP(B133,Errors!A:A,Errors!B:B),Robots!C:C,Robots!D:D)</f>
        <v>LumionFix 023</v>
      </c>
      <c r="D133" t="str">
        <f>_xlfn.XLOOKUP($B133,Errors!$A:$A,Errors!D:D)</f>
        <v>c66653a7-bff2-4d6d-851c-4c84568e39e1</v>
      </c>
      <c r="E133" s="42" t="str">
        <f>_xlfn.XLOOKUP($B133,Errors!$A:$A,Errors!E:E)</f>
        <v>failed</v>
      </c>
      <c r="F133" t="str">
        <f>_xlfn.XLOOKUP($B133,Errors!$A:$A,Errors!K:K)</f>
        <v>Fatal</v>
      </c>
      <c r="G133" s="43">
        <f>_xlfn.XLOOKUP($B133,Errors!$A:$A,Errors!F:F)</f>
        <v>44825</v>
      </c>
      <c r="H133" s="44">
        <f>_xlfn.XLOOKUP($B133,Errors!$A:$A,Errors!H:H)</f>
        <v>0.75061342592592595</v>
      </c>
      <c r="I133">
        <f>_xlfn.XLOOKUP($D133,NimbusTreatments!B:B,NimbusTreatments!G:G)</f>
        <v>82</v>
      </c>
      <c r="J133">
        <f>_xlfn.XLOOKUP($D133,NimbusTreatments!$B:$B,NimbusTreatments!H:H)</f>
        <v>35</v>
      </c>
      <c r="K133" t="str">
        <f>_xlfn.XLOOKUP($B133,Errors!$A:$A,Errors!L:L)</f>
        <v>right_3411</v>
      </c>
      <c r="L133" s="45" t="str" cm="1">
        <f t="array" aca="1" ref="L133" ca="1">HYPERLINK("#" &amp; CELL("address", _xlfn.XLOOKUP($B133,Errors!$A:$A,Errors!M:M)))</f>
        <v>#[VRS_RobotData.xlsx]Errors!$M$152</v>
      </c>
      <c r="M133" t="str">
        <f>_xlfn.XLOOKUP($B133,Errors!$A:$A,Errors!O:O)</f>
        <v>0x1070001</v>
      </c>
      <c r="N133" t="str">
        <f>_xlfn.XLOOKUP($M133,'Error-codes'!$A:$A,'Error-codes'!B:B)</f>
        <v>battery level critical low</v>
      </c>
      <c r="O133" s="42">
        <f>_xlfn.XLOOKUP($B133,Errors!$A:$A,Errors!R:R)</f>
        <v>0</v>
      </c>
      <c r="P133" t="s">
        <v>2943</v>
      </c>
      <c r="Q133" t="s">
        <v>3379</v>
      </c>
      <c r="R133" t="s">
        <v>3379</v>
      </c>
      <c r="S133" t="s">
        <v>3379</v>
      </c>
    </row>
    <row r="134" spans="1:19" hidden="1">
      <c r="A134">
        <v>133</v>
      </c>
      <c r="B134" s="7" t="s">
        <v>436</v>
      </c>
      <c r="C134" t="str">
        <f>_xlfn.XLOOKUP(_xlfn.XLOOKUP(B134,Errors!A:A,Errors!B:B),Robots!C:C,Robots!D:D)</f>
        <v>LumionFix 029</v>
      </c>
      <c r="D134" t="str">
        <f>_xlfn.XLOOKUP($B134,Errors!$A:$A,Errors!D:D)</f>
        <v>1393cb0c-36a9-4248-84bb-d52294aa139f</v>
      </c>
      <c r="E134" s="42" t="str">
        <f>_xlfn.XLOOKUP($B134,Errors!$A:$A,Errors!E:E)</f>
        <v>failed</v>
      </c>
      <c r="F134" t="str">
        <f>_xlfn.XLOOKUP($B134,Errors!$A:$A,Errors!K:K)</f>
        <v>Fatal</v>
      </c>
      <c r="G134" s="43">
        <f>_xlfn.XLOOKUP($B134,Errors!$A:$A,Errors!F:F)</f>
        <v>44827</v>
      </c>
      <c r="H134" s="44">
        <f>_xlfn.XLOOKUP($B134,Errors!$A:$A,Errors!H:H)</f>
        <v>0.94074074074074077</v>
      </c>
      <c r="I134">
        <f>_xlfn.XLOOKUP($D134,NimbusTreatments!B:B,NimbusTreatments!G:G)</f>
        <v>102</v>
      </c>
      <c r="J134">
        <f>_xlfn.XLOOKUP($D134,NimbusTreatments!$B:$B,NimbusTreatments!H:H)</f>
        <v>60</v>
      </c>
      <c r="K134" t="str">
        <f>_xlfn.XLOOKUP($B134,Errors!$A:$A,Errors!L:L)</f>
        <v>right_block47_lane7</v>
      </c>
      <c r="L134" s="45" t="str" cm="1">
        <f t="array" aca="1" ref="L134" ca="1">HYPERLINK("#" &amp; CELL("address", _xlfn.XLOOKUP($B134,Errors!$A:$A,Errors!M:M)))</f>
        <v>#[VRS_RobotData.xlsx]Errors!$M$153</v>
      </c>
      <c r="M134" t="str">
        <f>_xlfn.XLOOKUP($B134,Errors!$A:$A,Errors!O:O)</f>
        <v>0x1060001</v>
      </c>
      <c r="N134" t="str">
        <f>_xlfn.XLOOKUP($M134,'Error-codes'!$A:$A,'Error-codes'!B:B)</f>
        <v>motor drive: OVER VOLTAGE</v>
      </c>
      <c r="O134" s="42">
        <f>_xlfn.XLOOKUP($B134,Errors!$A:$A,Errors!R:R)</f>
        <v>0</v>
      </c>
      <c r="P134" s="46" t="s">
        <v>3413</v>
      </c>
      <c r="Q134" t="s">
        <v>3379</v>
      </c>
      <c r="R134" t="s">
        <v>3379</v>
      </c>
      <c r="S134" t="s">
        <v>3379</v>
      </c>
    </row>
    <row r="135" spans="1:19" ht="34.5" hidden="1" customHeight="1">
      <c r="A135">
        <v>134</v>
      </c>
      <c r="B135" s="1" t="s">
        <v>440</v>
      </c>
      <c r="C135" t="str">
        <f>_xlfn.XLOOKUP(_xlfn.XLOOKUP(B135,Errors!A:A,Errors!B:B),Robots!C:C,Robots!D:D)</f>
        <v>LumionFix 029</v>
      </c>
      <c r="D135" t="str">
        <f>_xlfn.XLOOKUP($B135,Errors!$A:$A,Errors!D:D)</f>
        <v>505238ed-b23a-46d8-a648-1973c987c701</v>
      </c>
      <c r="E135" s="42" t="str">
        <f>_xlfn.XLOOKUP($B135,Errors!$A:$A,Errors!E:E)</f>
        <v>failed</v>
      </c>
      <c r="F135" t="str">
        <f>_xlfn.XLOOKUP($B135,Errors!$A:$A,Errors!K:K)</f>
        <v>Fatal</v>
      </c>
      <c r="G135" s="43">
        <f>_xlfn.XLOOKUP($B135,Errors!$A:$A,Errors!F:F)</f>
        <v>44830</v>
      </c>
      <c r="H135" s="44">
        <f>_xlfn.XLOOKUP($B135,Errors!$A:$A,Errors!H:H)</f>
        <v>0.56950231481481484</v>
      </c>
      <c r="I135">
        <f>_xlfn.XLOOKUP($D135,NimbusTreatments!B:B,NimbusTreatments!G:G)</f>
        <v>101</v>
      </c>
      <c r="J135">
        <f>_xlfn.XLOOKUP($D135,NimbusTreatments!$B:$B,NimbusTreatments!H:H)</f>
        <v>61</v>
      </c>
      <c r="K135" t="str">
        <f>_xlfn.XLOOKUP($B135,Errors!$A:$A,Errors!L:L)</f>
        <v>right_block48_lane2</v>
      </c>
      <c r="L135" s="45" t="str" cm="1">
        <f t="array" aca="1" ref="L135" ca="1">HYPERLINK("#" &amp; CELL("address", _xlfn.XLOOKUP($B135,Errors!$A:$A,Errors!M:M)))</f>
        <v>#[VRS_RobotData.xlsx]Errors!$M$154</v>
      </c>
      <c r="M135" t="str">
        <f>_xlfn.XLOOKUP($B135,Errors!$A:$A,Errors!O:O)</f>
        <v>0x1060002</v>
      </c>
      <c r="N135" t="str">
        <f>_xlfn.XLOOKUP($M135,'Error-codes'!$A:$A,'Error-codes'!B:B)</f>
        <v>motor drive: UNDER VOLTAGE</v>
      </c>
      <c r="O135" s="42">
        <f>_xlfn.XLOOKUP($B135,Errors!$A:$A,Errors!R:R)</f>
        <v>0</v>
      </c>
      <c r="P135" s="46" t="s">
        <v>3414</v>
      </c>
      <c r="Q135" t="s">
        <v>3379</v>
      </c>
      <c r="R135" t="s">
        <v>3379</v>
      </c>
      <c r="S135" t="s">
        <v>3379</v>
      </c>
    </row>
    <row r="136" spans="1:19" ht="30.75">
      <c r="A136">
        <v>135</v>
      </c>
      <c r="B136" s="7" t="s">
        <v>443</v>
      </c>
      <c r="C136" t="str">
        <f>_xlfn.XLOOKUP(_xlfn.XLOOKUP(B136,Errors!A:A,Errors!B:B),Robots!C:C,Robots!D:D)</f>
        <v>LumionFix 024</v>
      </c>
      <c r="D136" t="str">
        <f>_xlfn.XLOOKUP($B136,Errors!$A:$A,Errors!D:D)</f>
        <v>a106be97-7c71-4f25-bc6d-23ca84eb8de3</v>
      </c>
      <c r="E136" s="42" t="str">
        <f>_xlfn.XLOOKUP($B136,Errors!$A:$A,Errors!E:E)</f>
        <v>failed</v>
      </c>
      <c r="F136" t="str">
        <f>_xlfn.XLOOKUP($B136,Errors!$A:$A,Errors!K:K)</f>
        <v>Fatal</v>
      </c>
      <c r="G136" s="43">
        <f>_xlfn.XLOOKUP($B136,Errors!$A:$A,Errors!F:F)</f>
        <v>44832</v>
      </c>
      <c r="H136" s="44">
        <f>_xlfn.XLOOKUP($B136,Errors!$A:$A,Errors!H:H)</f>
        <v>0.76222222222222225</v>
      </c>
      <c r="I136">
        <f>_xlfn.XLOOKUP($D136,NimbusTreatments!B:B,NimbusTreatments!G:G)</f>
        <v>35</v>
      </c>
      <c r="J136">
        <f>_xlfn.XLOOKUP($D136,NimbusTreatments!$B:$B,NimbusTreatments!H:H)</f>
        <v>17</v>
      </c>
      <c r="K136" t="str">
        <f>_xlfn.XLOOKUP($B136,Errors!$A:$A,Errors!L:L)</f>
        <v>right_3105</v>
      </c>
      <c r="L136" s="45" t="str" cm="1">
        <f t="array" aca="1" ref="L136" ca="1">HYPERLINK("#" &amp; CELL("address", _xlfn.XLOOKUP($B136,Errors!$A:$A,Errors!M:M)))</f>
        <v>#[VRS_RobotData.xlsx]Errors!$M$155</v>
      </c>
      <c r="M136" t="str">
        <f>_xlfn.XLOOKUP($B136,Errors!$A:$A,Errors!O:O)</f>
        <v>0x1040001</v>
      </c>
      <c r="N136" t="str">
        <f>_xlfn.XLOOKUP($M136,'Error-codes'!$A:$A,'Error-codes'!B:B)</f>
        <v>vehicle diverged too far from trajectory</v>
      </c>
      <c r="O136" s="42">
        <f>_xlfn.XLOOKUP($B136,Errors!$A:$A,Errors!R:R)</f>
        <v>0</v>
      </c>
      <c r="P136" s="46" t="s">
        <v>3415</v>
      </c>
    </row>
    <row r="137" spans="1:19" ht="30.75" hidden="1">
      <c r="A137">
        <v>136</v>
      </c>
      <c r="B137" s="7" t="s">
        <v>446</v>
      </c>
      <c r="C137" t="str">
        <f>_xlfn.XLOOKUP(_xlfn.XLOOKUP(B137,Errors!A:A,Errors!B:B),Robots!C:C,Robots!D:D)</f>
        <v>LumionFix 023</v>
      </c>
      <c r="D137" t="str">
        <f>_xlfn.XLOOKUP($B137,Errors!$A:$A,Errors!D:D)</f>
        <v>f142cc64-db52-417b-8035-18a00b5b66de</v>
      </c>
      <c r="E137" s="42" t="str">
        <f>_xlfn.XLOOKUP($B137,Errors!$A:$A,Errors!E:E)</f>
        <v>failed</v>
      </c>
      <c r="F137" t="str">
        <f>_xlfn.XLOOKUP($B137,Errors!$A:$A,Errors!K:K)</f>
        <v>Fatal</v>
      </c>
      <c r="G137" s="43">
        <f>_xlfn.XLOOKUP($B137,Errors!$A:$A,Errors!F:F)</f>
        <v>44832</v>
      </c>
      <c r="H137" s="44">
        <f>_xlfn.XLOOKUP($B137,Errors!$A:$A,Errors!H:H)</f>
        <v>0.86903935185185188</v>
      </c>
      <c r="I137">
        <f>_xlfn.XLOOKUP($D137,NimbusTreatments!B:B,NimbusTreatments!G:G)</f>
        <v>61</v>
      </c>
      <c r="J137">
        <f>_xlfn.XLOOKUP($D137,NimbusTreatments!$B:$B,NimbusTreatments!H:H)</f>
        <v>21</v>
      </c>
      <c r="K137" t="str">
        <f>_xlfn.XLOOKUP($B137,Errors!$A:$A,Errors!L:L)</f>
        <v>right_3095</v>
      </c>
      <c r="L137" s="45" t="str" cm="1">
        <f t="array" aca="1" ref="L137" ca="1">HYPERLINK("#" &amp; CELL("address", _xlfn.XLOOKUP($B137,Errors!$A:$A,Errors!M:M)))</f>
        <v>#[VRS_RobotData.xlsx]Errors!$M$156</v>
      </c>
      <c r="M137" t="str">
        <f>_xlfn.XLOOKUP($B137,Errors!$A:$A,Errors!O:O)</f>
        <v>0x1060009</v>
      </c>
      <c r="N137" t="str">
        <f>_xlfn.XLOOKUP($M137,'Error-codes'!$A:$A,'Error-codes'!B:B)</f>
        <v>motor drive: DRV8353 FAULT</v>
      </c>
      <c r="O137" s="42">
        <f>_xlfn.XLOOKUP($B137,Errors!$A:$A,Errors!R:R)</f>
        <v>0</v>
      </c>
      <c r="P137" s="46" t="s">
        <v>3416</v>
      </c>
      <c r="Q137" t="s">
        <v>3379</v>
      </c>
      <c r="R137" t="s">
        <v>3379</v>
      </c>
      <c r="S137" t="s">
        <v>3379</v>
      </c>
    </row>
    <row r="138" spans="1:19" ht="45.75" hidden="1">
      <c r="A138">
        <v>137</v>
      </c>
      <c r="B138" t="s">
        <v>449</v>
      </c>
      <c r="C138" t="str">
        <f>_xlfn.XLOOKUP(_xlfn.XLOOKUP(B138,Errors!A:A,Errors!B:B),Robots!C:C,Robots!D:D)</f>
        <v>LumionFix 023</v>
      </c>
      <c r="D138" t="str">
        <f>_xlfn.XLOOKUP($B138,Errors!$A:$A,Errors!D:D)</f>
        <v>f7ca99b6-dd34-45a2-871d-584c6a7eb612</v>
      </c>
      <c r="E138" s="42" t="str">
        <f>_xlfn.XLOOKUP($B138,Errors!$A:$A,Errors!E:E)</f>
        <v>failed</v>
      </c>
      <c r="F138" t="str">
        <f>_xlfn.XLOOKUP($B138,Errors!$A:$A,Errors!K:K)</f>
        <v>Recovery</v>
      </c>
      <c r="G138" s="43">
        <f>_xlfn.XLOOKUP($B138,Errors!$A:$A,Errors!F:F)</f>
        <v>44832</v>
      </c>
      <c r="H138" s="44">
        <f>_xlfn.XLOOKUP($B138,Errors!$A:$A,Errors!H:H)</f>
        <v>0.88587962962962974</v>
      </c>
      <c r="I138">
        <f>_xlfn.XLOOKUP($D138,NimbusTreatments!B:B,NimbusTreatments!G:G)</f>
        <v>61</v>
      </c>
      <c r="J138">
        <f>_xlfn.XLOOKUP($D138,NimbusTreatments!$B:$B,NimbusTreatments!H:H)</f>
        <v>31</v>
      </c>
      <c r="K138">
        <f>_xlfn.XLOOKUP($B138,Errors!$A:$A,Errors!L:L)</f>
        <v>0</v>
      </c>
      <c r="L138" s="45" t="str" cm="1">
        <f t="array" aca="1" ref="L138" ca="1">HYPERLINK("#" &amp; CELL("address", _xlfn.XLOOKUP($B138,Errors!$A:$A,Errors!M:M)))</f>
        <v>#[VRS_RobotData.xlsx]Errors!$M$157</v>
      </c>
      <c r="M138" t="str">
        <f>_xlfn.XLOOKUP($B138,Errors!$A:$A,Errors!O:O)</f>
        <v>0x1040103</v>
      </c>
      <c r="N138" t="str">
        <f>_xlfn.XLOOKUP($M138,'Error-codes'!$A:$A,'Error-codes'!B:B)</f>
        <v>end of lane wall sensor error</v>
      </c>
      <c r="O138" s="42">
        <f>_xlfn.XLOOKUP($B138,Errors!$A:$A,Errors!R:R)</f>
        <v>0</v>
      </c>
      <c r="P138" s="46" t="s">
        <v>3417</v>
      </c>
    </row>
    <row r="139" spans="1:19" ht="45.75" hidden="1">
      <c r="A139">
        <v>138</v>
      </c>
      <c r="B139" t="s">
        <v>451</v>
      </c>
      <c r="C139" t="str">
        <f>_xlfn.XLOOKUP(_xlfn.XLOOKUP(B139,Errors!A:A,Errors!B:B),Robots!C:C,Robots!D:D)</f>
        <v>LumionFix 023</v>
      </c>
      <c r="D139" t="str">
        <f>_xlfn.XLOOKUP($B139,Errors!$A:$A,Errors!D:D)</f>
        <v>f7ca99b6-dd34-45a2-871d-584c6a7eb612</v>
      </c>
      <c r="E139" s="42" t="str">
        <f>_xlfn.XLOOKUP($B139,Errors!$A:$A,Errors!E:E)</f>
        <v>failed</v>
      </c>
      <c r="F139" t="str">
        <f>_xlfn.XLOOKUP($B139,Errors!$A:$A,Errors!K:K)</f>
        <v>Fatal</v>
      </c>
      <c r="G139" s="43">
        <f>_xlfn.XLOOKUP($B139,Errors!$A:$A,Errors!F:F)</f>
        <v>44832</v>
      </c>
      <c r="H139" s="44">
        <f>_xlfn.XLOOKUP($B139,Errors!$A:$A,Errors!H:H)</f>
        <v>0.97505787037037039</v>
      </c>
      <c r="I139">
        <f>_xlfn.XLOOKUP($D139,NimbusTreatments!B:B,NimbusTreatments!G:G)</f>
        <v>61</v>
      </c>
      <c r="J139">
        <f>_xlfn.XLOOKUP($D139,NimbusTreatments!$B:$B,NimbusTreatments!H:H)</f>
        <v>31</v>
      </c>
      <c r="K139" t="str">
        <f>_xlfn.XLOOKUP($B139,Errors!$A:$A,Errors!L:L)</f>
        <v>right_3079</v>
      </c>
      <c r="L139" s="45" t="str" cm="1">
        <f t="array" aca="1" ref="L139" ca="1">HYPERLINK("#" &amp; CELL("address", _xlfn.XLOOKUP($B139,Errors!$A:$A,Errors!M:M)))</f>
        <v>#[VRS_RobotData.xlsx]Errors!$M$158</v>
      </c>
      <c r="M139" t="str">
        <f>_xlfn.XLOOKUP($B139,Errors!$A:$A,Errors!O:O)</f>
        <v>0x1040102</v>
      </c>
      <c r="N139" t="str">
        <f>_xlfn.XLOOKUP($M139,'Error-codes'!$A:$A,'Error-codes'!B:B)</f>
        <v>inductive sensor error</v>
      </c>
      <c r="O139" s="42">
        <f>_xlfn.XLOOKUP($B139,Errors!$A:$A,Errors!R:R)</f>
        <v>0</v>
      </c>
      <c r="P139" s="46" t="s">
        <v>2961</v>
      </c>
    </row>
    <row r="140" spans="1:19" ht="60.75" hidden="1">
      <c r="A140">
        <v>139</v>
      </c>
      <c r="B140" s="50" t="s">
        <v>453</v>
      </c>
      <c r="C140" t="str">
        <f>_xlfn.XLOOKUP(_xlfn.XLOOKUP(B140,Errors!A:A,Errors!B:B),Robots!C:C,Robots!D:D)</f>
        <v>LumionFix 029</v>
      </c>
      <c r="D140" t="str">
        <f>_xlfn.XLOOKUP($B140,Errors!$A:$A,Errors!D:D)</f>
        <v>8413f0bd-cb32-4169-82c7-d410df36633d</v>
      </c>
      <c r="E140" s="42" t="str">
        <f>_xlfn.XLOOKUP($B140,Errors!$A:$A,Errors!E:E)</f>
        <v>failed</v>
      </c>
      <c r="F140" t="str">
        <f>_xlfn.XLOOKUP($B140,Errors!$A:$A,Errors!K:K)</f>
        <v>Fatal</v>
      </c>
      <c r="G140" s="43">
        <f>_xlfn.XLOOKUP($B140,Errors!$A:$A,Errors!F:F)</f>
        <v>44833</v>
      </c>
      <c r="H140" s="44">
        <f>_xlfn.XLOOKUP($B140,Errors!$A:$A,Errors!H:H)</f>
        <v>0.7955902777777778</v>
      </c>
      <c r="I140">
        <f>_xlfn.XLOOKUP($D140,NimbusTreatments!B:B,NimbusTreatments!G:G)</f>
        <v>101</v>
      </c>
      <c r="J140">
        <f>_xlfn.XLOOKUP($D140,NimbusTreatments!$B:$B,NimbusTreatments!H:H)</f>
        <v>10</v>
      </c>
      <c r="K140" t="str">
        <f>_xlfn.XLOOKUP($B140,Errors!$A:$A,Errors!L:L)</f>
        <v>left_block28_lane3</v>
      </c>
      <c r="L140" s="45" t="str" cm="1">
        <f t="array" aca="1" ref="L140" ca="1">HYPERLINK("#" &amp; CELL("address", _xlfn.XLOOKUP($B140,Errors!$A:$A,Errors!M:M)))</f>
        <v>#[VRS_RobotData.xlsx]Errors!$M$159</v>
      </c>
      <c r="M140" t="str">
        <f>_xlfn.XLOOKUP($B140,Errors!$A:$A,Errors!O:O)</f>
        <v>0x1040102</v>
      </c>
      <c r="N140" t="str">
        <f>_xlfn.XLOOKUP($M140,'Error-codes'!$A:$A,'Error-codes'!B:B)</f>
        <v>inductive sensor error</v>
      </c>
      <c r="O140" s="42">
        <f>_xlfn.XLOOKUP($B140,Errors!$A:$A,Errors!R:R)</f>
        <v>0</v>
      </c>
      <c r="P140" s="46" t="s">
        <v>2964</v>
      </c>
    </row>
    <row r="141" spans="1:19" ht="45.75">
      <c r="A141">
        <v>140</v>
      </c>
      <c r="B141" t="s">
        <v>456</v>
      </c>
      <c r="C141" t="str">
        <f>_xlfn.XLOOKUP(_xlfn.XLOOKUP(B141,Errors!A:A,Errors!B:B),Robots!C:C,Robots!D:D)</f>
        <v>LumionFix 024</v>
      </c>
      <c r="D141" t="str">
        <f>_xlfn.XLOOKUP($B141,Errors!$A:$A,Errors!D:D)</f>
        <v>86ff76ca-be3e-4446-9469-baa3c6414b40</v>
      </c>
      <c r="E141" s="42" t="str">
        <f>_xlfn.XLOOKUP($B141,Errors!$A:$A,Errors!E:E)</f>
        <v>failed</v>
      </c>
      <c r="F141" t="str">
        <f>_xlfn.XLOOKUP($B141,Errors!$A:$A,Errors!K:K)</f>
        <v>Fatal</v>
      </c>
      <c r="G141" s="43">
        <f>_xlfn.XLOOKUP($B141,Errors!$A:$A,Errors!F:F)</f>
        <v>44833</v>
      </c>
      <c r="H141" s="44">
        <f>_xlfn.XLOOKUP($B141,Errors!$A:$A,Errors!H:H)</f>
        <v>2.7199074074074074E-3</v>
      </c>
      <c r="I141">
        <f>_xlfn.XLOOKUP($D141,NimbusTreatments!B:B,NimbusTreatments!G:G)</f>
        <v>137</v>
      </c>
      <c r="J141">
        <f>_xlfn.XLOOKUP($D141,NimbusTreatments!$B:$B,NimbusTreatments!H:H)</f>
        <v>33</v>
      </c>
      <c r="K141" t="str">
        <f>_xlfn.XLOOKUP($B141,Errors!$A:$A,Errors!L:L)</f>
        <v>right_3255</v>
      </c>
      <c r="L141" s="45" t="str" cm="1">
        <f t="array" aca="1" ref="L141" ca="1">HYPERLINK("#" &amp; CELL("address", _xlfn.XLOOKUP($B141,Errors!$A:$A,Errors!M:M)))</f>
        <v>#[VRS_RobotData.xlsx]Errors!$M$160</v>
      </c>
      <c r="M141" t="str">
        <f>_xlfn.XLOOKUP($B141,Errors!$A:$A,Errors!O:O)</f>
        <v>0x1040102</v>
      </c>
      <c r="N141" t="str">
        <f>_xlfn.XLOOKUP($M141,'Error-codes'!$A:$A,'Error-codes'!B:B)</f>
        <v>inductive sensor error</v>
      </c>
      <c r="O141" s="42">
        <f>_xlfn.XLOOKUP($B141,Errors!$A:$A,Errors!R:R)</f>
        <v>0</v>
      </c>
      <c r="P141" s="46" t="s">
        <v>2961</v>
      </c>
    </row>
    <row r="142" spans="1:19">
      <c r="A142">
        <v>141</v>
      </c>
      <c r="B142" t="s">
        <v>458</v>
      </c>
      <c r="C142" t="str">
        <f>_xlfn.XLOOKUP(_xlfn.XLOOKUP(B142,Errors!A:A,Errors!B:B),Robots!C:C,Robots!D:D)</f>
        <v>LumionFix 024</v>
      </c>
      <c r="D142" t="str">
        <f>_xlfn.XLOOKUP($B142,Errors!$A:$A,Errors!D:D)</f>
        <v>28ece5d5-be78-4415-b6b9-d776e481c711</v>
      </c>
      <c r="E142" s="42" t="str">
        <f>_xlfn.XLOOKUP($B142,Errors!$A:$A,Errors!E:E)</f>
        <v>failed</v>
      </c>
      <c r="F142" t="str">
        <f>_xlfn.XLOOKUP($B142,Errors!$A:$A,Errors!K:K)</f>
        <v>Fatal</v>
      </c>
      <c r="G142" s="43">
        <f>_xlfn.XLOOKUP($B142,Errors!$A:$A,Errors!F:F)</f>
        <v>44833</v>
      </c>
      <c r="H142" s="44">
        <f>_xlfn.XLOOKUP($B142,Errors!$A:$A,Errors!H:H)</f>
        <v>0.90376157407407398</v>
      </c>
      <c r="I142">
        <f>_xlfn.XLOOKUP($D142,NimbusTreatments!B:B,NimbusTreatments!G:G)</f>
        <v>99</v>
      </c>
      <c r="J142">
        <f>_xlfn.XLOOKUP($D142,NimbusTreatments!$B:$B,NimbusTreatments!H:H)</f>
        <v>22</v>
      </c>
      <c r="K142" t="str">
        <f>_xlfn.XLOOKUP($B142,Errors!$A:$A,Errors!L:L)</f>
        <v>right_3093</v>
      </c>
      <c r="L142" s="45" t="str" cm="1">
        <f t="array" aca="1" ref="L142" ca="1">HYPERLINK("#" &amp; CELL("address", _xlfn.XLOOKUP($B142,Errors!$A:$A,Errors!M:M)))</f>
        <v>#[VRS_RobotData.xlsx]Errors!$M$161</v>
      </c>
      <c r="M142" t="str">
        <f>_xlfn.XLOOKUP($B142,Errors!$A:$A,Errors!O:O)</f>
        <v>0x1040001</v>
      </c>
      <c r="N142" t="str">
        <f>_xlfn.XLOOKUP($M142,'Error-codes'!$A:$A,'Error-codes'!B:B)</f>
        <v>vehicle diverged too far from trajectory</v>
      </c>
      <c r="O142" s="42">
        <f>_xlfn.XLOOKUP($B142,Errors!$A:$A,Errors!R:R)</f>
        <v>0</v>
      </c>
      <c r="P142" s="46" t="s">
        <v>3418</v>
      </c>
    </row>
    <row r="143" spans="1:19" ht="45.75" hidden="1">
      <c r="A143">
        <v>142</v>
      </c>
      <c r="B143" t="s">
        <v>461</v>
      </c>
      <c r="C143" t="str">
        <f>_xlfn.XLOOKUP(_xlfn.XLOOKUP(B143,Errors!A:A,Errors!B:B),Robots!C:C,Robots!D:D)</f>
        <v>LumionFix 029</v>
      </c>
      <c r="D143" t="str">
        <f>_xlfn.XLOOKUP($B143,Errors!$A:$A,Errors!D:D)</f>
        <v>2dd389e0-5b31-4a63-b744-542aa5bed70f</v>
      </c>
      <c r="E143" s="42" t="str">
        <f>_xlfn.XLOOKUP($B143,Errors!$A:$A,Errors!E:E)</f>
        <v>failed</v>
      </c>
      <c r="F143" t="str">
        <f>_xlfn.XLOOKUP($B143,Errors!$A:$A,Errors!K:K)</f>
        <v>Fatal</v>
      </c>
      <c r="G143" s="43">
        <f>_xlfn.XLOOKUP($B143,Errors!$A:$A,Errors!F:F)</f>
        <v>44835</v>
      </c>
      <c r="H143" s="44">
        <f>_xlfn.XLOOKUP($B143,Errors!$A:$A,Errors!H:H)</f>
        <v>0.8247916666666667</v>
      </c>
      <c r="I143">
        <f>_xlfn.XLOOKUP($D143,NimbusTreatments!B:B,NimbusTreatments!G:G)</f>
        <v>101</v>
      </c>
      <c r="J143">
        <f>_xlfn.XLOOKUP($D143,NimbusTreatments!$B:$B,NimbusTreatments!H:H)</f>
        <v>14</v>
      </c>
      <c r="K143" t="str">
        <f>_xlfn.XLOOKUP($B143,Errors!$A:$A,Errors!L:L)</f>
        <v>left_block28_lane7</v>
      </c>
      <c r="L143" s="45" t="str" cm="1">
        <f t="array" aca="1" ref="L143" ca="1">HYPERLINK("#" &amp; CELL("address", _xlfn.XLOOKUP($B143,Errors!$A:$A,Errors!M:M)))</f>
        <v>#[VRS_RobotData.xlsx]Errors!$M$162</v>
      </c>
      <c r="M143" t="str">
        <f>_xlfn.XLOOKUP($B143,Errors!$A:$A,Errors!O:O)</f>
        <v>0x1040001</v>
      </c>
      <c r="N143" t="str">
        <f>_xlfn.XLOOKUP($M143,'Error-codes'!$A:$A,'Error-codes'!B:B)</f>
        <v>vehicle diverged too far from trajectory</v>
      </c>
      <c r="O143" s="42">
        <f>_xlfn.XLOOKUP($B143,Errors!$A:$A,Errors!R:R)</f>
        <v>0</v>
      </c>
      <c r="P143" s="46" t="s">
        <v>3419</v>
      </c>
    </row>
    <row r="144" spans="1:19" ht="45.75" hidden="1">
      <c r="A144">
        <v>143</v>
      </c>
      <c r="B144" t="s">
        <v>464</v>
      </c>
      <c r="C144" t="str">
        <f>_xlfn.XLOOKUP(_xlfn.XLOOKUP(B144,Errors!A:A,Errors!B:B),Robots!C:C,Robots!D:D)</f>
        <v>LumionFix 023</v>
      </c>
      <c r="D144" t="str">
        <f>_xlfn.XLOOKUP($B144,Errors!$A:$A,Errors!D:D)</f>
        <v>b9fd17a6-7c88-47df-9d6c-9eb78b27a6c5</v>
      </c>
      <c r="E144" s="42" t="str">
        <f>_xlfn.XLOOKUP($B144,Errors!$A:$A,Errors!E:E)</f>
        <v>failed</v>
      </c>
      <c r="F144" t="str">
        <f>_xlfn.XLOOKUP($B144,Errors!$A:$A,Errors!K:K)</f>
        <v>Fatal</v>
      </c>
      <c r="G144" s="43">
        <f>_xlfn.XLOOKUP($B144,Errors!$A:$A,Errors!F:F)</f>
        <v>44836</v>
      </c>
      <c r="H144" s="44">
        <f>_xlfn.XLOOKUP($B144,Errors!$A:$A,Errors!H:H)</f>
        <v>2.478009259259259E-2</v>
      </c>
      <c r="I144">
        <f>_xlfn.XLOOKUP($D144,NimbusTreatments!B:B,NimbusTreatments!G:G)</f>
        <v>138</v>
      </c>
      <c r="J144">
        <f>_xlfn.XLOOKUP($D144,NimbusTreatments!$B:$B,NimbusTreatments!H:H)</f>
        <v>119</v>
      </c>
      <c r="K144" t="str">
        <f>_xlfn.XLOOKUP($B144,Errors!$A:$A,Errors!L:L)</f>
        <v>left_lane3450</v>
      </c>
      <c r="L144" s="45" t="str" cm="1">
        <f t="array" aca="1" ref="L144" ca="1">HYPERLINK("#" &amp; CELL("address", _xlfn.XLOOKUP($B144,Errors!$A:$A,Errors!M:M)))</f>
        <v>#[VRS_RobotData.xlsx]Errors!$M$163</v>
      </c>
      <c r="M144" t="str">
        <f>_xlfn.XLOOKUP($B144,Errors!$A:$A,Errors!O:O)</f>
        <v>0x1040103</v>
      </c>
      <c r="N144" t="str">
        <f>_xlfn.XLOOKUP($M144,'Error-codes'!$A:$A,'Error-codes'!B:B)</f>
        <v>end of lane wall sensor error</v>
      </c>
      <c r="O144" s="42">
        <f>_xlfn.XLOOKUP($B144,Errors!$A:$A,Errors!R:R)</f>
        <v>0</v>
      </c>
      <c r="P144" s="46" t="s">
        <v>3417</v>
      </c>
    </row>
  </sheetData>
  <autoFilter ref="A1:S144" xr:uid="{82022CB5-AA7E-494F-AFF8-1C867C3FB0F0}">
    <filterColumn colId="2">
      <filters>
        <filter val="LumionFix 024"/>
      </filters>
    </filterColumn>
    <sortState xmlns:xlrd2="http://schemas.microsoft.com/office/spreadsheetml/2017/richdata2" ref="A2:S144">
      <sortCondition ref="C1:C144"/>
    </sortState>
  </autoFilter>
  <hyperlinks>
    <hyperlink ref="Q95" r:id="rId1" xr:uid="{E32944FB-5CF7-40B9-BB10-7A1F017518BA}"/>
    <hyperlink ref="Q92" r:id="rId2" xr:uid="{9F9947A7-E7BE-4625-A534-396C60E00168}"/>
    <hyperlink ref="Q90" r:id="rId3" xr:uid="{DD49A505-7276-4D30-A2DB-D650BF782EA9}"/>
    <hyperlink ref="Q111" r:id="rId4" xr:uid="{24D6C6CB-8B81-4E7B-8814-5D83711FC6AA}"/>
    <hyperlink ref="Q106" r:id="rId5" xr:uid="{139A6B6F-E240-4B7C-9CFF-DACFC86A5EA7}"/>
    <hyperlink ref="Q131" r:id="rId6" display="20220922" xr:uid="{92FCCAFA-3974-49B1-873F-8ADAD00A2DC1}"/>
    <hyperlink ref="Q130" r:id="rId7" display="20220922" xr:uid="{AD927710-DC7A-462D-97AB-6FD49307EEFD}"/>
    <hyperlink ref="Q129" r:id="rId8" display="20220922" xr:uid="{875223AC-6B0B-40B5-8C13-A07CC218D041}"/>
    <hyperlink ref="Q96" r:id="rId9" display="20220922" xr:uid="{3898996C-87CD-42A8-9F2C-602DC467D21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E3583-B62A-4505-9665-9A44C94431E6}">
  <dimension ref="A1:C30"/>
  <sheetViews>
    <sheetView workbookViewId="0">
      <selection activeCell="B18" sqref="B18"/>
    </sheetView>
  </sheetViews>
  <sheetFormatPr defaultRowHeight="15"/>
  <cols>
    <col min="1" max="1" width="21.85546875" customWidth="1"/>
    <col min="2" max="2" width="58.28515625" customWidth="1"/>
    <col min="3" max="3" width="13" bestFit="1" customWidth="1"/>
  </cols>
  <sheetData>
    <row r="1" spans="1:3">
      <c r="A1" s="39" t="s">
        <v>3420</v>
      </c>
      <c r="B1" s="39" t="s">
        <v>3421</v>
      </c>
      <c r="C1" s="39" t="s">
        <v>3422</v>
      </c>
    </row>
    <row r="2" spans="1:3">
      <c r="B2" t="s">
        <v>3423</v>
      </c>
      <c r="C2" t="s">
        <v>3424</v>
      </c>
    </row>
    <row r="3" spans="1:3">
      <c r="A3" t="s">
        <v>374</v>
      </c>
      <c r="B3" t="s">
        <v>3425</v>
      </c>
      <c r="C3" t="s">
        <v>3426</v>
      </c>
    </row>
    <row r="4" spans="1:3">
      <c r="A4" s="56" t="s">
        <v>370</v>
      </c>
      <c r="B4" t="s">
        <v>3427</v>
      </c>
      <c r="C4" s="56" t="s">
        <v>3428</v>
      </c>
    </row>
    <row r="5" spans="1:3">
      <c r="A5" t="s">
        <v>167</v>
      </c>
      <c r="B5" t="s">
        <v>3429</v>
      </c>
      <c r="C5" t="s">
        <v>3430</v>
      </c>
    </row>
    <row r="6" spans="1:3">
      <c r="B6" t="s">
        <v>3431</v>
      </c>
      <c r="C6" t="s">
        <v>3432</v>
      </c>
    </row>
    <row r="7" spans="1:3">
      <c r="B7" t="s">
        <v>3433</v>
      </c>
      <c r="C7" s="56" t="s">
        <v>3434</v>
      </c>
    </row>
    <row r="8" spans="1:3">
      <c r="B8" t="s">
        <v>3435</v>
      </c>
      <c r="C8" s="56" t="s">
        <v>3436</v>
      </c>
    </row>
    <row r="9" spans="1:3">
      <c r="B9" t="s">
        <v>3437</v>
      </c>
      <c r="C9" t="s">
        <v>3438</v>
      </c>
    </row>
    <row r="10" spans="1:3">
      <c r="B10" t="s">
        <v>3439</v>
      </c>
      <c r="C10" s="56" t="s">
        <v>3440</v>
      </c>
    </row>
    <row r="11" spans="1:3">
      <c r="A11" t="s">
        <v>91</v>
      </c>
      <c r="B11" t="s">
        <v>3441</v>
      </c>
      <c r="C11" t="s">
        <v>3442</v>
      </c>
    </row>
    <row r="12" spans="1:3">
      <c r="B12" t="s">
        <v>3443</v>
      </c>
      <c r="C12" t="s">
        <v>3444</v>
      </c>
    </row>
    <row r="13" spans="1:3">
      <c r="A13" t="s">
        <v>30</v>
      </c>
      <c r="B13" t="s">
        <v>2934</v>
      </c>
      <c r="C13" t="s">
        <v>2933</v>
      </c>
    </row>
    <row r="14" spans="1:3">
      <c r="A14" t="s">
        <v>61</v>
      </c>
      <c r="B14" t="s">
        <v>3445</v>
      </c>
      <c r="C14" t="s">
        <v>3446</v>
      </c>
    </row>
    <row r="15" spans="1:3">
      <c r="A15" t="s">
        <v>107</v>
      </c>
      <c r="B15" t="s">
        <v>3447</v>
      </c>
      <c r="C15" t="s">
        <v>3448</v>
      </c>
    </row>
    <row r="16" spans="1:3">
      <c r="A16" t="s">
        <v>25</v>
      </c>
      <c r="B16" t="s">
        <v>3449</v>
      </c>
      <c r="C16" t="s">
        <v>3450</v>
      </c>
    </row>
    <row r="17" spans="1:3">
      <c r="B17" t="s">
        <v>3451</v>
      </c>
      <c r="C17" t="s">
        <v>3452</v>
      </c>
    </row>
    <row r="18" spans="1:3">
      <c r="B18" t="s">
        <v>3453</v>
      </c>
      <c r="C18" t="s">
        <v>3454</v>
      </c>
    </row>
    <row r="19" spans="1:3">
      <c r="A19" t="s">
        <v>439</v>
      </c>
      <c r="B19" t="s">
        <v>3455</v>
      </c>
      <c r="C19" t="s">
        <v>3456</v>
      </c>
    </row>
    <row r="20" spans="1:3">
      <c r="A20" t="s">
        <v>80</v>
      </c>
      <c r="B20" t="s">
        <v>3457</v>
      </c>
      <c r="C20" t="s">
        <v>3458</v>
      </c>
    </row>
    <row r="21" spans="1:3">
      <c r="A21" t="s">
        <v>123</v>
      </c>
      <c r="B21" t="s">
        <v>3459</v>
      </c>
      <c r="C21" t="s">
        <v>3460</v>
      </c>
    </row>
    <row r="22" spans="1:3">
      <c r="A22" t="s">
        <v>177</v>
      </c>
      <c r="B22" t="s">
        <v>3461</v>
      </c>
      <c r="C22" t="s">
        <v>3462</v>
      </c>
    </row>
    <row r="23" spans="1:3">
      <c r="B23" t="s">
        <v>3463</v>
      </c>
      <c r="C23" t="s">
        <v>3464</v>
      </c>
    </row>
    <row r="24" spans="1:3">
      <c r="A24" t="s">
        <v>192</v>
      </c>
      <c r="B24" t="s">
        <v>3465</v>
      </c>
      <c r="C24" t="s">
        <v>3466</v>
      </c>
    </row>
    <row r="25" spans="1:3">
      <c r="B25" t="s">
        <v>3467</v>
      </c>
      <c r="C25" s="56" t="s">
        <v>3468</v>
      </c>
    </row>
    <row r="26" spans="1:3">
      <c r="A26" t="s">
        <v>39</v>
      </c>
      <c r="B26" t="s">
        <v>3469</v>
      </c>
      <c r="C26" t="s">
        <v>3470</v>
      </c>
    </row>
    <row r="27" spans="1:3">
      <c r="B27" t="s">
        <v>3471</v>
      </c>
      <c r="C27" s="56" t="s">
        <v>3472</v>
      </c>
    </row>
    <row r="28" spans="1:3">
      <c r="B28" t="s">
        <v>3473</v>
      </c>
      <c r="C28" s="56" t="s">
        <v>3474</v>
      </c>
    </row>
    <row r="29" spans="1:3">
      <c r="B29" t="s">
        <v>3475</v>
      </c>
      <c r="C29" s="56" t="s">
        <v>3476</v>
      </c>
    </row>
    <row r="30" spans="1:3">
      <c r="A30" s="56" t="s">
        <v>654</v>
      </c>
      <c r="B30" t="s">
        <v>3477</v>
      </c>
      <c r="C30" s="56" t="s">
        <v>3478</v>
      </c>
    </row>
  </sheetData>
  <autoFilter ref="A1:C1" xr:uid="{A72E3583-B62A-4505-9665-9A44C94431E6}">
    <sortState xmlns:xlrd2="http://schemas.microsoft.com/office/spreadsheetml/2017/richdata2" ref="A2:C30">
      <sortCondition ref="C1"/>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CE96E-7E77-449F-819D-FA375E334D3F}">
  <dimension ref="A1:C9"/>
  <sheetViews>
    <sheetView workbookViewId="0">
      <selection activeCell="A24" sqref="A24"/>
    </sheetView>
  </sheetViews>
  <sheetFormatPr defaultRowHeight="15"/>
  <cols>
    <col min="1" max="1" width="57.42578125" bestFit="1" customWidth="1"/>
    <col min="2" max="2" width="18.42578125" bestFit="1" customWidth="1"/>
    <col min="3" max="3" width="24.7109375" bestFit="1" customWidth="1"/>
  </cols>
  <sheetData>
    <row r="1" spans="1:3">
      <c r="A1" s="80" t="s">
        <v>2911</v>
      </c>
      <c r="B1" t="s">
        <v>3479</v>
      </c>
    </row>
    <row r="2" spans="1:3">
      <c r="A2" s="80" t="s">
        <v>2914</v>
      </c>
      <c r="B2" t="s">
        <v>3480</v>
      </c>
    </row>
    <row r="4" spans="1:3">
      <c r="A4" s="80" t="s">
        <v>2924</v>
      </c>
      <c r="B4" s="80" t="s">
        <v>3481</v>
      </c>
      <c r="C4" t="s">
        <v>3482</v>
      </c>
    </row>
    <row r="5" spans="1:3">
      <c r="A5" t="s">
        <v>3445</v>
      </c>
      <c r="C5">
        <v>1</v>
      </c>
    </row>
    <row r="6" spans="1:3">
      <c r="A6" t="s">
        <v>3461</v>
      </c>
      <c r="C6">
        <v>1</v>
      </c>
    </row>
    <row r="7" spans="1:3">
      <c r="A7" t="s">
        <v>3469</v>
      </c>
      <c r="C7">
        <v>1</v>
      </c>
    </row>
    <row r="8" spans="1:3">
      <c r="A8" t="s">
        <v>3465</v>
      </c>
      <c r="C8">
        <v>3</v>
      </c>
    </row>
    <row r="9" spans="1:3">
      <c r="A9" t="s">
        <v>3483</v>
      </c>
      <c r="C9">
        <v>6</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55684-439B-4369-935E-514D617885DE}">
  <sheetPr>
    <tabColor rgb="FF00B050"/>
  </sheetPr>
  <dimension ref="A1:V2316"/>
  <sheetViews>
    <sheetView tabSelected="1" workbookViewId="0">
      <pane ySplit="1" topLeftCell="A700" activePane="bottomLeft" state="frozen"/>
      <selection pane="bottomLeft" activeCell="B1" sqref="B1"/>
    </sheetView>
  </sheetViews>
  <sheetFormatPr defaultRowHeight="15"/>
  <cols>
    <col min="1" max="1" width="39.42578125" bestFit="1" customWidth="1"/>
    <col min="2" max="2" width="14.28515625" bestFit="1" customWidth="1"/>
    <col min="3" max="3" width="37.5703125" bestFit="1" customWidth="1"/>
    <col min="4" max="4" width="9.7109375" bestFit="1" customWidth="1"/>
    <col min="5" max="5" width="74" customWidth="1"/>
    <col min="6" max="6" width="32.140625" bestFit="1" customWidth="1"/>
    <col min="7" max="7" width="13.7109375" customWidth="1"/>
    <col min="8" max="8" width="14" customWidth="1"/>
    <col min="9" max="9" width="13.28515625" bestFit="1" customWidth="1"/>
    <col min="10" max="10" width="28.7109375" bestFit="1" customWidth="1"/>
    <col min="11" max="11" width="18.42578125" bestFit="1" customWidth="1"/>
    <col min="13" max="13" width="5.85546875" customWidth="1"/>
    <col min="14" max="14" width="12.5703125" bestFit="1" customWidth="1"/>
    <col min="15" max="15" width="58" bestFit="1" customWidth="1"/>
    <col min="16" max="16" width="28.28515625" customWidth="1"/>
    <col min="17" max="17" width="22.42578125" customWidth="1"/>
    <col min="18" max="18" width="36.85546875" customWidth="1"/>
    <col min="19" max="19" width="173.85546875" bestFit="1" customWidth="1"/>
    <col min="20" max="20" width="34.85546875" customWidth="1"/>
    <col min="21" max="21" width="10.42578125" bestFit="1" customWidth="1"/>
    <col min="22" max="22" width="23.5703125" customWidth="1"/>
  </cols>
  <sheetData>
    <row r="1" spans="1:22">
      <c r="A1" s="57" t="s">
        <v>0</v>
      </c>
      <c r="B1" s="57" t="s">
        <v>2911</v>
      </c>
      <c r="C1" s="57" t="s">
        <v>2912</v>
      </c>
      <c r="D1" s="57" t="s">
        <v>2913</v>
      </c>
      <c r="E1" s="57" t="s">
        <v>2914</v>
      </c>
      <c r="F1" s="57" t="s">
        <v>2915</v>
      </c>
      <c r="G1" s="57" t="s">
        <v>2917</v>
      </c>
      <c r="H1" s="57" t="s">
        <v>388</v>
      </c>
      <c r="I1" s="57" t="s">
        <v>2918</v>
      </c>
      <c r="J1" s="57" t="s">
        <v>2919</v>
      </c>
      <c r="K1" s="57" t="s">
        <v>2920</v>
      </c>
      <c r="L1" s="57" t="s">
        <v>2921</v>
      </c>
      <c r="M1" s="57" t="s">
        <v>2922</v>
      </c>
      <c r="N1" s="57" t="s">
        <v>2923</v>
      </c>
      <c r="O1" s="57" t="s">
        <v>2924</v>
      </c>
      <c r="P1" s="39" t="s">
        <v>2925</v>
      </c>
      <c r="Q1" s="39" t="s">
        <v>2926</v>
      </c>
      <c r="R1" s="39" t="s">
        <v>2927</v>
      </c>
      <c r="S1" s="40" t="s">
        <v>2928</v>
      </c>
      <c r="T1" s="39" t="s">
        <v>2929</v>
      </c>
      <c r="U1" s="39" t="s">
        <v>3481</v>
      </c>
      <c r="V1" s="39" t="s">
        <v>3484</v>
      </c>
    </row>
    <row r="2" spans="1:22" hidden="1">
      <c r="A2" s="56" t="s">
        <v>312</v>
      </c>
      <c r="B2" s="56" t="s">
        <v>29</v>
      </c>
      <c r="C2" s="56" t="s">
        <v>313</v>
      </c>
      <c r="D2" s="56" t="s">
        <v>37</v>
      </c>
      <c r="E2" s="56" t="s">
        <v>2939</v>
      </c>
      <c r="F2" s="56" t="s">
        <v>3485</v>
      </c>
      <c r="G2" s="56">
        <v>103</v>
      </c>
      <c r="H2" s="56">
        <v>0</v>
      </c>
      <c r="I2" s="58">
        <v>0</v>
      </c>
      <c r="J2" s="56" t="s">
        <v>316</v>
      </c>
      <c r="K2" s="56" t="s">
        <v>1893</v>
      </c>
      <c r="L2" s="56" t="s">
        <v>2942</v>
      </c>
      <c r="M2" s="56" t="str">
        <f>HYPERLINK("https://dribble.octin.io/?mode=Single+log&amp;log_id=e938471f-4e54-4525-8215-216faab21e23","URL")</f>
        <v>URL</v>
      </c>
      <c r="N2" s="56" t="s">
        <v>3466</v>
      </c>
      <c r="O2" t="str">
        <f>_xlfn.XLOOKUP(N2,'Error-codes'!$C$2:$C$130,'Error-codes'!$B$2:$B$130, "None")</f>
        <v>vision error</v>
      </c>
      <c r="P2" s="46">
        <f>_xlfn.XLOOKUP($A2,support_3rdline!$B$2:$B$150,support_3rdline!P$2:P$150,"")</f>
        <v>0</v>
      </c>
      <c r="Q2" s="46">
        <f>_xlfn.XLOOKUP($A2,support_3rdline!$B$2:$B$150,support_3rdline!Q$2:Q$150,"")</f>
        <v>0</v>
      </c>
      <c r="R2" s="46"/>
      <c r="S2" s="46">
        <f>_xlfn.XLOOKUP($A2,support_3rdline!$B$2:$B$150,support_3rdline!R$2:R$150,"")</f>
        <v>0</v>
      </c>
      <c r="T2" s="46">
        <f>_xlfn.XLOOKUP($A2,support_3rdline!$B$2:$B$150,support_3rdline!S$2:S$150,"")</f>
        <v>0</v>
      </c>
      <c r="U2" s="81">
        <f>DATEVALUE(LEFT(F2,10))</f>
        <v>44816</v>
      </c>
      <c r="V2" s="46">
        <f>_xlfn.XLOOKUP($A2,support_3rdline!$B$2:$B$150,support_3rdline!T$2:T$150,"")</f>
        <v>0</v>
      </c>
    </row>
    <row r="3" spans="1:22" hidden="1">
      <c r="A3" s="56" t="s">
        <v>315</v>
      </c>
      <c r="B3" s="56" t="s">
        <v>29</v>
      </c>
      <c r="C3" s="56" t="s">
        <v>313</v>
      </c>
      <c r="D3" s="56" t="s">
        <v>37</v>
      </c>
      <c r="E3" s="56" t="s">
        <v>2988</v>
      </c>
      <c r="F3" s="56" t="s">
        <v>3486</v>
      </c>
      <c r="G3" s="56">
        <v>103</v>
      </c>
      <c r="H3" s="56">
        <v>1</v>
      </c>
      <c r="I3" s="58">
        <v>9.7087378640776691E-3</v>
      </c>
      <c r="J3" s="56" t="s">
        <v>316</v>
      </c>
      <c r="K3" s="56" t="s">
        <v>1893</v>
      </c>
      <c r="L3" s="56" t="s">
        <v>2942</v>
      </c>
      <c r="M3" s="56" t="str">
        <f>HYPERLINK("https://dribble.octin.io/?mode=Single+log&amp;log_id=e5643f33-3afb-4f6d-b3c3-cf409cf2c421","URL")</f>
        <v>URL</v>
      </c>
      <c r="N3" s="56" t="s">
        <v>3466</v>
      </c>
      <c r="O3" t="str">
        <f>_xlfn.XLOOKUP(N3,'Error-codes'!$C$2:$C$130,'Error-codes'!$B$2:$B$130, "None")</f>
        <v>vision error</v>
      </c>
      <c r="P3" s="46">
        <f>_xlfn.XLOOKUP($A3,support_3rdline!$B$2:$B$150,support_3rdline!P$2:P$150,"")</f>
        <v>0</v>
      </c>
      <c r="Q3" s="46">
        <f>_xlfn.XLOOKUP($A3,support_3rdline!$B$2:$B$150,support_3rdline!Q$2:Q$150,"")</f>
        <v>0</v>
      </c>
      <c r="R3" s="46"/>
      <c r="S3" s="46">
        <f>_xlfn.XLOOKUP($A3,support_3rdline!$B$2:$B$150,support_3rdline!R$2:R$150,"")</f>
        <v>0</v>
      </c>
      <c r="T3" s="46">
        <f>_xlfn.XLOOKUP($A3,support_3rdline!$B$2:$B$150,support_3rdline!S$2:S$150,"")</f>
        <v>0</v>
      </c>
      <c r="U3" s="81">
        <f>DATEVALUE(LEFT(F3,10))</f>
        <v>44816</v>
      </c>
      <c r="V3" s="46">
        <f>_xlfn.XLOOKUP($A3,support_3rdline!$B$2:$B$150,support_3rdline!T$2:T$150,"")</f>
        <v>0</v>
      </c>
    </row>
    <row r="4" spans="1:22" hidden="1">
      <c r="A4" s="56" t="s">
        <v>317</v>
      </c>
      <c r="B4" s="56" t="s">
        <v>29</v>
      </c>
      <c r="C4" s="56" t="s">
        <v>318</v>
      </c>
      <c r="D4" s="56" t="s">
        <v>37</v>
      </c>
      <c r="E4" s="56" t="s">
        <v>2988</v>
      </c>
      <c r="F4" s="56" t="s">
        <v>3487</v>
      </c>
      <c r="G4" s="56">
        <v>102</v>
      </c>
      <c r="H4" s="56">
        <v>0</v>
      </c>
      <c r="I4" s="58">
        <v>0</v>
      </c>
      <c r="J4" s="56" t="s">
        <v>316</v>
      </c>
      <c r="K4" s="56" t="s">
        <v>1893</v>
      </c>
      <c r="L4" s="56" t="s">
        <v>2942</v>
      </c>
      <c r="M4" s="56" t="str">
        <f>HYPERLINK("https://dribble.octin.io/?mode=Single+log&amp;log_id=7a141440-7718-4a5b-aa74-7361c339681e","URL")</f>
        <v>URL</v>
      </c>
      <c r="N4" s="56" t="s">
        <v>3466</v>
      </c>
      <c r="O4" t="str">
        <f>_xlfn.XLOOKUP(N4,'Error-codes'!$C$2:$C$130,'Error-codes'!$B$2:$B$130, "None")</f>
        <v>vision error</v>
      </c>
      <c r="P4" s="46">
        <f>_xlfn.XLOOKUP($A4,support_3rdline!$B$2:$B$150,support_3rdline!P$2:P$150,"")</f>
        <v>0</v>
      </c>
      <c r="Q4" s="46">
        <f>_xlfn.XLOOKUP($A4,support_3rdline!$B$2:$B$150,support_3rdline!Q$2:Q$150,"")</f>
        <v>0</v>
      </c>
      <c r="R4" s="46"/>
      <c r="S4" s="46">
        <f>_xlfn.XLOOKUP($A4,support_3rdline!$B$2:$B$150,support_3rdline!R$2:R$150,"")</f>
        <v>0</v>
      </c>
      <c r="T4" s="46">
        <f>_xlfn.XLOOKUP($A4,support_3rdline!$B$2:$B$150,support_3rdline!S$2:S$150,"")</f>
        <v>0</v>
      </c>
      <c r="U4" s="81">
        <f>DATEVALUE(LEFT(F4,10))</f>
        <v>44816</v>
      </c>
      <c r="V4" s="46">
        <f>_xlfn.XLOOKUP($A4,support_3rdline!$B$2:$B$150,support_3rdline!T$2:T$150,"")</f>
        <v>0</v>
      </c>
    </row>
    <row r="5" spans="1:22" hidden="1">
      <c r="A5" s="56" t="s">
        <v>319</v>
      </c>
      <c r="B5" s="56" t="s">
        <v>29</v>
      </c>
      <c r="C5" s="56" t="s">
        <v>320</v>
      </c>
      <c r="D5" s="56" t="s">
        <v>37</v>
      </c>
      <c r="E5" s="56" t="s">
        <v>2939</v>
      </c>
      <c r="F5" s="56" t="s">
        <v>3488</v>
      </c>
      <c r="G5" s="56">
        <v>103</v>
      </c>
      <c r="H5" s="56">
        <v>0</v>
      </c>
      <c r="I5" s="58">
        <v>0</v>
      </c>
      <c r="J5" s="56" t="s">
        <v>316</v>
      </c>
      <c r="K5" s="56" t="s">
        <v>1893</v>
      </c>
      <c r="L5" s="56" t="s">
        <v>2942</v>
      </c>
      <c r="M5" s="56" t="str">
        <f>HYPERLINK("https://dribble.octin.io/?mode=Single+log&amp;log_id=9fc27f53-f123-4285-83b7-99d1146f1ecf","URL")</f>
        <v>URL</v>
      </c>
      <c r="N5" s="56" t="s">
        <v>3466</v>
      </c>
      <c r="O5" t="str">
        <f>_xlfn.XLOOKUP(N5,'Error-codes'!$C$2:$C$130,'Error-codes'!$B$2:$B$130, "None")</f>
        <v>vision error</v>
      </c>
      <c r="P5" s="46">
        <f>_xlfn.XLOOKUP($A5,support_3rdline!$B$2:$B$150,support_3rdline!P$2:P$150,"")</f>
        <v>0</v>
      </c>
      <c r="Q5" s="46">
        <f>_xlfn.XLOOKUP($A5,support_3rdline!$B$2:$B$150,support_3rdline!Q$2:Q$150,"")</f>
        <v>0</v>
      </c>
      <c r="R5" s="46"/>
      <c r="S5" s="46">
        <f>_xlfn.XLOOKUP($A5,support_3rdline!$B$2:$B$150,support_3rdline!R$2:R$150,"")</f>
        <v>0</v>
      </c>
      <c r="T5" s="46">
        <f>_xlfn.XLOOKUP($A5,support_3rdline!$B$2:$B$150,support_3rdline!S$2:S$150,"")</f>
        <v>0</v>
      </c>
      <c r="U5" s="81">
        <f>DATEVALUE(LEFT(F5,10))</f>
        <v>44816</v>
      </c>
      <c r="V5" s="46">
        <f>_xlfn.XLOOKUP($A5,support_3rdline!$B$2:$B$150,support_3rdline!T$2:T$150,"")</f>
        <v>0</v>
      </c>
    </row>
    <row r="6" spans="1:22" hidden="1">
      <c r="A6" s="56" t="s">
        <v>321</v>
      </c>
      <c r="B6" s="56" t="s">
        <v>29</v>
      </c>
      <c r="C6" s="56" t="s">
        <v>320</v>
      </c>
      <c r="D6" s="56" t="s">
        <v>37</v>
      </c>
      <c r="E6" s="56" t="s">
        <v>2988</v>
      </c>
      <c r="F6" s="56" t="s">
        <v>3489</v>
      </c>
      <c r="G6" s="56">
        <v>103</v>
      </c>
      <c r="H6" s="56">
        <v>1</v>
      </c>
      <c r="I6" s="58">
        <v>9.7087378640776691E-3</v>
      </c>
      <c r="J6" s="56" t="s">
        <v>316</v>
      </c>
      <c r="K6" s="56" t="s">
        <v>1893</v>
      </c>
      <c r="L6" s="56" t="s">
        <v>2942</v>
      </c>
      <c r="M6" s="56" t="str">
        <f>HYPERLINK("https://dribble.octin.io/?mode=Single+log&amp;log_id=6a41364e-0c62-494b-9f30-3c212eb91104","URL")</f>
        <v>URL</v>
      </c>
      <c r="N6" s="56" t="s">
        <v>3466</v>
      </c>
      <c r="O6" t="str">
        <f>_xlfn.XLOOKUP(N6,'Error-codes'!$C$2:$C$130,'Error-codes'!$B$2:$B$130, "None")</f>
        <v>vision error</v>
      </c>
      <c r="P6" s="46">
        <f>_xlfn.XLOOKUP($A6,support_3rdline!$B$2:$B$150,support_3rdline!P$2:P$150,"")</f>
        <v>0</v>
      </c>
      <c r="Q6" s="46">
        <f>_xlfn.XLOOKUP($A6,support_3rdline!$B$2:$B$150,support_3rdline!Q$2:Q$150,"")</f>
        <v>0</v>
      </c>
      <c r="R6" s="46"/>
      <c r="S6" s="46">
        <f>_xlfn.XLOOKUP($A6,support_3rdline!$B$2:$B$150,support_3rdline!R$2:R$150,"")</f>
        <v>0</v>
      </c>
      <c r="T6" s="46">
        <f>_xlfn.XLOOKUP($A6,support_3rdline!$B$2:$B$150,support_3rdline!S$2:S$150,"")</f>
        <v>0</v>
      </c>
      <c r="U6" s="81">
        <f>DATEVALUE(LEFT(F6,10))</f>
        <v>44816</v>
      </c>
      <c r="V6" s="46">
        <f>_xlfn.XLOOKUP($A6,support_3rdline!$B$2:$B$150,support_3rdline!T$2:T$150,"")</f>
        <v>0</v>
      </c>
    </row>
    <row r="7" spans="1:22" hidden="1">
      <c r="A7" s="56"/>
      <c r="B7" s="56" t="s">
        <v>29</v>
      </c>
      <c r="C7" s="56" t="s">
        <v>2515</v>
      </c>
      <c r="D7" s="56" t="s">
        <v>37</v>
      </c>
      <c r="E7" s="56" t="s">
        <v>2988</v>
      </c>
      <c r="F7" s="56" t="s">
        <v>2518</v>
      </c>
      <c r="G7" s="56">
        <v>103</v>
      </c>
      <c r="H7" s="56">
        <v>0</v>
      </c>
      <c r="I7" s="58">
        <v>0</v>
      </c>
      <c r="J7" s="56" t="s">
        <v>2519</v>
      </c>
      <c r="K7" s="56" t="s">
        <v>1893</v>
      </c>
      <c r="L7" s="56" t="s">
        <v>2942</v>
      </c>
      <c r="N7" s="56" t="s">
        <v>3466</v>
      </c>
      <c r="O7" t="str">
        <f>_xlfn.XLOOKUP(N7,'Error-codes'!$C$2:$C$130,'Error-codes'!$B$2:$B$130, "None")</f>
        <v>vision error</v>
      </c>
      <c r="P7" s="46">
        <f>_xlfn.XLOOKUP($A7,support_3rdline!$B$2:$B$150,support_3rdline!P$2:P$150,"")</f>
        <v>0</v>
      </c>
      <c r="Q7" s="46">
        <f>_xlfn.XLOOKUP($A7,support_3rdline!$B$2:$B$150,support_3rdline!Q$2:Q$150,"")</f>
        <v>0</v>
      </c>
      <c r="R7" s="46"/>
      <c r="S7" s="46">
        <f>_xlfn.XLOOKUP($A7,support_3rdline!$B$2:$B$150,support_3rdline!R$2:R$150,"")</f>
        <v>0</v>
      </c>
      <c r="T7" s="46">
        <f>_xlfn.XLOOKUP($A7,support_3rdline!$B$2:$B$150,support_3rdline!S$2:S$150,"")</f>
        <v>0</v>
      </c>
      <c r="U7" s="81">
        <f>DATEVALUE(LEFT(F7,10))</f>
        <v>44816</v>
      </c>
      <c r="V7" s="46">
        <f>_xlfn.XLOOKUP($A7,support_3rdline!$B$2:$B$150,support_3rdline!T$2:T$150,"")</f>
        <v>0</v>
      </c>
    </row>
    <row r="8" spans="1:22" hidden="1">
      <c r="A8" s="56" t="s">
        <v>324</v>
      </c>
      <c r="B8" s="56" t="s">
        <v>29</v>
      </c>
      <c r="C8" s="56" t="s">
        <v>323</v>
      </c>
      <c r="D8" s="56" t="s">
        <v>37</v>
      </c>
      <c r="E8" s="56" t="s">
        <v>2939</v>
      </c>
      <c r="F8" s="56" t="s">
        <v>3490</v>
      </c>
      <c r="G8" s="56">
        <v>104</v>
      </c>
      <c r="H8" s="56">
        <v>1</v>
      </c>
      <c r="I8" s="58">
        <v>9.6153846153846159E-3</v>
      </c>
      <c r="J8" s="56" t="s">
        <v>316</v>
      </c>
      <c r="K8" s="56" t="s">
        <v>1893</v>
      </c>
      <c r="L8" s="56" t="s">
        <v>2942</v>
      </c>
      <c r="M8" s="56" t="str">
        <f>HYPERLINK("https://dribble.octin.io/?mode=Single+log&amp;log_id=1bddb9ed-ed43-4150-818e-51c01a4a25ea","URL")</f>
        <v>URL</v>
      </c>
      <c r="N8" s="56" t="s">
        <v>3466</v>
      </c>
      <c r="O8" t="str">
        <f>_xlfn.XLOOKUP(N8,'Error-codes'!$C$2:$C$130,'Error-codes'!$B$2:$B$130, "None")</f>
        <v>vision error</v>
      </c>
      <c r="P8" s="46">
        <f>_xlfn.XLOOKUP($A8,support_3rdline!$B$2:$B$150,support_3rdline!P$2:P$150,"")</f>
        <v>0</v>
      </c>
      <c r="Q8" s="46">
        <f>_xlfn.XLOOKUP($A8,support_3rdline!$B$2:$B$150,support_3rdline!Q$2:Q$150,"")</f>
        <v>0</v>
      </c>
      <c r="R8" s="46"/>
      <c r="S8" s="46">
        <f>_xlfn.XLOOKUP($A8,support_3rdline!$B$2:$B$150,support_3rdline!R$2:R$150,"")</f>
        <v>0</v>
      </c>
      <c r="T8" s="46">
        <f>_xlfn.XLOOKUP($A8,support_3rdline!$B$2:$B$150,support_3rdline!S$2:S$150,"")</f>
        <v>0</v>
      </c>
      <c r="U8" s="81">
        <f>DATEVALUE(LEFT(F8,10))</f>
        <v>44816</v>
      </c>
      <c r="V8" s="46">
        <f>_xlfn.XLOOKUP($A8,support_3rdline!$B$2:$B$150,support_3rdline!T$2:T$150,"")</f>
        <v>0</v>
      </c>
    </row>
    <row r="9" spans="1:22" hidden="1">
      <c r="A9" s="56" t="s">
        <v>325</v>
      </c>
      <c r="B9" s="56" t="s">
        <v>29</v>
      </c>
      <c r="C9" s="56" t="s">
        <v>323</v>
      </c>
      <c r="D9" s="56" t="s">
        <v>37</v>
      </c>
      <c r="E9" s="56" t="s">
        <v>2988</v>
      </c>
      <c r="F9" s="56" t="s">
        <v>3491</v>
      </c>
      <c r="G9" s="56">
        <v>104</v>
      </c>
      <c r="H9" s="56">
        <v>2</v>
      </c>
      <c r="I9" s="58">
        <v>1.9230769230769232E-2</v>
      </c>
      <c r="J9" s="56" t="s">
        <v>316</v>
      </c>
      <c r="K9" s="56" t="s">
        <v>1893</v>
      </c>
      <c r="L9" s="56" t="s">
        <v>2942</v>
      </c>
      <c r="M9" s="56" t="str">
        <f>HYPERLINK("https://dribble.octin.io/?mode=Single+log&amp;log_id=50c0bb17-d657-46e0-9de3-c72d1361e953","URL")</f>
        <v>URL</v>
      </c>
      <c r="N9" s="56" t="s">
        <v>3466</v>
      </c>
      <c r="O9" t="str">
        <f>_xlfn.XLOOKUP(N9,'Error-codes'!$C$2:$C$130,'Error-codes'!$B$2:$B$130, "None")</f>
        <v>vision error</v>
      </c>
      <c r="P9" s="46">
        <f>_xlfn.XLOOKUP($A9,support_3rdline!$B$2:$B$150,support_3rdline!P$2:P$150,"")</f>
        <v>0</v>
      </c>
      <c r="Q9" s="46">
        <f>_xlfn.XLOOKUP($A9,support_3rdline!$B$2:$B$150,support_3rdline!Q$2:Q$150,"")</f>
        <v>0</v>
      </c>
      <c r="R9" s="46"/>
      <c r="S9" s="46">
        <f>_xlfn.XLOOKUP($A9,support_3rdline!$B$2:$B$150,support_3rdline!R$2:R$150,"")</f>
        <v>0</v>
      </c>
      <c r="T9" s="46">
        <f>_xlfn.XLOOKUP($A9,support_3rdline!$B$2:$B$150,support_3rdline!S$2:S$150,"")</f>
        <v>0</v>
      </c>
      <c r="U9" s="81">
        <f>DATEVALUE(LEFT(F9,10))</f>
        <v>44816</v>
      </c>
      <c r="V9" s="46">
        <f>_xlfn.XLOOKUP($A9,support_3rdline!$B$2:$B$150,support_3rdline!T$2:T$150,"")</f>
        <v>0</v>
      </c>
    </row>
    <row r="10" spans="1:22" hidden="1">
      <c r="A10" s="56" t="s">
        <v>326</v>
      </c>
      <c r="B10" s="56" t="s">
        <v>29</v>
      </c>
      <c r="C10" s="56" t="s">
        <v>327</v>
      </c>
      <c r="D10" s="56" t="s">
        <v>37</v>
      </c>
      <c r="E10" s="56" t="s">
        <v>2988</v>
      </c>
      <c r="F10" s="56" t="s">
        <v>3492</v>
      </c>
      <c r="G10" s="56">
        <v>2</v>
      </c>
      <c r="H10" s="56">
        <v>0</v>
      </c>
      <c r="I10" s="58">
        <v>0</v>
      </c>
      <c r="J10" s="56" t="s">
        <v>328</v>
      </c>
      <c r="K10" s="56" t="s">
        <v>1893</v>
      </c>
      <c r="L10" s="56" t="s">
        <v>2942</v>
      </c>
      <c r="M10" s="56" t="str">
        <f>HYPERLINK("https://dribble.octin.io/?mode=Single+log&amp;log_id=f7d7ca8f-9aca-49f0-8f7c-0066d071eef5","URL")</f>
        <v>URL</v>
      </c>
      <c r="N10" s="56" t="s">
        <v>3466</v>
      </c>
      <c r="O10" t="str">
        <f>_xlfn.XLOOKUP(N10,'Error-codes'!$C$2:$C$130,'Error-codes'!$B$2:$B$130, "None")</f>
        <v>vision error</v>
      </c>
      <c r="P10" s="46">
        <f>_xlfn.XLOOKUP($A10,support_3rdline!$B$2:$B$150,support_3rdline!P$2:P$150,"")</f>
        <v>0</v>
      </c>
      <c r="Q10" s="46">
        <f>_xlfn.XLOOKUP($A10,support_3rdline!$B$2:$B$150,support_3rdline!Q$2:Q$150,"")</f>
        <v>0</v>
      </c>
      <c r="R10" s="46"/>
      <c r="S10" s="46">
        <f>_xlfn.XLOOKUP($A10,support_3rdline!$B$2:$B$150,support_3rdline!R$2:R$150,"")</f>
        <v>0</v>
      </c>
      <c r="T10" s="46">
        <f>_xlfn.XLOOKUP($A10,support_3rdline!$B$2:$B$150,support_3rdline!S$2:S$150,"")</f>
        <v>0</v>
      </c>
      <c r="U10" s="81">
        <f>DATEVALUE(LEFT(F10,10))</f>
        <v>44816</v>
      </c>
      <c r="V10" s="46">
        <f>_xlfn.XLOOKUP($A10,support_3rdline!$B$2:$B$150,support_3rdline!T$2:T$150,"")</f>
        <v>0</v>
      </c>
    </row>
    <row r="11" spans="1:22" hidden="1">
      <c r="A11" s="56" t="s">
        <v>326</v>
      </c>
      <c r="B11" s="56" t="s">
        <v>29</v>
      </c>
      <c r="C11" s="56" t="s">
        <v>323</v>
      </c>
      <c r="D11" s="56" t="s">
        <v>37</v>
      </c>
      <c r="E11" s="56" t="s">
        <v>2939</v>
      </c>
      <c r="F11" s="56" t="s">
        <v>3492</v>
      </c>
      <c r="G11" s="56">
        <v>104</v>
      </c>
      <c r="H11" s="56">
        <v>0</v>
      </c>
      <c r="I11" s="58">
        <v>0</v>
      </c>
      <c r="J11" s="56" t="s">
        <v>316</v>
      </c>
      <c r="K11" s="56" t="s">
        <v>1893</v>
      </c>
      <c r="L11" s="56" t="s">
        <v>2942</v>
      </c>
      <c r="M11" s="56" t="str">
        <f>HYPERLINK("https://dribble.octin.io/?mode=Single+log&amp;log_id=f7d7ca8f-9aca-49f0-8f7c-0066d071eef5","URL")</f>
        <v>URL</v>
      </c>
      <c r="N11" s="56" t="s">
        <v>3466</v>
      </c>
      <c r="O11" t="str">
        <f>_xlfn.XLOOKUP(N11,'Error-codes'!$C$2:$C$130,'Error-codes'!$B$2:$B$130, "None")</f>
        <v>vision error</v>
      </c>
      <c r="P11" s="46">
        <f>_xlfn.XLOOKUP($A11,support_3rdline!$B$2:$B$150,support_3rdline!P$2:P$150,"")</f>
        <v>0</v>
      </c>
      <c r="Q11" s="46">
        <f>_xlfn.XLOOKUP($A11,support_3rdline!$B$2:$B$150,support_3rdline!Q$2:Q$150,"")</f>
        <v>0</v>
      </c>
      <c r="R11" s="46"/>
      <c r="S11" s="46">
        <f>_xlfn.XLOOKUP($A11,support_3rdline!$B$2:$B$150,support_3rdline!R$2:R$150,"")</f>
        <v>0</v>
      </c>
      <c r="T11" s="46">
        <f>_xlfn.XLOOKUP($A11,support_3rdline!$B$2:$B$150,support_3rdline!S$2:S$150,"")</f>
        <v>0</v>
      </c>
      <c r="U11" s="81">
        <f>DATEVALUE(LEFT(F11,10))</f>
        <v>44816</v>
      </c>
      <c r="V11" s="46">
        <f>_xlfn.XLOOKUP($A11,support_3rdline!$B$2:$B$150,support_3rdline!T$2:T$150,"")</f>
        <v>0</v>
      </c>
    </row>
    <row r="12" spans="1:22" ht="244.5" hidden="1">
      <c r="A12" s="56" t="s">
        <v>329</v>
      </c>
      <c r="B12" s="56" t="s">
        <v>228</v>
      </c>
      <c r="C12" s="56" t="s">
        <v>330</v>
      </c>
      <c r="D12" s="56" t="s">
        <v>37</v>
      </c>
      <c r="E12" s="56" t="s">
        <v>2930</v>
      </c>
      <c r="F12" s="56" t="s">
        <v>2931</v>
      </c>
      <c r="G12" s="56">
        <v>101</v>
      </c>
      <c r="H12" s="56">
        <v>6</v>
      </c>
      <c r="I12" s="58">
        <v>5.9405940594059403E-2</v>
      </c>
      <c r="J12" s="56" t="s">
        <v>331</v>
      </c>
      <c r="K12" s="56" t="s">
        <v>2166</v>
      </c>
      <c r="L12" s="56" t="s">
        <v>2932</v>
      </c>
      <c r="M12" s="56" t="str">
        <f>HYPERLINK("https://dribble.octin.io/?mode=Single+log&amp;log_id=0f87d519-ff80-4ecc-b93d-2c589fb53e41","URL")</f>
        <v>URL</v>
      </c>
      <c r="N12" s="56" t="s">
        <v>2933</v>
      </c>
      <c r="O12" t="str">
        <f>_xlfn.XLOOKUP(N12,'Error-codes'!$C$2:$C$130,'Error-codes'!$B$2:$B$130, "None")</f>
        <v>inductive sensor error</v>
      </c>
      <c r="P12" s="46" t="str">
        <f>_xlfn.XLOOKUP(A12,support_3rdline!$B$2:$B$150,support_3rdline!P$2:P$150,"")</f>
        <v>robot rijdt op gangpad, maar lijkt niet ver genoeg te rijden en een stukje terug te bollen</v>
      </c>
      <c r="Q12" s="51" t="s">
        <v>2936</v>
      </c>
      <c r="R12" s="51"/>
      <c r="S12" s="46" t="str">
        <f>_xlfn.XLOOKUP($A12,support_3rdline!$B$2:$B$150,support_3rdline!R$2:R$150,"")</f>
        <v>EOL heel clean, maar er zit kleine fout op de meting die ervoor zorgt dat robot niet ver genoeg rijdt. oplossingen: EOL offset toevoegen (environment yaml; check Christianen en Deltaview: parallel bij bredere robots?). (LT: Beter: while-inductive-is-true) voorstle: +0.20cm toevoegen. Risico bij andere rijen+hebben we dit bij andere robot ook al gedaan? Risico: inductieve snesor voreger verwachten bij rijen waarbij correct is (minimaal); anomaly-detectie moet met grotere afwijking overweg kunnen (nu &lt;0.5m).. 
Andere maatregelen (lane-lengte aanpassen, wielradius) hebben geen zin, aangezien het moment dat metingen in rekening worden genomen dit als 'algehele' waarheid wordt genomen.    
Christianen check: heeft geen eol-offset, dus dat is niet het probleem.
Delta-view check: TODO
Andere oorzaken: steekt goot hier minder ver uit over gangpad ivm andere 2 serres (Christianen, delta-view)? + wat is effect van plantengroei (in deze log: zeer beperkte plantengroei)?</v>
      </c>
      <c r="T12" s="46" t="str">
        <f>_xlfn.XLOOKUP($A12,support_3rdline!$B$2:$B$150,support_3rdline!S$2:S$150,"")</f>
        <v>TODO: zet EOL open offset (in environment.yaml) op +0.15cm voor compensatie</v>
      </c>
      <c r="U12" s="81">
        <f>DATEVALUE(LEFT(F12,10))</f>
        <v>44816</v>
      </c>
      <c r="V12" s="46">
        <f>_xlfn.XLOOKUP($A12,support_3rdline!$B$2:$B$150,support_3rdline!T$2:T$150,"")</f>
        <v>0</v>
      </c>
    </row>
    <row r="13" spans="1:22" hidden="1">
      <c r="B13" s="56" t="s">
        <v>295</v>
      </c>
      <c r="C13" s="56" t="s">
        <v>2507</v>
      </c>
      <c r="D13" s="56" t="s">
        <v>388</v>
      </c>
      <c r="F13" s="56" t="s">
        <v>2510</v>
      </c>
      <c r="G13" s="56">
        <v>81</v>
      </c>
      <c r="H13" s="56">
        <v>81</v>
      </c>
      <c r="I13" s="58">
        <v>1</v>
      </c>
      <c r="K13" s="56" t="s">
        <v>1873</v>
      </c>
      <c r="L13" s="56" t="s">
        <v>2942</v>
      </c>
      <c r="O13">
        <f>_xlfn.XLOOKUP(N13,'Error-codes'!$C$2:$C$130,'Error-codes'!$B$2:$B$130, "None")</f>
        <v>0</v>
      </c>
      <c r="P13" s="46">
        <f>_xlfn.XLOOKUP($A13,support_3rdline!$B$2:$B$150,support_3rdline!P$2:P$150,"")</f>
        <v>0</v>
      </c>
      <c r="Q13" s="46">
        <f>_xlfn.XLOOKUP($A13,support_3rdline!$B$2:$B$150,support_3rdline!Q$2:Q$150,"")</f>
        <v>0</v>
      </c>
      <c r="R13" s="46"/>
      <c r="S13" s="46">
        <f>_xlfn.XLOOKUP($A13,support_3rdline!$B$2:$B$150,support_3rdline!R$2:R$150,"")</f>
        <v>0</v>
      </c>
      <c r="T13" s="46">
        <f>_xlfn.XLOOKUP($A13,support_3rdline!$B$2:$B$150,support_3rdline!S$2:S$150,"")</f>
        <v>0</v>
      </c>
      <c r="U13" s="81">
        <f>DATEVALUE(LEFT(F13,10))</f>
        <v>44816</v>
      </c>
      <c r="V13" s="46">
        <f>_xlfn.XLOOKUP($A13,support_3rdline!$B$2:$B$150,support_3rdline!T$2:T$150,"")</f>
        <v>0</v>
      </c>
    </row>
    <row r="14" spans="1:22" hidden="1">
      <c r="B14" s="56" t="s">
        <v>29</v>
      </c>
      <c r="C14" s="56" t="s">
        <v>2531</v>
      </c>
      <c r="D14" s="56" t="s">
        <v>388</v>
      </c>
      <c r="F14" s="56" t="s">
        <v>2534</v>
      </c>
      <c r="G14" s="56">
        <v>3</v>
      </c>
      <c r="H14" s="56">
        <v>3</v>
      </c>
      <c r="I14" s="58">
        <v>1</v>
      </c>
      <c r="K14" s="56" t="s">
        <v>1893</v>
      </c>
      <c r="L14" s="56" t="s">
        <v>2942</v>
      </c>
      <c r="O14">
        <f>_xlfn.XLOOKUP(N14,'Error-codes'!$C$2:$C$130,'Error-codes'!$B$2:$B$130, "None")</f>
        <v>0</v>
      </c>
      <c r="P14" s="46">
        <f>_xlfn.XLOOKUP($A14,support_3rdline!$B$2:$B$150,support_3rdline!P$2:P$150,"")</f>
        <v>0</v>
      </c>
      <c r="Q14" s="46">
        <f>_xlfn.XLOOKUP($A14,support_3rdline!$B$2:$B$150,support_3rdline!Q$2:Q$150,"")</f>
        <v>0</v>
      </c>
      <c r="R14" s="46"/>
      <c r="S14" s="46">
        <f>_xlfn.XLOOKUP($A14,support_3rdline!$B$2:$B$150,support_3rdline!R$2:R$150,"")</f>
        <v>0</v>
      </c>
      <c r="T14" s="46">
        <f>_xlfn.XLOOKUP($A14,support_3rdline!$B$2:$B$150,support_3rdline!S$2:S$150,"")</f>
        <v>0</v>
      </c>
      <c r="U14" s="81">
        <f>DATEVALUE(LEFT(F14,10))</f>
        <v>44817</v>
      </c>
      <c r="V14" s="46">
        <f>_xlfn.XLOOKUP($A14,support_3rdline!$B$2:$B$150,support_3rdline!T$2:T$150,"")</f>
        <v>0</v>
      </c>
    </row>
    <row r="15" spans="1:22" ht="60.75" hidden="1">
      <c r="A15" s="56" t="s">
        <v>333</v>
      </c>
      <c r="B15" s="56" t="s">
        <v>29</v>
      </c>
      <c r="C15" s="56" t="s">
        <v>334</v>
      </c>
      <c r="D15" s="56" t="s">
        <v>37</v>
      </c>
      <c r="E15" s="56" t="s">
        <v>3493</v>
      </c>
      <c r="F15" s="56" t="s">
        <v>3494</v>
      </c>
      <c r="G15" s="56">
        <v>146</v>
      </c>
      <c r="H15" s="56">
        <v>13</v>
      </c>
      <c r="I15" s="58">
        <v>8.9041095890410954E-2</v>
      </c>
      <c r="J15" s="56" t="s">
        <v>335</v>
      </c>
      <c r="K15" s="56" t="s">
        <v>1893</v>
      </c>
      <c r="L15" s="56" t="s">
        <v>3162</v>
      </c>
      <c r="M15" s="56" t="str">
        <f>HYPERLINK("https://dribble.octin.io/?mode=Single+log&amp;log_id=6e5f819e-9ed4-4252-af91-b78eafaf2df8","URL")</f>
        <v>URL</v>
      </c>
      <c r="N15" s="56" t="s">
        <v>3446</v>
      </c>
      <c r="O15" t="str">
        <f>_xlfn.XLOOKUP(N15,'Error-codes'!$C$2:$C$130,'Error-codes'!$B$2:$B$130, "None")</f>
        <v>end of lane wall sensor error</v>
      </c>
      <c r="P15" s="46" t="str">
        <f>_xlfn.XLOOKUP($A15,support_3rdline!$B$2:$B$150,support_3rdline!P$2:P$150,"")</f>
        <v>robot slipt lange tijd tegen de kop van de rails, zet zich uiteindelijk toch af, maar gaat in error in midden van de lane (geen EOL wall zichtbaar)</v>
      </c>
      <c r="Q15" s="46">
        <f>_xlfn.XLOOKUP($A15,support_3rdline!$B$2:$B$150,support_3rdline!Q$2:Q$150,"")</f>
        <v>0</v>
      </c>
      <c r="R15" s="46"/>
      <c r="S15" s="46" t="str">
        <f>_xlfn.XLOOKUP($A15,support_3rdline!$B$2:$B$150,support_3rdline!R$2:R$150,"")</f>
        <v>achterwielen staan al op de rails, voorwielen slippen tegen rails. Zou kunnen door reduced velocity approach?</v>
      </c>
      <c r="T15" s="46">
        <f>_xlfn.XLOOKUP($A15,support_3rdline!$B$2:$B$150,support_3rdline!S$2:S$150,"")</f>
        <v>0</v>
      </c>
      <c r="U15" s="81">
        <f>DATEVALUE(LEFT(F15,10))</f>
        <v>44817</v>
      </c>
      <c r="V15" s="46">
        <f>_xlfn.XLOOKUP($A15,support_3rdline!$B$2:$B$150,support_3rdline!T$2:T$150,"")</f>
        <v>0</v>
      </c>
    </row>
    <row r="16" spans="1:22" ht="45.75" hidden="1">
      <c r="A16" s="56" t="s">
        <v>336</v>
      </c>
      <c r="B16" s="56" t="s">
        <v>29</v>
      </c>
      <c r="C16" s="56" t="s">
        <v>337</v>
      </c>
      <c r="D16" s="56" t="s">
        <v>37</v>
      </c>
      <c r="E16" s="56" t="s">
        <v>2939</v>
      </c>
      <c r="F16" s="56" t="s">
        <v>3495</v>
      </c>
      <c r="G16" s="56">
        <v>134</v>
      </c>
      <c r="H16" s="56">
        <v>3</v>
      </c>
      <c r="I16" s="58">
        <v>2.2388059701492536E-2</v>
      </c>
      <c r="J16" s="56" t="s">
        <v>1540</v>
      </c>
      <c r="K16" s="56" t="s">
        <v>1893</v>
      </c>
      <c r="L16" s="56" t="s">
        <v>3162</v>
      </c>
      <c r="M16" s="56" t="str">
        <f>HYPERLINK("https://dribble.octin.io/?mode=Single+log&amp;log_id=23dd2cd4-d919-4b65-b35f-a8f18babb882","URL")</f>
        <v>URL</v>
      </c>
      <c r="N16" s="56" t="s">
        <v>3466</v>
      </c>
      <c r="O16" t="str">
        <f>_xlfn.XLOOKUP(N16,'Error-codes'!$C$2:$C$130,'Error-codes'!$B$2:$B$130, "None")</f>
        <v>vision error</v>
      </c>
      <c r="P16" s="46" t="str">
        <f>_xlfn.XLOOKUP($A16,support_3rdline!$B$2:$B$150,support_3rdline!P$2:P$150,"")</f>
        <v>robot doet laneswitch, lijkt aan retry te starten maar stopt tijdens de voorwaartse beweging</v>
      </c>
      <c r="Q16" s="46">
        <f>_xlfn.XLOOKUP($A16,support_3rdline!$B$2:$B$150,support_3rdline!Q$2:Q$150,"")</f>
        <v>0</v>
      </c>
      <c r="R16" s="46"/>
      <c r="S16" s="46">
        <f>_xlfn.XLOOKUP($A16,support_3rdline!$B$2:$B$150,support_3rdline!R$2:R$150,"")</f>
        <v>0</v>
      </c>
      <c r="T16" s="46">
        <f>_xlfn.XLOOKUP($A16,support_3rdline!$B$2:$B$150,support_3rdline!S$2:S$150,"")</f>
        <v>0</v>
      </c>
      <c r="U16" s="81">
        <f>DATEVALUE(LEFT(F16,10))</f>
        <v>44817</v>
      </c>
      <c r="V16" s="46">
        <f>_xlfn.XLOOKUP($A16,support_3rdline!$B$2:$B$150,support_3rdline!T$2:T$150,"")</f>
        <v>0</v>
      </c>
    </row>
    <row r="17" spans="1:22" ht="30.75" hidden="1">
      <c r="A17" s="56" t="s">
        <v>338</v>
      </c>
      <c r="B17" s="56" t="s">
        <v>29</v>
      </c>
      <c r="C17" s="56" t="s">
        <v>337</v>
      </c>
      <c r="D17" s="56" t="s">
        <v>37</v>
      </c>
      <c r="E17" s="56" t="s">
        <v>2939</v>
      </c>
      <c r="F17" s="56" t="s">
        <v>3496</v>
      </c>
      <c r="G17" s="56">
        <v>134</v>
      </c>
      <c r="H17" s="56">
        <v>4</v>
      </c>
      <c r="I17" s="58">
        <v>2.9850746268656716E-2</v>
      </c>
      <c r="J17" s="56" t="s">
        <v>340</v>
      </c>
      <c r="K17" s="56" t="s">
        <v>1893</v>
      </c>
      <c r="L17" s="56" t="s">
        <v>3162</v>
      </c>
      <c r="M17" s="56" t="str">
        <f>HYPERLINK("https://dribble.octin.io/?mode=Single+log&amp;log_id=f221d0b4-a901-487d-8379-227b1fce9261","URL")</f>
        <v>URL</v>
      </c>
      <c r="N17" s="56" t="s">
        <v>3466</v>
      </c>
      <c r="O17" t="str">
        <f>_xlfn.XLOOKUP(N17,'Error-codes'!$C$2:$C$130,'Error-codes'!$B$2:$B$130, "None")</f>
        <v>vision error</v>
      </c>
      <c r="P17" s="46" t="str">
        <f>_xlfn.XLOOKUP($A17,support_3rdline!$B$2:$B$150,support_3rdline!P$2:P$150,"")</f>
        <v>robot staat lang stil voor een rij, maar vertrekt niet</v>
      </c>
      <c r="Q17" s="46">
        <f>_xlfn.XLOOKUP($A17,support_3rdline!$B$2:$B$150,support_3rdline!Q$2:Q$150,"")</f>
        <v>0</v>
      </c>
      <c r="R17" s="46"/>
      <c r="S17" s="46">
        <f>_xlfn.XLOOKUP($A17,support_3rdline!$B$2:$B$150,support_3rdline!R$2:R$150,"")</f>
        <v>0</v>
      </c>
      <c r="T17" s="46">
        <f>_xlfn.XLOOKUP($A17,support_3rdline!$B$2:$B$150,support_3rdline!S$2:S$150,"")</f>
        <v>0</v>
      </c>
      <c r="U17" s="81">
        <f>DATEVALUE(LEFT(F17,10))</f>
        <v>44817</v>
      </c>
      <c r="V17" s="46">
        <f>_xlfn.XLOOKUP($A17,support_3rdline!$B$2:$B$150,support_3rdline!T$2:T$150,"")</f>
        <v>0</v>
      </c>
    </row>
    <row r="18" spans="1:22" ht="30.75" hidden="1">
      <c r="A18" s="56" t="s">
        <v>339</v>
      </c>
      <c r="B18" s="56" t="s">
        <v>29</v>
      </c>
      <c r="C18" s="56" t="s">
        <v>337</v>
      </c>
      <c r="D18" s="56" t="s">
        <v>37</v>
      </c>
      <c r="E18" s="56" t="s">
        <v>3497</v>
      </c>
      <c r="F18" s="56" t="s">
        <v>3498</v>
      </c>
      <c r="G18" s="56">
        <v>134</v>
      </c>
      <c r="H18" s="56">
        <v>5</v>
      </c>
      <c r="I18" s="58">
        <v>3.7313432835820892E-2</v>
      </c>
      <c r="J18" s="56" t="s">
        <v>340</v>
      </c>
      <c r="K18" s="56" t="s">
        <v>1893</v>
      </c>
      <c r="L18" s="56" t="s">
        <v>3162</v>
      </c>
      <c r="M18" s="56" t="str">
        <f>HYPERLINK("https://dribble.octin.io/?mode=Single+log&amp;log_id=28009ca8-fb00-438b-88e6-d3751e924339","URL")</f>
        <v>URL</v>
      </c>
      <c r="N18" s="56" t="s">
        <v>3466</v>
      </c>
      <c r="O18" t="str">
        <f>_xlfn.XLOOKUP(N18,'Error-codes'!$C$2:$C$130,'Error-codes'!$B$2:$B$130, "None")</f>
        <v>vision error</v>
      </c>
      <c r="P18" s="46" t="str">
        <f>_xlfn.XLOOKUP($A18,support_3rdline!$B$2:$B$150,support_3rdline!P$2:P$150,"")</f>
        <v>robot staat lang stil voor een rij, maar vertrekt niet</v>
      </c>
      <c r="Q18" s="46">
        <f>_xlfn.XLOOKUP($A18,support_3rdline!$B$2:$B$150,support_3rdline!Q$2:Q$150,"")</f>
        <v>0</v>
      </c>
      <c r="R18" s="46"/>
      <c r="S18" s="46">
        <f>_xlfn.XLOOKUP($A18,support_3rdline!$B$2:$B$150,support_3rdline!R$2:R$150,"")</f>
        <v>0</v>
      </c>
      <c r="T18" s="46">
        <f>_xlfn.XLOOKUP($A18,support_3rdline!$B$2:$B$150,support_3rdline!S$2:S$150,"")</f>
        <v>0</v>
      </c>
      <c r="U18" s="81">
        <f>DATEVALUE(LEFT(F18,10))</f>
        <v>44817</v>
      </c>
      <c r="V18" s="46">
        <f>_xlfn.XLOOKUP($A18,support_3rdline!$B$2:$B$150,support_3rdline!T$2:T$150,"")</f>
        <v>0</v>
      </c>
    </row>
    <row r="19" spans="1:22" hidden="1">
      <c r="A19" s="56" t="s">
        <v>1205</v>
      </c>
      <c r="B19" s="56" t="s">
        <v>29</v>
      </c>
      <c r="C19" s="56" t="s">
        <v>1207</v>
      </c>
      <c r="D19" s="56" t="s">
        <v>37</v>
      </c>
      <c r="E19" s="56" t="s">
        <v>3497</v>
      </c>
      <c r="F19" s="56" t="s">
        <v>3499</v>
      </c>
      <c r="G19" s="56">
        <v>130</v>
      </c>
      <c r="H19" s="56">
        <v>0</v>
      </c>
      <c r="I19" s="58">
        <v>0</v>
      </c>
      <c r="J19" s="56" t="s">
        <v>1540</v>
      </c>
      <c r="K19" s="56" t="s">
        <v>1893</v>
      </c>
      <c r="L19" s="56" t="s">
        <v>3162</v>
      </c>
      <c r="M19" s="56" t="str">
        <f>HYPERLINK("https://dribble.octin.io/?mode=Single+log&amp;log_id=d4affc54-16e5-4e31-aa95-ba7ac86c6987","URL")</f>
        <v>URL</v>
      </c>
      <c r="N19" s="56" t="s">
        <v>3466</v>
      </c>
      <c r="O19" t="str">
        <f>_xlfn.XLOOKUP(N19,'Error-codes'!$C$2:$C$130,'Error-codes'!$B$2:$B$130, "None")</f>
        <v>vision error</v>
      </c>
      <c r="P19" s="46" t="str">
        <f>_xlfn.XLOOKUP($A19,support_3rdline!$B$2:$B$150,support_3rdline!P$2:P$150,"")</f>
        <v/>
      </c>
      <c r="Q19" s="46" t="str">
        <f>_xlfn.XLOOKUP($A19,support_3rdline!$B$2:$B$150,support_3rdline!Q$2:Q$150,"")</f>
        <v/>
      </c>
      <c r="R19" s="46"/>
      <c r="S19" s="46" t="str">
        <f>_xlfn.XLOOKUP($A19,support_3rdline!$B$2:$B$150,support_3rdline!R$2:R$150,"")</f>
        <v/>
      </c>
      <c r="T19" s="46" t="str">
        <f>_xlfn.XLOOKUP($A19,support_3rdline!$B$2:$B$150,support_3rdline!S$2:S$150,"")</f>
        <v/>
      </c>
      <c r="U19" s="81">
        <f>DATEVALUE(LEFT(F19,10))</f>
        <v>44817</v>
      </c>
      <c r="V19" s="46" t="str">
        <f>_xlfn.XLOOKUP($A19,support_3rdline!$B$2:$B$150,support_3rdline!T$2:T$150,"")</f>
        <v/>
      </c>
    </row>
    <row r="20" spans="1:22" ht="76.5" hidden="1">
      <c r="A20" s="56" t="s">
        <v>341</v>
      </c>
      <c r="B20" s="56" t="s">
        <v>29</v>
      </c>
      <c r="C20" s="56" t="s">
        <v>342</v>
      </c>
      <c r="D20" s="56" t="s">
        <v>37</v>
      </c>
      <c r="E20" s="56" t="s">
        <v>2959</v>
      </c>
      <c r="F20" s="56" t="s">
        <v>3500</v>
      </c>
      <c r="G20" s="56">
        <v>45</v>
      </c>
      <c r="H20" s="56">
        <v>17</v>
      </c>
      <c r="I20" s="58">
        <v>0.37777777777777777</v>
      </c>
      <c r="J20" s="56" t="s">
        <v>343</v>
      </c>
      <c r="K20" s="56" t="s">
        <v>1893</v>
      </c>
      <c r="L20" s="56" t="s">
        <v>3162</v>
      </c>
      <c r="M20" s="56" t="str">
        <f>HYPERLINK("https://dribble.octin.io/?mode=Single+log&amp;log_id=3295ff2c-dd94-4b52-a9d9-5cd2af5b0e81","URL")</f>
        <v>URL</v>
      </c>
      <c r="N20" s="56" t="s">
        <v>3442</v>
      </c>
      <c r="O20" t="str">
        <f>_xlfn.XLOOKUP(N20,'Error-codes'!$C$2:$C$130,'Error-codes'!$B$2:$B$130, "None")</f>
        <v>vehicle diverged too far from trajectory</v>
      </c>
      <c r="P20" s="46" t="str">
        <f>_xlfn.XLOOKUP($A20,support_3rdline!$B$2:$B$150,support_3rdline!P$2:P$150,"")</f>
        <v>robot stopt +/-5m voordat hij op gangpad komt. robot rijdt in laatste rij van sectie (iets smaller door goten) en ter hoogte van gangpad staat er grote controlebox (goed zichtbaar op moment van error)</v>
      </c>
      <c r="Q20" s="51" t="s">
        <v>3400</v>
      </c>
      <c r="R20" s="51"/>
      <c r="S20" s="46">
        <f>_xlfn.XLOOKUP($A20,support_3rdline!$B$2:$B$150,support_3rdline!R$2:R$150,"")</f>
        <v>0</v>
      </c>
      <c r="T20" s="46">
        <f>_xlfn.XLOOKUP($A20,support_3rdline!$B$2:$B$150,support_3rdline!S$2:S$150,"")</f>
        <v>0</v>
      </c>
      <c r="U20" s="81">
        <f>DATEVALUE(LEFT(F20,10))</f>
        <v>44817</v>
      </c>
      <c r="V20" s="46">
        <f>_xlfn.XLOOKUP($A20,support_3rdline!$B$2:$B$150,support_3rdline!T$2:T$150,"")</f>
        <v>0</v>
      </c>
    </row>
    <row r="21" spans="1:22" hidden="1">
      <c r="A21" s="56" t="s">
        <v>345</v>
      </c>
      <c r="B21" s="56" t="s">
        <v>295</v>
      </c>
      <c r="C21" s="56" t="s">
        <v>346</v>
      </c>
      <c r="D21" s="56" t="s">
        <v>37</v>
      </c>
      <c r="E21" s="56" t="s">
        <v>3501</v>
      </c>
      <c r="F21" s="56" t="s">
        <v>3502</v>
      </c>
      <c r="G21" s="56">
        <v>133</v>
      </c>
      <c r="H21" s="56">
        <v>100</v>
      </c>
      <c r="I21" s="58">
        <v>0.75187969924812026</v>
      </c>
      <c r="J21" s="56" t="s">
        <v>347</v>
      </c>
      <c r="K21" s="56" t="s">
        <v>1873</v>
      </c>
      <c r="L21" s="56" t="s">
        <v>3162</v>
      </c>
      <c r="M21" s="56" t="str">
        <f>HYPERLINK("https://dribble.octin.io/?mode=Single+log&amp;log_id=e3f9e34c-a183-4846-8266-53b0e4584fa1","URL")</f>
        <v>URL</v>
      </c>
      <c r="N21" s="56" t="s">
        <v>3460</v>
      </c>
      <c r="O21" t="str">
        <f>_xlfn.XLOOKUP(N21,'Error-codes'!$C$2:$C$130,'Error-codes'!$B$2:$B$130, "None")</f>
        <v>motor drive: DRV8353 FAULT</v>
      </c>
      <c r="P21" s="46" t="str">
        <f>_xlfn.XLOOKUP($A21,support_3rdline!$B$2:$B$150,support_3rdline!P$2:P$150,"")</f>
        <v>&lt;=</v>
      </c>
      <c r="Q21" s="46" t="str">
        <f>_xlfn.XLOOKUP($A21,support_3rdline!$B$2:$B$150,support_3rdline!Q$2:Q$150,"")</f>
        <v>/</v>
      </c>
      <c r="R21" s="46"/>
      <c r="S21" s="46" t="str">
        <f>_xlfn.XLOOKUP($A21,support_3rdline!$B$2:$B$150,support_3rdline!R$2:R$150,"")</f>
        <v>/</v>
      </c>
      <c r="T21" s="46">
        <f>_xlfn.XLOOKUP($A21,support_3rdline!$B$2:$B$150,support_3rdline!S$2:S$150,"")</f>
        <v>0</v>
      </c>
      <c r="U21" s="81">
        <f>DATEVALUE(LEFT(F21,10))</f>
        <v>44818</v>
      </c>
      <c r="V21" s="46">
        <f>_xlfn.XLOOKUP($A21,support_3rdline!$B$2:$B$150,support_3rdline!T$2:T$150,"")</f>
        <v>0</v>
      </c>
    </row>
    <row r="22" spans="1:22" hidden="1">
      <c r="B22" s="56" t="s">
        <v>29</v>
      </c>
      <c r="C22" s="56" t="s">
        <v>2560</v>
      </c>
      <c r="D22" s="56" t="s">
        <v>388</v>
      </c>
      <c r="F22" s="56" t="s">
        <v>2563</v>
      </c>
      <c r="G22" s="56">
        <v>112</v>
      </c>
      <c r="H22" s="56">
        <v>112</v>
      </c>
      <c r="I22" s="58">
        <v>1</v>
      </c>
      <c r="K22" s="56" t="s">
        <v>1893</v>
      </c>
      <c r="L22" s="56" t="s">
        <v>3162</v>
      </c>
      <c r="O22">
        <f>_xlfn.XLOOKUP(N22,'Error-codes'!$C$2:$C$130,'Error-codes'!$B$2:$B$130, "None")</f>
        <v>0</v>
      </c>
      <c r="P22" s="46">
        <f>_xlfn.XLOOKUP($A22,support_3rdline!$B$2:$B$150,support_3rdline!P$2:P$150,"")</f>
        <v>0</v>
      </c>
      <c r="Q22" s="46">
        <f>_xlfn.XLOOKUP($A22,support_3rdline!$B$2:$B$150,support_3rdline!Q$2:Q$150,"")</f>
        <v>0</v>
      </c>
      <c r="R22" s="46"/>
      <c r="S22" s="46">
        <f>_xlfn.XLOOKUP($A22,support_3rdline!$B$2:$B$150,support_3rdline!R$2:R$150,"")</f>
        <v>0</v>
      </c>
      <c r="T22" s="46">
        <f>_xlfn.XLOOKUP($A22,support_3rdline!$B$2:$B$150,support_3rdline!S$2:S$150,"")</f>
        <v>0</v>
      </c>
      <c r="U22" s="81">
        <f>DATEVALUE(LEFT(F22,10))</f>
        <v>44818</v>
      </c>
      <c r="V22" s="46">
        <f>_xlfn.XLOOKUP($A22,support_3rdline!$B$2:$B$150,support_3rdline!T$2:T$150,"")</f>
        <v>0</v>
      </c>
    </row>
    <row r="23" spans="1:22" hidden="1">
      <c r="B23" s="56" t="s">
        <v>295</v>
      </c>
      <c r="C23" s="56" t="s">
        <v>2564</v>
      </c>
      <c r="D23" s="56" t="s">
        <v>388</v>
      </c>
      <c r="F23" s="56" t="s">
        <v>2567</v>
      </c>
      <c r="G23" s="56">
        <v>34</v>
      </c>
      <c r="H23" s="56">
        <v>34</v>
      </c>
      <c r="I23" s="58">
        <v>1</v>
      </c>
      <c r="K23" s="56" t="s">
        <v>1873</v>
      </c>
      <c r="L23" s="56" t="s">
        <v>3162</v>
      </c>
      <c r="O23">
        <f>_xlfn.XLOOKUP(N23,'Error-codes'!$C$2:$C$130,'Error-codes'!$B$2:$B$130, "None")</f>
        <v>0</v>
      </c>
      <c r="P23" s="46">
        <f>_xlfn.XLOOKUP($A23,support_3rdline!$B$2:$B$150,support_3rdline!P$2:P$150,"")</f>
        <v>0</v>
      </c>
      <c r="Q23" s="46">
        <f>_xlfn.XLOOKUP($A23,support_3rdline!$B$2:$B$150,support_3rdline!Q$2:Q$150,"")</f>
        <v>0</v>
      </c>
      <c r="R23" s="46"/>
      <c r="S23" s="46">
        <f>_xlfn.XLOOKUP($A23,support_3rdline!$B$2:$B$150,support_3rdline!R$2:R$150,"")</f>
        <v>0</v>
      </c>
      <c r="T23" s="46">
        <f>_xlfn.XLOOKUP($A23,support_3rdline!$B$2:$B$150,support_3rdline!S$2:S$150,"")</f>
        <v>0</v>
      </c>
      <c r="U23" s="81">
        <f>DATEVALUE(LEFT(F23,10))</f>
        <v>44818</v>
      </c>
      <c r="V23" s="46">
        <f>_xlfn.XLOOKUP($A23,support_3rdline!$B$2:$B$150,support_3rdline!T$2:T$150,"")</f>
        <v>0</v>
      </c>
    </row>
    <row r="24" spans="1:22" hidden="1">
      <c r="A24" s="56" t="s">
        <v>348</v>
      </c>
      <c r="B24" s="56" t="s">
        <v>29</v>
      </c>
      <c r="C24" s="56" t="s">
        <v>349</v>
      </c>
      <c r="D24" s="56" t="s">
        <v>37</v>
      </c>
      <c r="E24" s="56" t="s">
        <v>2939</v>
      </c>
      <c r="F24" s="56" t="s">
        <v>3503</v>
      </c>
      <c r="G24" s="56">
        <v>216</v>
      </c>
      <c r="H24" s="56">
        <v>1</v>
      </c>
      <c r="I24" s="58">
        <v>4.6296296296296294E-3</v>
      </c>
      <c r="J24" s="56" t="s">
        <v>3504</v>
      </c>
      <c r="K24" s="56" t="s">
        <v>1893</v>
      </c>
      <c r="L24" s="56" t="s">
        <v>2942</v>
      </c>
      <c r="M24" s="56" t="str">
        <f>HYPERLINK("https://dribble.octin.io/?mode=Single+log&amp;log_id=67a075d2-cbfe-4967-a145-17e5146dc66b","URL")</f>
        <v>URL</v>
      </c>
      <c r="N24" s="56" t="s">
        <v>3460</v>
      </c>
      <c r="O24" t="str">
        <f>_xlfn.XLOOKUP(N24,'Error-codes'!$C$2:$C$130,'Error-codes'!$B$2:$B$130, "None")</f>
        <v>motor drive: DRV8353 FAULT</v>
      </c>
      <c r="P24" s="46">
        <f>_xlfn.XLOOKUP($A24,support_3rdline!$B$2:$B$150,support_3rdline!P$2:P$150,"")</f>
        <v>0</v>
      </c>
      <c r="Q24" s="46">
        <f>_xlfn.XLOOKUP($A24,support_3rdline!$B$2:$B$150,support_3rdline!Q$2:Q$150,"")</f>
        <v>0</v>
      </c>
      <c r="R24" s="46"/>
      <c r="S24" s="46">
        <f>_xlfn.XLOOKUP($A24,support_3rdline!$B$2:$B$150,support_3rdline!R$2:R$150,"")</f>
        <v>0</v>
      </c>
      <c r="T24" s="46">
        <f>_xlfn.XLOOKUP($A24,support_3rdline!$B$2:$B$150,support_3rdline!S$2:S$150,"")</f>
        <v>0</v>
      </c>
      <c r="U24" s="81">
        <f>DATEVALUE(LEFT(F24,10))</f>
        <v>44818</v>
      </c>
      <c r="V24" s="46">
        <f>_xlfn.XLOOKUP($A24,support_3rdline!$B$2:$B$150,support_3rdline!T$2:T$150,"")</f>
        <v>0</v>
      </c>
    </row>
    <row r="25" spans="1:22" hidden="1">
      <c r="A25" s="56" t="s">
        <v>351</v>
      </c>
      <c r="B25" s="56" t="s">
        <v>29</v>
      </c>
      <c r="C25" s="56" t="s">
        <v>349</v>
      </c>
      <c r="D25" s="56" t="s">
        <v>37</v>
      </c>
      <c r="E25" s="56" t="s">
        <v>2939</v>
      </c>
      <c r="F25" s="56" t="s">
        <v>3505</v>
      </c>
      <c r="G25" s="56">
        <v>216</v>
      </c>
      <c r="H25" s="56">
        <v>5</v>
      </c>
      <c r="I25" s="58">
        <v>2.3148148148148147E-2</v>
      </c>
      <c r="J25" s="56" t="s">
        <v>3506</v>
      </c>
      <c r="K25" s="56" t="s">
        <v>1893</v>
      </c>
      <c r="L25" s="56" t="s">
        <v>2942</v>
      </c>
      <c r="M25" s="56" t="str">
        <f>HYPERLINK("https://dribble.octin.io/?mode=Single+log&amp;log_id=85da5a0c-7ab2-427f-8dfa-eee3a620847b","URL")</f>
        <v>URL</v>
      </c>
      <c r="N25" s="56" t="s">
        <v>3458</v>
      </c>
      <c r="O25" t="str">
        <f>_xlfn.XLOOKUP(N25,'Error-codes'!$C$2:$C$130,'Error-codes'!$B$2:$B$130, "None")</f>
        <v>motor drive: UNDER VOLTAGE</v>
      </c>
      <c r="P25" s="46">
        <f>_xlfn.XLOOKUP($A25,support_3rdline!$B$2:$B$150,support_3rdline!P$2:P$150,"")</f>
        <v>0</v>
      </c>
      <c r="Q25" s="46">
        <f>_xlfn.XLOOKUP($A25,support_3rdline!$B$2:$B$150,support_3rdline!Q$2:Q$150,"")</f>
        <v>0</v>
      </c>
      <c r="R25" s="46"/>
      <c r="S25" s="46">
        <f>_xlfn.XLOOKUP($A25,support_3rdline!$B$2:$B$150,support_3rdline!R$2:R$150,"")</f>
        <v>0</v>
      </c>
      <c r="T25" s="46">
        <f>_xlfn.XLOOKUP($A25,support_3rdline!$B$2:$B$150,support_3rdline!S$2:S$150,"")</f>
        <v>0</v>
      </c>
      <c r="U25" s="81">
        <f>DATEVALUE(LEFT(F25,10))</f>
        <v>44818</v>
      </c>
      <c r="V25" s="46">
        <f>_xlfn.XLOOKUP($A25,support_3rdline!$B$2:$B$150,support_3rdline!T$2:T$150,"")</f>
        <v>0</v>
      </c>
    </row>
    <row r="26" spans="1:22" ht="60.75" hidden="1">
      <c r="A26" s="56" t="s">
        <v>352</v>
      </c>
      <c r="B26" s="56" t="s">
        <v>29</v>
      </c>
      <c r="C26" s="56" t="s">
        <v>349</v>
      </c>
      <c r="D26" s="56" t="s">
        <v>37</v>
      </c>
      <c r="E26" s="56" t="s">
        <v>3507</v>
      </c>
      <c r="F26" s="56" t="s">
        <v>3508</v>
      </c>
      <c r="G26" s="56">
        <v>216</v>
      </c>
      <c r="H26" s="56">
        <v>31</v>
      </c>
      <c r="I26" s="58">
        <v>0.14351851851851852</v>
      </c>
      <c r="J26" s="56" t="s">
        <v>353</v>
      </c>
      <c r="K26" s="56" t="s">
        <v>1893</v>
      </c>
      <c r="L26" s="56" t="s">
        <v>2942</v>
      </c>
      <c r="M26" s="56" t="str">
        <f>HYPERLINK("https://dribble.octin.io/?mode=Single+log&amp;log_id=8de62c9e-30a0-466f-a574-d5ffaf9f6cdf","URL")</f>
        <v>URL</v>
      </c>
      <c r="N26" s="56" t="s">
        <v>3450</v>
      </c>
      <c r="O26" t="str">
        <f>_xlfn.XLOOKUP(N26,'Error-codes'!$C$2:$C$130,'Error-codes'!$B$2:$B$130, "None")</f>
        <v>xtheta sensor error</v>
      </c>
      <c r="P26" s="46" t="str">
        <f>_xlfn.XLOOKUP($A26,support_3rdline!$B$2:$B$150,support_3rdline!P$2:P$150,"")</f>
        <v>Camera-kalibratie niet aangepast na verandering van wielen. Klein mysterie dat robot nog heeft kunnen rijden afgelopen maand</v>
      </c>
      <c r="Q26" s="46">
        <f>_xlfn.XLOOKUP($A26,support_3rdline!$B$2:$B$150,support_3rdline!Q$2:Q$150,"")</f>
        <v>0</v>
      </c>
      <c r="R26" s="46"/>
      <c r="S26" s="46">
        <f>_xlfn.XLOOKUP($A26,support_3rdline!$B$2:$B$150,support_3rdline!R$2:R$150,"")</f>
        <v>0</v>
      </c>
      <c r="T26" s="46">
        <f>_xlfn.XLOOKUP($A26,support_3rdline!$B$2:$B$150,support_3rdline!S$2:S$150,"")</f>
        <v>0</v>
      </c>
      <c r="U26" s="81">
        <f>DATEVALUE(LEFT(F26,10))</f>
        <v>44818</v>
      </c>
      <c r="V26" s="46">
        <f>_xlfn.XLOOKUP($A26,support_3rdline!$B$2:$B$150,support_3rdline!T$2:T$150,"")</f>
        <v>0</v>
      </c>
    </row>
    <row r="27" spans="1:22" hidden="1">
      <c r="A27" s="56" t="s">
        <v>355</v>
      </c>
      <c r="B27" s="56" t="s">
        <v>2886</v>
      </c>
      <c r="C27" s="56" t="s">
        <v>357</v>
      </c>
      <c r="D27" s="56" t="s">
        <v>37</v>
      </c>
      <c r="E27" s="56" t="s">
        <v>2930</v>
      </c>
      <c r="F27" s="56" t="s">
        <v>3509</v>
      </c>
      <c r="G27" s="56">
        <v>95</v>
      </c>
      <c r="H27" s="56">
        <v>1</v>
      </c>
      <c r="I27" s="58">
        <v>1.0526315789473684E-2</v>
      </c>
      <c r="J27" s="56" t="s">
        <v>358</v>
      </c>
      <c r="K27" s="56" t="s">
        <v>2166</v>
      </c>
      <c r="L27" s="56" t="s">
        <v>2932</v>
      </c>
      <c r="M27" s="56" t="str">
        <f>HYPERLINK("https://dribble.octin.io/?mode=Single+log&amp;log_id=2837d406-0c8e-49f6-a10d-0fa5eecf5eb6","URL")</f>
        <v>URL</v>
      </c>
      <c r="N27" s="56" t="s">
        <v>3458</v>
      </c>
      <c r="O27" t="str">
        <f>_xlfn.XLOOKUP(N27,'Error-codes'!$C$2:$C$130,'Error-codes'!$B$2:$B$130, "None")</f>
        <v>motor drive: UNDER VOLTAGE</v>
      </c>
      <c r="P27" s="46">
        <f>_xlfn.XLOOKUP($A27,support_3rdline!$B$2:$B$150,support_3rdline!P$2:P$150,"")</f>
        <v>0</v>
      </c>
      <c r="Q27" s="46">
        <f>_xlfn.XLOOKUP($A27,support_3rdline!$B$2:$B$150,support_3rdline!Q$2:Q$150,"")</f>
        <v>0</v>
      </c>
      <c r="R27" s="46"/>
      <c r="S27" s="46">
        <f>_xlfn.XLOOKUP($A27,support_3rdline!$B$2:$B$150,support_3rdline!R$2:R$150,"")</f>
        <v>0</v>
      </c>
      <c r="T27" s="46">
        <f>_xlfn.XLOOKUP($A27,support_3rdline!$B$2:$B$150,support_3rdline!S$2:S$150,"")</f>
        <v>0</v>
      </c>
      <c r="U27" s="81">
        <f>DATEVALUE(LEFT(F27,10))</f>
        <v>44818</v>
      </c>
    </row>
    <row r="28" spans="1:22" hidden="1">
      <c r="A28" s="56" t="s">
        <v>360</v>
      </c>
      <c r="B28" s="56" t="s">
        <v>29</v>
      </c>
      <c r="C28" s="56" t="s">
        <v>361</v>
      </c>
      <c r="D28" s="56" t="s">
        <v>22</v>
      </c>
      <c r="E28" s="56" t="s">
        <v>2939</v>
      </c>
      <c r="F28" s="56" t="s">
        <v>2940</v>
      </c>
      <c r="G28" s="56">
        <v>192</v>
      </c>
      <c r="H28" s="56">
        <v>0</v>
      </c>
      <c r="I28" s="58">
        <v>0</v>
      </c>
      <c r="J28" s="56" t="s">
        <v>2941</v>
      </c>
      <c r="K28" s="56" t="s">
        <v>1893</v>
      </c>
      <c r="L28" s="56" t="s">
        <v>2942</v>
      </c>
      <c r="M28" s="56" t="str">
        <f>HYPERLINK("https://dribble.octin.io/?mode=Single+log&amp;log_id=3ada1a4c-82c6-49ab-8d15-d4b4231830ef","URL")</f>
        <v>URL</v>
      </c>
      <c r="N28" s="56" t="s">
        <v>2933</v>
      </c>
      <c r="O28" t="str">
        <f>_xlfn.XLOOKUP(N28,'Error-codes'!$C$2:$C$130,'Error-codes'!$B$2:$B$130, "None")</f>
        <v>inductive sensor error</v>
      </c>
      <c r="P28" s="46" t="str">
        <f>_xlfn.XLOOKUP($A28,support_3rdline!$B$2:$B$150,support_3rdline!P$2:P$150,"")</f>
        <v>&lt;=</v>
      </c>
      <c r="Q28" s="46">
        <f>_xlfn.XLOOKUP($A28,support_3rdline!$B$2:$B$150,support_3rdline!Q$2:Q$150,"")</f>
        <v>0</v>
      </c>
      <c r="R28" s="46"/>
      <c r="S28" s="46">
        <f>_xlfn.XLOOKUP($A28,support_3rdline!$B$2:$B$150,support_3rdline!R$2:R$150,"")</f>
        <v>0</v>
      </c>
      <c r="T28" s="46">
        <f>_xlfn.XLOOKUP($A28,support_3rdline!$B$2:$B$150,support_3rdline!S$2:S$150,"")</f>
        <v>0</v>
      </c>
      <c r="U28" s="81">
        <f>DATEVALUE(LEFT(F28,10))</f>
        <v>44818</v>
      </c>
      <c r="V28" s="46">
        <f>_xlfn.XLOOKUP($A28,support_3rdline!$B$2:$B$150,support_3rdline!T$2:T$150,"")</f>
        <v>0</v>
      </c>
    </row>
    <row r="29" spans="1:22" ht="30.75" hidden="1">
      <c r="A29" s="56" t="s">
        <v>362</v>
      </c>
      <c r="B29" s="56" t="s">
        <v>29</v>
      </c>
      <c r="C29" s="56" t="s">
        <v>363</v>
      </c>
      <c r="D29" s="56" t="s">
        <v>37</v>
      </c>
      <c r="E29" s="56" t="s">
        <v>2939</v>
      </c>
      <c r="F29" s="56" t="s">
        <v>3510</v>
      </c>
      <c r="G29" s="56">
        <v>192</v>
      </c>
      <c r="H29" s="56">
        <v>6</v>
      </c>
      <c r="I29" s="58">
        <v>3.125E-2</v>
      </c>
      <c r="J29" s="56" t="s">
        <v>353</v>
      </c>
      <c r="K29" s="56" t="s">
        <v>1893</v>
      </c>
      <c r="L29" s="56" t="s">
        <v>2942</v>
      </c>
      <c r="M29" s="56" t="str">
        <f>HYPERLINK("https://dribble.octin.io/?mode=Single+log&amp;log_id=8a86a657-b8f8-413c-9c6d-ebf77eb98a83","URL")</f>
        <v>URL</v>
      </c>
      <c r="N29" s="56" t="s">
        <v>3450</v>
      </c>
      <c r="O29" t="str">
        <f>_xlfn.XLOOKUP(N29,'Error-codes'!$C$2:$C$130,'Error-codes'!$B$2:$B$130, "None")</f>
        <v>xtheta sensor error</v>
      </c>
      <c r="P29" s="46">
        <f>_xlfn.XLOOKUP($A29,support_3rdline!$B$2:$B$150,support_3rdline!P$2:P$150,"")</f>
        <v>0</v>
      </c>
      <c r="Q29" s="46" t="str">
        <f>_xlfn.XLOOKUP($A29,support_3rdline!$B$2:$B$150,support_3rdline!Q$2:Q$150,"")</f>
        <v>herkalibratie door kasper</v>
      </c>
      <c r="R29" s="46"/>
      <c r="S29" s="46">
        <f>_xlfn.XLOOKUP($A29,support_3rdline!$B$2:$B$150,support_3rdline!R$2:R$150,"")</f>
        <v>0</v>
      </c>
      <c r="T29" s="46">
        <f>_xlfn.XLOOKUP($A29,support_3rdline!$B$2:$B$150,support_3rdline!S$2:S$150,"")</f>
        <v>0</v>
      </c>
      <c r="U29" s="81">
        <f>DATEVALUE(LEFT(F29,10))</f>
        <v>44818</v>
      </c>
      <c r="V29" s="46">
        <f>_xlfn.XLOOKUP($A29,support_3rdline!$B$2:$B$150,support_3rdline!T$2:T$150,"")</f>
        <v>0</v>
      </c>
    </row>
    <row r="30" spans="1:22" ht="30.75" hidden="1">
      <c r="A30" s="56" t="s">
        <v>364</v>
      </c>
      <c r="B30" s="56" t="s">
        <v>29</v>
      </c>
      <c r="C30" s="56" t="s">
        <v>363</v>
      </c>
      <c r="D30" s="56" t="s">
        <v>37</v>
      </c>
      <c r="E30" s="56" t="s">
        <v>3507</v>
      </c>
      <c r="F30" s="56" t="s">
        <v>3511</v>
      </c>
      <c r="G30" s="56">
        <v>192</v>
      </c>
      <c r="H30" s="56">
        <v>12</v>
      </c>
      <c r="I30" s="58">
        <v>6.25E-2</v>
      </c>
      <c r="J30" s="56" t="s">
        <v>365</v>
      </c>
      <c r="K30" s="56" t="s">
        <v>1893</v>
      </c>
      <c r="L30" s="56" t="s">
        <v>2942</v>
      </c>
      <c r="M30" s="56" t="str">
        <f>HYPERLINK("https://dribble.octin.io/?mode=Single+log&amp;log_id=7846f0ee-0476-45db-8e5c-b0660b1a12e8","URL")</f>
        <v>URL</v>
      </c>
      <c r="N30" s="56" t="s">
        <v>3450</v>
      </c>
      <c r="O30" t="str">
        <f>_xlfn.XLOOKUP(N30,'Error-codes'!$C$2:$C$130,'Error-codes'!$B$2:$B$130, "None")</f>
        <v>xtheta sensor error</v>
      </c>
      <c r="P30" s="46">
        <f>_xlfn.XLOOKUP($A30,support_3rdline!$B$2:$B$150,support_3rdline!P$2:P$150,"")</f>
        <v>0</v>
      </c>
      <c r="Q30" s="46" t="str">
        <f>_xlfn.XLOOKUP($A30,support_3rdline!$B$2:$B$150,support_3rdline!Q$2:Q$150,"")</f>
        <v>herkalibratie door kasper</v>
      </c>
      <c r="R30" s="46"/>
      <c r="S30" s="46">
        <f>_xlfn.XLOOKUP($A30,support_3rdline!$B$2:$B$150,support_3rdline!R$2:R$150,"")</f>
        <v>0</v>
      </c>
      <c r="T30" s="46">
        <f>_xlfn.XLOOKUP($A30,support_3rdline!$B$2:$B$150,support_3rdline!S$2:S$150,"")</f>
        <v>0</v>
      </c>
      <c r="U30" s="81">
        <f>DATEVALUE(LEFT(F30,10))</f>
        <v>44818</v>
      </c>
      <c r="V30" s="46">
        <f>_xlfn.XLOOKUP($A30,support_3rdline!$B$2:$B$150,support_3rdline!T$2:T$150,"")</f>
        <v>0</v>
      </c>
    </row>
    <row r="31" spans="1:22" hidden="1">
      <c r="B31" s="56" t="s">
        <v>295</v>
      </c>
      <c r="C31" s="56" t="s">
        <v>2584</v>
      </c>
      <c r="D31" s="56" t="s">
        <v>388</v>
      </c>
      <c r="F31" s="56" t="s">
        <v>2587</v>
      </c>
      <c r="G31" s="56">
        <v>59</v>
      </c>
      <c r="H31" s="56">
        <v>59</v>
      </c>
      <c r="I31" s="58">
        <v>1</v>
      </c>
      <c r="K31" s="56" t="s">
        <v>1873</v>
      </c>
      <c r="L31" s="56" t="s">
        <v>2942</v>
      </c>
      <c r="O31">
        <f>_xlfn.XLOOKUP(N31,'Error-codes'!$C$2:$C$130,'Error-codes'!$B$2:$B$130, "None")</f>
        <v>0</v>
      </c>
      <c r="P31" s="46">
        <f>_xlfn.XLOOKUP($A31,support_3rdline!$B$2:$B$150,support_3rdline!P$2:P$150,"")</f>
        <v>0</v>
      </c>
      <c r="Q31" s="46">
        <f>_xlfn.XLOOKUP($A31,support_3rdline!$B$2:$B$150,support_3rdline!Q$2:Q$150,"")</f>
        <v>0</v>
      </c>
      <c r="R31" s="46"/>
      <c r="S31" s="46">
        <f>_xlfn.XLOOKUP($A31,support_3rdline!$B$2:$B$150,support_3rdline!R$2:R$150,"")</f>
        <v>0</v>
      </c>
      <c r="T31" s="46">
        <f>_xlfn.XLOOKUP($A31,support_3rdline!$B$2:$B$150,support_3rdline!S$2:S$150,"")</f>
        <v>0</v>
      </c>
      <c r="U31" s="81">
        <f>DATEVALUE(LEFT(F31,10))</f>
        <v>44819</v>
      </c>
      <c r="V31" s="46">
        <f>_xlfn.XLOOKUP($A31,support_3rdline!$B$2:$B$150,support_3rdline!T$2:T$150,"")</f>
        <v>0</v>
      </c>
    </row>
    <row r="32" spans="1:22" hidden="1">
      <c r="B32" s="56" t="s">
        <v>2886</v>
      </c>
      <c r="C32" s="56" t="s">
        <v>2595</v>
      </c>
      <c r="D32" s="56" t="s">
        <v>388</v>
      </c>
      <c r="F32" s="56" t="s">
        <v>2598</v>
      </c>
      <c r="G32" s="56">
        <v>5</v>
      </c>
      <c r="H32" s="56">
        <v>5</v>
      </c>
      <c r="I32" s="58">
        <v>1</v>
      </c>
      <c r="K32" s="56" t="s">
        <v>2166</v>
      </c>
      <c r="L32" s="56" t="s">
        <v>2932</v>
      </c>
      <c r="O32">
        <f>_xlfn.XLOOKUP(N32,'Error-codes'!$C$2:$C$130,'Error-codes'!$B$2:$B$130, "None")</f>
        <v>0</v>
      </c>
      <c r="P32" s="46">
        <f>_xlfn.XLOOKUP(A32,support_3rdline!$B$2:$B$150,support_3rdline!P$2:P$150,"")</f>
        <v>0</v>
      </c>
      <c r="Q32" s="46">
        <f>_xlfn.XLOOKUP($A32,support_3rdline!$B$2:$B$150,support_3rdline!Q$2:Q$150,"")</f>
        <v>0</v>
      </c>
      <c r="R32" s="46"/>
      <c r="S32" s="46">
        <f>_xlfn.XLOOKUP($A32,support_3rdline!$B$2:$B$150,support_3rdline!R$2:R$150,"")</f>
        <v>0</v>
      </c>
      <c r="T32" s="46">
        <f>_xlfn.XLOOKUP($A32,support_3rdline!$B$2:$B$150,support_3rdline!S$2:S$150,"")</f>
        <v>0</v>
      </c>
      <c r="U32" s="81">
        <f>DATEVALUE(LEFT(F32,10))</f>
        <v>44819</v>
      </c>
      <c r="V32" s="46">
        <f>_xlfn.XLOOKUP($A32,support_3rdline!$B$2:$B$150,support_3rdline!T$2:T$150,"")</f>
        <v>0</v>
      </c>
    </row>
    <row r="33" spans="1:22" hidden="1">
      <c r="A33" s="56" t="s">
        <v>366</v>
      </c>
      <c r="B33" s="56" t="s">
        <v>29</v>
      </c>
      <c r="C33" s="56" t="s">
        <v>367</v>
      </c>
      <c r="D33" s="56" t="s">
        <v>37</v>
      </c>
      <c r="E33" s="56" t="s">
        <v>3512</v>
      </c>
      <c r="F33" s="56" t="s">
        <v>3513</v>
      </c>
      <c r="G33" s="56">
        <v>85</v>
      </c>
      <c r="H33" s="56">
        <v>0</v>
      </c>
      <c r="I33" s="58">
        <v>0</v>
      </c>
      <c r="J33" s="56" t="s">
        <v>293</v>
      </c>
      <c r="K33" s="56" t="s">
        <v>1893</v>
      </c>
      <c r="L33" s="56" t="s">
        <v>2942</v>
      </c>
      <c r="M33" s="56" t="str">
        <f>HYPERLINK("https://dribble.octin.io/?mode=Single+log&amp;log_id=3320714b-9a36-47d6-b834-368f8f1a4c03","URL")</f>
        <v>URL</v>
      </c>
      <c r="N33" s="56" t="s">
        <v>3458</v>
      </c>
      <c r="O33" t="str">
        <f>_xlfn.XLOOKUP(N33,'Error-codes'!$C$2:$C$130,'Error-codes'!$B$2:$B$130, "None")</f>
        <v>motor drive: UNDER VOLTAGE</v>
      </c>
      <c r="P33" s="46" t="str">
        <f>_xlfn.XLOOKUP($A33,support_3rdline!$B$2:$B$150,support_3rdline!P$2:P$150,"")</f>
        <v>&lt;=</v>
      </c>
      <c r="Q33" s="46" t="str">
        <f>_xlfn.XLOOKUP($A33,support_3rdline!$B$2:$B$150,support_3rdline!Q$2:Q$150,"")</f>
        <v>?</v>
      </c>
      <c r="R33" s="46"/>
      <c r="S33" s="46">
        <f>_xlfn.XLOOKUP($A33,support_3rdline!$B$2:$B$150,support_3rdline!R$2:R$150,"")</f>
        <v>0</v>
      </c>
      <c r="T33" s="46">
        <f>_xlfn.XLOOKUP($A33,support_3rdline!$B$2:$B$150,support_3rdline!S$2:S$150,"")</f>
        <v>0</v>
      </c>
      <c r="U33" s="81">
        <f>DATEVALUE(LEFT(F33,10))</f>
        <v>44819</v>
      </c>
      <c r="V33" s="46">
        <f>_xlfn.XLOOKUP($A33,support_3rdline!$B$2:$B$150,support_3rdline!T$2:T$150,"")</f>
        <v>0</v>
      </c>
    </row>
    <row r="34" spans="1:22" hidden="1">
      <c r="A34" s="56" t="s">
        <v>368</v>
      </c>
      <c r="B34" s="56" t="s">
        <v>29</v>
      </c>
      <c r="C34" s="56" t="s">
        <v>369</v>
      </c>
      <c r="D34" s="56"/>
      <c r="E34" s="56" t="s">
        <v>3514</v>
      </c>
      <c r="F34" s="56" t="s">
        <v>3515</v>
      </c>
      <c r="G34" s="56">
        <v>174</v>
      </c>
      <c r="H34" s="56">
        <v>0</v>
      </c>
      <c r="I34" s="58">
        <v>0</v>
      </c>
      <c r="J34" s="56" t="s">
        <v>158</v>
      </c>
      <c r="K34" s="56" t="s">
        <v>1893</v>
      </c>
      <c r="L34" s="56" t="s">
        <v>2942</v>
      </c>
      <c r="M34" s="56" t="str">
        <f>HYPERLINK("https://dribble.octin.io/?mode=Single+log&amp;log_id=d42ca90e-a8eb-4205-8c65-7a2e7df9f5b0","URL")</f>
        <v>URL</v>
      </c>
      <c r="N34" s="56" t="s">
        <v>3428</v>
      </c>
      <c r="O34" t="str">
        <f>_xlfn.XLOOKUP(N34,'Error-codes'!$C$2:$C$130,'Error-codes'!$B$2:$B$130, "None")</f>
        <v>received error from global planner while in {} state</v>
      </c>
      <c r="P34" s="46" t="str">
        <f>_xlfn.XLOOKUP($A34,support_3rdline!$B$2:$B$150,support_3rdline!P$2:P$150,"")</f>
        <v>&lt;=</v>
      </c>
      <c r="Q34" s="46" t="str">
        <f>_xlfn.XLOOKUP($A34,support_3rdline!$B$2:$B$150,support_3rdline!Q$2:Q$150,"")</f>
        <v>?</v>
      </c>
      <c r="R34" s="46"/>
      <c r="S34" s="46">
        <f>_xlfn.XLOOKUP($A34,support_3rdline!$B$2:$B$150,support_3rdline!R$2:R$150,"")</f>
        <v>0</v>
      </c>
      <c r="T34" s="46">
        <f>_xlfn.XLOOKUP($A34,support_3rdline!$B$2:$B$150,support_3rdline!S$2:S$150,"")</f>
        <v>0</v>
      </c>
      <c r="U34" s="81">
        <f>DATEVALUE(LEFT(F34,10))</f>
        <v>44819</v>
      </c>
      <c r="V34" s="46">
        <f>_xlfn.XLOOKUP($A34,support_3rdline!$B$2:$B$150,support_3rdline!T$2:T$150,"")</f>
        <v>0</v>
      </c>
    </row>
    <row r="35" spans="1:22" hidden="1">
      <c r="A35" s="56" t="s">
        <v>371</v>
      </c>
      <c r="B35" s="56" t="s">
        <v>295</v>
      </c>
      <c r="C35" s="56" t="s">
        <v>372</v>
      </c>
      <c r="D35" s="56" t="s">
        <v>37</v>
      </c>
      <c r="E35" s="56" t="s">
        <v>3516</v>
      </c>
      <c r="F35" s="56" t="s">
        <v>3517</v>
      </c>
      <c r="G35" s="56">
        <v>193</v>
      </c>
      <c r="H35" s="56">
        <v>22</v>
      </c>
      <c r="I35" s="58">
        <v>0.11398963730569948</v>
      </c>
      <c r="J35" s="56" t="s">
        <v>373</v>
      </c>
      <c r="K35" s="56" t="s">
        <v>1893</v>
      </c>
      <c r="L35" s="56" t="s">
        <v>2942</v>
      </c>
      <c r="M35" s="56" t="str">
        <f>HYPERLINK("https://dribble.octin.io/?mode=Single+log&amp;log_id=9ef56a0d-16cd-48ab-849a-970240a0238f","URL")</f>
        <v>URL</v>
      </c>
      <c r="N35" s="56" t="s">
        <v>3426</v>
      </c>
      <c r="O35" t="str">
        <f>_xlfn.XLOOKUP(N35,'Error-codes'!$C$2:$C$130,'Error-codes'!$B$2:$B$130, "None")</f>
        <v>low level fsm is no longer executing the given command</v>
      </c>
      <c r="P35" s="46" t="str">
        <f>_xlfn.XLOOKUP($A35,support_3rdline!$B$2:$B$150,support_3rdline!P$2:P$150,"")</f>
        <v>&lt;=</v>
      </c>
      <c r="Q35" s="46" t="str">
        <f>_xlfn.XLOOKUP($A35,support_3rdline!$B$2:$B$150,support_3rdline!Q$2:Q$150,"")</f>
        <v>/</v>
      </c>
      <c r="R35" s="46"/>
      <c r="S35" s="46" t="str">
        <f>_xlfn.XLOOKUP($A35,support_3rdline!$B$2:$B$150,support_3rdline!R$2:R$150,"")</f>
        <v>/</v>
      </c>
      <c r="T35" s="46">
        <f>_xlfn.XLOOKUP($A35,support_3rdline!$B$2:$B$150,support_3rdline!S$2:S$150,"")</f>
        <v>0</v>
      </c>
      <c r="U35" s="81">
        <f>DATEVALUE(LEFT(F35,10))</f>
        <v>44819</v>
      </c>
      <c r="V35" s="46">
        <f>_xlfn.XLOOKUP($A35,support_3rdline!$B$2:$B$150,support_3rdline!T$2:T$150,"")</f>
        <v>0</v>
      </c>
    </row>
    <row r="36" spans="1:22" ht="30.75" hidden="1">
      <c r="A36" s="56" t="s">
        <v>376</v>
      </c>
      <c r="B36" s="56" t="s">
        <v>29</v>
      </c>
      <c r="C36" s="56" t="s">
        <v>377</v>
      </c>
      <c r="D36" s="56" t="s">
        <v>37</v>
      </c>
      <c r="E36" s="56" t="s">
        <v>2939</v>
      </c>
      <c r="F36" s="56" t="s">
        <v>3518</v>
      </c>
      <c r="G36" s="56">
        <v>152</v>
      </c>
      <c r="H36" s="56">
        <v>26</v>
      </c>
      <c r="I36" s="58">
        <v>0.17105263157894737</v>
      </c>
      <c r="J36" s="56" t="s">
        <v>3519</v>
      </c>
      <c r="K36" s="56" t="s">
        <v>1893</v>
      </c>
      <c r="L36" s="56" t="s">
        <v>2942</v>
      </c>
      <c r="M36" s="56" t="str">
        <f>HYPERLINK("https://dribble.octin.io/?mode=Single+log&amp;log_id=89d23ecb-f215-4fd2-a3f9-724d69ad19fe","URL")</f>
        <v>URL</v>
      </c>
      <c r="N36" s="56" t="s">
        <v>3442</v>
      </c>
      <c r="O36" t="str">
        <f>_xlfn.XLOOKUP(N36,'Error-codes'!$C$2:$C$130,'Error-codes'!$B$2:$B$130, "None")</f>
        <v>vehicle diverged too far from trajectory</v>
      </c>
      <c r="P36" s="46">
        <f>_xlfn.XLOOKUP($A36,support_3rdline!$B$2:$B$150,support_3rdline!P$2:P$150,"")</f>
        <v>0</v>
      </c>
      <c r="Q36" s="46" t="str">
        <f>_xlfn.XLOOKUP($A36,support_3rdline!$B$2:$B$150,support_3rdline!Q$2:Q$150,"")</f>
        <v>herkalibratie kasper</v>
      </c>
      <c r="R36" s="46"/>
      <c r="S36" s="46">
        <f>_xlfn.XLOOKUP($A36,support_3rdline!$B$2:$B$150,support_3rdline!R$2:R$150,"")</f>
        <v>0</v>
      </c>
      <c r="T36" s="46">
        <f>_xlfn.XLOOKUP($A36,support_3rdline!$B$2:$B$150,support_3rdline!S$2:S$150,"")</f>
        <v>0</v>
      </c>
      <c r="U36" s="81">
        <f>DATEVALUE(LEFT(F36,10))</f>
        <v>44819</v>
      </c>
      <c r="V36" s="46">
        <f>_xlfn.XLOOKUP($A36,support_3rdline!$B$2:$B$150,support_3rdline!T$2:T$150,"")</f>
        <v>0</v>
      </c>
    </row>
    <row r="37" spans="1:22" ht="30.75" hidden="1">
      <c r="A37" s="56" t="s">
        <v>378</v>
      </c>
      <c r="B37" s="56" t="s">
        <v>29</v>
      </c>
      <c r="C37" s="56" t="s">
        <v>377</v>
      </c>
      <c r="D37" s="56" t="s">
        <v>37</v>
      </c>
      <c r="E37" s="56" t="s">
        <v>2944</v>
      </c>
      <c r="F37" s="56" t="s">
        <v>2945</v>
      </c>
      <c r="G37" s="56">
        <v>152</v>
      </c>
      <c r="H37" s="56">
        <v>27</v>
      </c>
      <c r="I37" s="58">
        <v>0.17763157894736842</v>
      </c>
      <c r="J37" s="56" t="s">
        <v>245</v>
      </c>
      <c r="K37" s="56" t="s">
        <v>1893</v>
      </c>
      <c r="L37" s="56" t="s">
        <v>2942</v>
      </c>
      <c r="M37" s="56" t="str">
        <f>HYPERLINK("https://dribble.octin.io/?mode=Single+log&amp;log_id=2b229780-a523-4034-a074-fe0f59797fae","URL")</f>
        <v>URL</v>
      </c>
      <c r="N37" s="56" t="s">
        <v>2933</v>
      </c>
      <c r="O37" t="str">
        <f>_xlfn.XLOOKUP(N37,'Error-codes'!$C$2:$C$130,'Error-codes'!$B$2:$B$130, "None")</f>
        <v>inductive sensor error</v>
      </c>
      <c r="P37" s="46">
        <f>_xlfn.XLOOKUP($A37,support_3rdline!$B$2:$B$150,support_3rdline!P$2:P$150,"")</f>
        <v>0</v>
      </c>
      <c r="Q37" s="46" t="str">
        <f>_xlfn.XLOOKUP($A37,support_3rdline!$B$2:$B$150,support_3rdline!Q$2:Q$150,"")</f>
        <v>herkalibratie kasper</v>
      </c>
      <c r="R37" s="46"/>
      <c r="S37" s="46">
        <f>_xlfn.XLOOKUP($A37,support_3rdline!$B$2:$B$150,support_3rdline!R$2:R$150,"")</f>
        <v>0</v>
      </c>
      <c r="T37" s="46">
        <f>_xlfn.XLOOKUP($A37,support_3rdline!$B$2:$B$150,support_3rdline!S$2:S$150,"")</f>
        <v>0</v>
      </c>
      <c r="U37" s="81">
        <f>DATEVALUE(LEFT(F37,10))</f>
        <v>44819</v>
      </c>
      <c r="V37" s="46">
        <f>_xlfn.XLOOKUP($A37,support_3rdline!$B$2:$B$150,support_3rdline!T$2:T$150,"")</f>
        <v>0</v>
      </c>
    </row>
    <row r="38" spans="1:22" ht="30.75" hidden="1">
      <c r="A38" s="56" t="s">
        <v>383</v>
      </c>
      <c r="B38" s="56" t="s">
        <v>29</v>
      </c>
      <c r="C38" s="56" t="s">
        <v>384</v>
      </c>
      <c r="D38" s="56" t="s">
        <v>37</v>
      </c>
      <c r="E38" s="56" t="s">
        <v>2939</v>
      </c>
      <c r="F38" s="56" t="s">
        <v>3520</v>
      </c>
      <c r="G38" s="56">
        <v>125</v>
      </c>
      <c r="H38" s="56">
        <v>19</v>
      </c>
      <c r="I38" s="58">
        <v>0.152</v>
      </c>
      <c r="J38" s="56" t="s">
        <v>416</v>
      </c>
      <c r="K38" s="56" t="s">
        <v>1893</v>
      </c>
      <c r="L38" s="56" t="s">
        <v>2942</v>
      </c>
      <c r="M38" s="56" t="str">
        <f>HYPERLINK("https://dribble.octin.io/?mode=Single+log&amp;log_id=f90bb712-cd56-48e9-82c1-2d94af4da606","URL")</f>
        <v>URL</v>
      </c>
      <c r="N38" s="56" t="s">
        <v>3442</v>
      </c>
      <c r="O38" t="str">
        <f>_xlfn.XLOOKUP(N38,'Error-codes'!$C$2:$C$130,'Error-codes'!$B$2:$B$130, "None")</f>
        <v>vehicle diverged too far from trajectory</v>
      </c>
      <c r="P38" s="46" t="str">
        <f>_xlfn.XLOOKUP($A38,support_3rdline!$B$2:$B$150,support_3rdline!P$2:P$150,"")</f>
        <v>Robot gaat vlak voor uitrijden lane in error, lane met controlebox</v>
      </c>
      <c r="Q38" s="46">
        <f>_xlfn.XLOOKUP($A38,support_3rdline!$B$2:$B$150,support_3rdline!Q$2:Q$150,"")</f>
        <v>0</v>
      </c>
      <c r="R38" s="46"/>
      <c r="S38" s="46">
        <f>_xlfn.XLOOKUP($A38,support_3rdline!$B$2:$B$150,support_3rdline!R$2:R$150,"")</f>
        <v>0</v>
      </c>
      <c r="T38" s="46">
        <f>_xlfn.XLOOKUP($A38,support_3rdline!$B$2:$B$150,support_3rdline!S$2:S$150,"")</f>
        <v>0</v>
      </c>
      <c r="U38" s="81">
        <f>DATEVALUE(LEFT(F38,10))</f>
        <v>44819</v>
      </c>
      <c r="V38" s="46">
        <f>_xlfn.XLOOKUP($A38,support_3rdline!$B$2:$B$150,support_3rdline!T$2:T$150,"")</f>
        <v>0</v>
      </c>
    </row>
    <row r="39" spans="1:22" ht="45.75" hidden="1">
      <c r="A39" s="56" t="s">
        <v>389</v>
      </c>
      <c r="B39" s="56" t="s">
        <v>295</v>
      </c>
      <c r="C39" s="56" t="s">
        <v>390</v>
      </c>
      <c r="D39" s="56"/>
      <c r="E39" s="56" t="s">
        <v>2939</v>
      </c>
      <c r="F39" s="56" t="s">
        <v>3521</v>
      </c>
      <c r="G39" s="56">
        <v>140</v>
      </c>
      <c r="H39" s="56">
        <v>1</v>
      </c>
      <c r="I39" s="58">
        <v>7.1428571428571426E-3</v>
      </c>
      <c r="J39" s="56" t="s">
        <v>3522</v>
      </c>
      <c r="K39" s="56" t="s">
        <v>1873</v>
      </c>
      <c r="L39" s="56" t="s">
        <v>2942</v>
      </c>
      <c r="M39" s="56" t="str">
        <f>HYPERLINK("https://dribble.octin.io/?mode=Single+log&amp;log_id=e3205a13-9c50-49b7-91cf-ef0c7271bc6e","URL")</f>
        <v>URL</v>
      </c>
      <c r="N39" s="56" t="s">
        <v>3428</v>
      </c>
      <c r="O39" t="str">
        <f>_xlfn.XLOOKUP(N39,'Error-codes'!$C$2:$C$130,'Error-codes'!$B$2:$B$130, "None")</f>
        <v>received error from global planner while in {} state</v>
      </c>
      <c r="P39" s="46" t="str">
        <f>_xlfn.XLOOKUP($A39,support_3rdline!$B$2:$B$150,support_3rdline!P$2:P$150,"")</f>
        <v>robot komt 'bruusk' uit lane, doet laneswithc, ah einde lijkt hij tegen de rails van volgende lane aan te botsen</v>
      </c>
      <c r="Q39" s="51" t="s">
        <v>3523</v>
      </c>
      <c r="R39" s="51"/>
      <c r="S39" s="46">
        <f>_xlfn.XLOOKUP($A39,support_3rdline!$B$2:$B$150,support_3rdline!R$2:R$150,"")</f>
        <v>0</v>
      </c>
      <c r="T39" s="46">
        <f>_xlfn.XLOOKUP($A39,support_3rdline!$B$2:$B$150,support_3rdline!S$2:S$150,"")</f>
        <v>0</v>
      </c>
      <c r="U39" s="81">
        <f>DATEVALUE(LEFT(F39,10))</f>
        <v>44819</v>
      </c>
      <c r="V39" s="46">
        <f>_xlfn.XLOOKUP($A39,support_3rdline!$B$2:$B$150,support_3rdline!T$2:T$150,"")</f>
        <v>0</v>
      </c>
    </row>
    <row r="40" spans="1:22" ht="30.75" hidden="1">
      <c r="A40" s="71" t="s">
        <v>386</v>
      </c>
      <c r="B40" s="56" t="s">
        <v>29</v>
      </c>
      <c r="C40" s="56" t="s">
        <v>387</v>
      </c>
      <c r="D40" s="56" t="s">
        <v>37</v>
      </c>
      <c r="F40" s="56" t="s">
        <v>2633</v>
      </c>
      <c r="G40" s="56">
        <v>104</v>
      </c>
      <c r="H40" s="56">
        <v>103</v>
      </c>
      <c r="I40" s="58">
        <v>0.99</v>
      </c>
      <c r="K40" s="56" t="s">
        <v>1893</v>
      </c>
      <c r="L40" s="56" t="s">
        <v>2942</v>
      </c>
      <c r="M40" s="45" t="str" cm="1">
        <f t="array" aca="1" ref="M40" ca="1">HYPERLINK("#" &amp; CELL("address", _xlfn.XLOOKUP($A40,Errors!$A:$A,Errors!N:N)))</f>
        <v>#[VRS_RobotData.xlsx]Errors!$N$128</v>
      </c>
      <c r="N40" t="s">
        <v>3442</v>
      </c>
      <c r="O40" t="str">
        <f>_xlfn.XLOOKUP(N40,'Error-codes'!$C$2:$C$130,'Error-codes'!$B$2:$B$130, "None")</f>
        <v>vehicle diverged too far from trajectory</v>
      </c>
      <c r="P40" s="46" t="str">
        <f>_xlfn.XLOOKUP($A40,support_3rdline!$B$2:$B$150,support_3rdline!P$2:P$150,"")</f>
        <v>Robot gaat vlak voor uitrijden lane in error, lane met controlebox</v>
      </c>
      <c r="Q40" s="46">
        <f>_xlfn.XLOOKUP($A40,support_3rdline!$B$2:$B$150,support_3rdline!Q$2:Q$150,"")</f>
        <v>0</v>
      </c>
      <c r="R40" s="46"/>
      <c r="S40" s="46">
        <f>_xlfn.XLOOKUP($A40,support_3rdline!$B$2:$B$150,support_3rdline!R$2:R$150,"")</f>
        <v>0</v>
      </c>
      <c r="T40" s="46">
        <f>_xlfn.XLOOKUP($A40,support_3rdline!$B$2:$B$150,support_3rdline!S$2:S$150,"")</f>
        <v>0</v>
      </c>
      <c r="U40" s="81">
        <f>DATEVALUE(LEFT(F40,10))</f>
        <v>44819</v>
      </c>
      <c r="V40" s="46">
        <f>_xlfn.XLOOKUP($A40,support_3rdline!$B$2:$B$150,support_3rdline!T$2:T$150,"")</f>
        <v>0</v>
      </c>
    </row>
    <row r="41" spans="1:22" ht="106.5" hidden="1">
      <c r="A41" s="56" t="s">
        <v>391</v>
      </c>
      <c r="B41" s="56" t="s">
        <v>295</v>
      </c>
      <c r="C41" s="56" t="s">
        <v>392</v>
      </c>
      <c r="D41" s="56" t="s">
        <v>37</v>
      </c>
      <c r="E41" s="56" t="s">
        <v>3493</v>
      </c>
      <c r="F41" s="56" t="s">
        <v>3524</v>
      </c>
      <c r="G41" s="56">
        <v>137</v>
      </c>
      <c r="H41" s="56">
        <v>129</v>
      </c>
      <c r="I41" s="58">
        <v>0.94160583941605835</v>
      </c>
      <c r="J41" s="56" t="s">
        <v>393</v>
      </c>
      <c r="K41" s="56" t="s">
        <v>1873</v>
      </c>
      <c r="L41" s="56" t="s">
        <v>2942</v>
      </c>
      <c r="M41" s="56" t="str">
        <f>HYPERLINK("https://dribble.octin.io/?mode=Single+log&amp;log_id=87f4aecc-1ff8-417c-befe-0cd40fd6d51d","URL")</f>
        <v>URL</v>
      </c>
      <c r="N41" s="56" t="s">
        <v>3446</v>
      </c>
      <c r="O41" t="str">
        <f>_xlfn.XLOOKUP(N41,'Error-codes'!$C$2:$C$130,'Error-codes'!$B$2:$B$130, "None")</f>
        <v>end of lane wall sensor error</v>
      </c>
      <c r="P41" s="46" t="str">
        <f>_xlfn.XLOOKUP($A41,support_3rdline!$B$2:$B$150,support_3rdline!P$2:P$150,"")</f>
        <v>robot rijdt in de lane, komt aan het einde (wall) en gaat dan in error</v>
      </c>
      <c r="Q41" s="51" t="s">
        <v>3523</v>
      </c>
      <c r="R41" s="51"/>
      <c r="S41" s="46" t="str">
        <f>_xlfn.XLOOKUP($A41,support_3rdline!$B$2:$B$150,support_3rdline!R$2:R$150,"")</f>
        <v>net voor einde zit er onder de rails een muurtje, ligt 1.5m voor effectieve beton. Destijds beslist om daar niet naar te kijken (zmin=0). MAAR: door nieuwe wielen =&gt; verschillende wielgroottes =&gt; kijkt de robot nu naar beneden. Robot ziet muurtje voordat de echte muur zichtbaar is. zmin op 0.1 =&gt; komt muurtje niet meer in beeld. MAAR we zien minder van de echte muur! Pitch verschil: 1.5deg =&gt; toch toevoegen als parameter in visie (twee tov !?</v>
      </c>
      <c r="T41" s="46" t="str">
        <f>_xlfn.XLOOKUP($A41,support_3rdline!$B$2:$B$150,support_3rdline!S$2:S$150,"")</f>
        <v>SW aanpassen zodat pitch in rekening wordt gebracht. Voorlopig afwachten of vaker voorvalt</v>
      </c>
      <c r="U41" s="81">
        <f>DATEVALUE(LEFT(F41,10))</f>
        <v>44820</v>
      </c>
      <c r="V41" s="46">
        <f>_xlfn.XLOOKUP($A41,support_3rdline!$B$2:$B$150,support_3rdline!T$2:T$150,"")</f>
        <v>0</v>
      </c>
    </row>
    <row r="42" spans="1:22" hidden="1">
      <c r="B42" s="56" t="s">
        <v>2886</v>
      </c>
      <c r="C42" s="56" t="s">
        <v>2641</v>
      </c>
      <c r="D42" s="56" t="s">
        <v>388</v>
      </c>
      <c r="F42" s="56" t="s">
        <v>2644</v>
      </c>
      <c r="G42" s="56">
        <v>4</v>
      </c>
      <c r="H42" s="56">
        <v>4</v>
      </c>
      <c r="I42" s="58">
        <v>1</v>
      </c>
      <c r="K42" s="56" t="s">
        <v>2166</v>
      </c>
      <c r="L42" s="56" t="s">
        <v>2932</v>
      </c>
      <c r="O42">
        <f>_xlfn.XLOOKUP(N42,'Error-codes'!$C$2:$C$130,'Error-codes'!$B$2:$B$130, "None")</f>
        <v>0</v>
      </c>
      <c r="P42" s="46">
        <f>_xlfn.XLOOKUP(A42,support_3rdline!$B$2:$B$150,support_3rdline!P$2:P$150,"")</f>
        <v>0</v>
      </c>
      <c r="Q42" s="46">
        <f>_xlfn.XLOOKUP($A42,support_3rdline!$B$2:$B$150,support_3rdline!Q$2:Q$150,"")</f>
        <v>0</v>
      </c>
      <c r="R42" s="46"/>
      <c r="S42" s="46">
        <f>_xlfn.XLOOKUP($A42,support_3rdline!$B$2:$B$150,support_3rdline!R$2:R$150,"")</f>
        <v>0</v>
      </c>
      <c r="T42" s="46">
        <f>_xlfn.XLOOKUP($A42,support_3rdline!$B$2:$B$150,support_3rdline!S$2:S$150,"")</f>
        <v>0</v>
      </c>
      <c r="U42" s="81">
        <f>DATEVALUE(LEFT(F42,10))</f>
        <v>44820</v>
      </c>
      <c r="V42" s="46">
        <f>_xlfn.XLOOKUP($A42,support_3rdline!$B$2:$B$150,support_3rdline!T$2:T$150,"")</f>
        <v>0</v>
      </c>
    </row>
    <row r="43" spans="1:22" hidden="1">
      <c r="A43" s="56" t="s">
        <v>394</v>
      </c>
      <c r="B43" s="56" t="s">
        <v>295</v>
      </c>
      <c r="C43" s="56" t="s">
        <v>395</v>
      </c>
      <c r="D43" s="56" t="s">
        <v>37</v>
      </c>
      <c r="E43" s="56" t="s">
        <v>2988</v>
      </c>
      <c r="F43" s="56" t="s">
        <v>3525</v>
      </c>
      <c r="G43" s="56">
        <v>405</v>
      </c>
      <c r="H43" s="56">
        <v>0</v>
      </c>
      <c r="I43" s="58">
        <v>0</v>
      </c>
      <c r="J43" s="56" t="s">
        <v>398</v>
      </c>
      <c r="K43" s="56" t="s">
        <v>1873</v>
      </c>
      <c r="L43" s="56" t="s">
        <v>2942</v>
      </c>
      <c r="M43" s="56" t="str">
        <f>HYPERLINK("https://dribble.octin.io/?mode=Single+log&amp;log_id=806a3753-f6bf-4d63-97cb-e7a491edb19c","URL")</f>
        <v>URL</v>
      </c>
      <c r="N43" s="56" t="s">
        <v>3470</v>
      </c>
      <c r="O43" t="str">
        <f>_xlfn.XLOOKUP(N43,'Error-codes'!$C$2:$C$130,'Error-codes'!$B$2:$B$130, "None")</f>
        <v>battery level critical low</v>
      </c>
      <c r="P43" s="46" t="str">
        <f>_xlfn.XLOOKUP($A43,support_3rdline!$B$2:$B$150,support_3rdline!P$2:P$150,"")</f>
        <v/>
      </c>
      <c r="Q43" s="46" t="str">
        <f>_xlfn.XLOOKUP($A43,support_3rdline!$B$2:$B$150,support_3rdline!Q$2:Q$150,"")</f>
        <v/>
      </c>
      <c r="R43" s="46"/>
      <c r="S43" s="46" t="str">
        <f>_xlfn.XLOOKUP($A43,support_3rdline!$B$2:$B$150,support_3rdline!R$2:R$150,"")</f>
        <v/>
      </c>
      <c r="T43" s="46" t="str">
        <f>_xlfn.XLOOKUP($A43,support_3rdline!$B$2:$B$150,support_3rdline!S$2:S$150,"")</f>
        <v/>
      </c>
      <c r="U43" s="81">
        <f>DATEVALUE(LEFT(F43,10))</f>
        <v>44820</v>
      </c>
      <c r="V43" s="46" t="str">
        <f>_xlfn.XLOOKUP($A43,support_3rdline!$B$2:$B$150,support_3rdline!T$2:T$150,"")</f>
        <v/>
      </c>
    </row>
    <row r="44" spans="1:22" hidden="1">
      <c r="A44" s="56" t="s">
        <v>399</v>
      </c>
      <c r="B44" s="56" t="s">
        <v>295</v>
      </c>
      <c r="C44" s="56" t="s">
        <v>400</v>
      </c>
      <c r="D44" s="56" t="s">
        <v>37</v>
      </c>
      <c r="E44" s="56" t="s">
        <v>2988</v>
      </c>
      <c r="F44" s="56" t="s">
        <v>3526</v>
      </c>
      <c r="G44" s="56">
        <v>136</v>
      </c>
      <c r="H44" s="56">
        <v>0</v>
      </c>
      <c r="I44" s="58">
        <v>0</v>
      </c>
      <c r="J44" s="56" t="s">
        <v>398</v>
      </c>
      <c r="K44" s="56" t="s">
        <v>1873</v>
      </c>
      <c r="L44" s="56" t="s">
        <v>2942</v>
      </c>
      <c r="M44" s="56" t="str">
        <f>HYPERLINK("https://dribble.octin.io/?mode=Single+log&amp;log_id=856a4da4-8114-44bb-8ccf-04268602455e","URL")</f>
        <v>URL</v>
      </c>
      <c r="N44" s="56" t="s">
        <v>3470</v>
      </c>
      <c r="O44" t="str">
        <f>_xlfn.XLOOKUP(N44,'Error-codes'!$C$2:$C$130,'Error-codes'!$B$2:$B$130, "None")</f>
        <v>battery level critical low</v>
      </c>
      <c r="P44" s="46" t="str">
        <f>_xlfn.XLOOKUP($A44,support_3rdline!$B$2:$B$150,support_3rdline!P$2:P$150,"")</f>
        <v/>
      </c>
      <c r="Q44" s="46" t="str">
        <f>_xlfn.XLOOKUP($A44,support_3rdline!$B$2:$B$150,support_3rdline!Q$2:Q$150,"")</f>
        <v/>
      </c>
      <c r="R44" s="46"/>
      <c r="S44" s="46" t="str">
        <f>_xlfn.XLOOKUP($A44,support_3rdline!$B$2:$B$150,support_3rdline!R$2:R$150,"")</f>
        <v/>
      </c>
      <c r="T44" s="46" t="str">
        <f>_xlfn.XLOOKUP($A44,support_3rdline!$B$2:$B$150,support_3rdline!S$2:S$150,"")</f>
        <v/>
      </c>
      <c r="U44" s="81">
        <f>DATEVALUE(LEFT(F44,10))</f>
        <v>44820</v>
      </c>
      <c r="V44" s="46" t="str">
        <f>_xlfn.XLOOKUP($A44,support_3rdline!$B$2:$B$150,support_3rdline!T$2:T$150,"")</f>
        <v/>
      </c>
    </row>
    <row r="45" spans="1:22" hidden="1">
      <c r="A45" s="56" t="s">
        <v>405</v>
      </c>
      <c r="B45" s="56" t="s">
        <v>295</v>
      </c>
      <c r="C45" s="56" t="s">
        <v>404</v>
      </c>
      <c r="D45" s="56" t="s">
        <v>37</v>
      </c>
      <c r="E45" s="56" t="s">
        <v>2988</v>
      </c>
      <c r="F45" s="56" t="s">
        <v>3527</v>
      </c>
      <c r="G45" s="56">
        <v>139</v>
      </c>
      <c r="H45" s="56">
        <v>0</v>
      </c>
      <c r="I45" s="58">
        <v>0</v>
      </c>
      <c r="J45" s="56" t="s">
        <v>398</v>
      </c>
      <c r="K45" s="56" t="s">
        <v>1873</v>
      </c>
      <c r="L45" s="56" t="s">
        <v>2942</v>
      </c>
      <c r="M45" s="56" t="str">
        <f>HYPERLINK("https://dribble.octin.io/?mode=Single+log&amp;log_id=bdebb232-1f0b-4e5c-ab48-ae74f386b669","URL")</f>
        <v>URL</v>
      </c>
      <c r="N45" s="56" t="s">
        <v>3470</v>
      </c>
      <c r="O45" t="str">
        <f>_xlfn.XLOOKUP(N45,'Error-codes'!$C$2:$C$130,'Error-codes'!$B$2:$B$130, "None")</f>
        <v>battery level critical low</v>
      </c>
      <c r="P45" s="46" t="str">
        <f>_xlfn.XLOOKUP($A45,support_3rdline!$B$2:$B$150,support_3rdline!P$2:P$150,"")</f>
        <v/>
      </c>
      <c r="Q45" s="46" t="str">
        <f>_xlfn.XLOOKUP($A45,support_3rdline!$B$2:$B$150,support_3rdline!Q$2:Q$150,"")</f>
        <v/>
      </c>
      <c r="R45" s="46"/>
      <c r="S45" s="46" t="str">
        <f>_xlfn.XLOOKUP($A45,support_3rdline!$B$2:$B$150,support_3rdline!R$2:R$150,"")</f>
        <v/>
      </c>
      <c r="T45" s="46" t="str">
        <f>_xlfn.XLOOKUP($A45,support_3rdline!$B$2:$B$150,support_3rdline!S$2:S$150,"")</f>
        <v/>
      </c>
      <c r="U45" s="81">
        <f>DATEVALUE(LEFT(F45,10))</f>
        <v>44820</v>
      </c>
      <c r="V45" s="46" t="str">
        <f>_xlfn.XLOOKUP($A45,support_3rdline!$B$2:$B$150,support_3rdline!T$2:T$150,"")</f>
        <v/>
      </c>
    </row>
    <row r="46" spans="1:22" hidden="1">
      <c r="A46" s="56" t="s">
        <v>406</v>
      </c>
      <c r="B46" s="56" t="s">
        <v>295</v>
      </c>
      <c r="C46" s="56" t="s">
        <v>407</v>
      </c>
      <c r="D46" s="56" t="s">
        <v>37</v>
      </c>
      <c r="E46" s="56" t="s">
        <v>2988</v>
      </c>
      <c r="F46" s="56" t="s">
        <v>3528</v>
      </c>
      <c r="G46" s="56">
        <v>271</v>
      </c>
      <c r="H46" s="56">
        <v>0</v>
      </c>
      <c r="I46" s="58">
        <v>0</v>
      </c>
      <c r="J46" s="56" t="s">
        <v>398</v>
      </c>
      <c r="K46" s="56" t="s">
        <v>1873</v>
      </c>
      <c r="L46" s="56" t="s">
        <v>2942</v>
      </c>
      <c r="M46" s="56" t="str">
        <f>HYPERLINK("https://dribble.octin.io/?mode=Single+log&amp;log_id=59d3014d-e395-4c33-8a47-7ea73c1c967a","URL")</f>
        <v>URL</v>
      </c>
      <c r="N46" s="56" t="s">
        <v>3470</v>
      </c>
      <c r="O46" t="str">
        <f>_xlfn.XLOOKUP(N46,'Error-codes'!$C$2:$C$130,'Error-codes'!$B$2:$B$130, "None")</f>
        <v>battery level critical low</v>
      </c>
      <c r="P46" s="46" t="str">
        <f>_xlfn.XLOOKUP($A46,support_3rdline!$B$2:$B$150,support_3rdline!P$2:P$150,"")</f>
        <v/>
      </c>
      <c r="Q46" s="46" t="str">
        <f>_xlfn.XLOOKUP($A46,support_3rdline!$B$2:$B$150,support_3rdline!Q$2:Q$150,"")</f>
        <v/>
      </c>
      <c r="R46" s="46"/>
      <c r="S46" s="46" t="str">
        <f>_xlfn.XLOOKUP($A46,support_3rdline!$B$2:$B$150,support_3rdline!R$2:R$150,"")</f>
        <v/>
      </c>
      <c r="T46" s="46" t="str">
        <f>_xlfn.XLOOKUP($A46,support_3rdline!$B$2:$B$150,support_3rdline!S$2:S$150,"")</f>
        <v/>
      </c>
      <c r="U46" s="81">
        <f>DATEVALUE(LEFT(F46,10))</f>
        <v>44820</v>
      </c>
      <c r="V46" s="46" t="str">
        <f>_xlfn.XLOOKUP($A46,support_3rdline!$B$2:$B$150,support_3rdline!T$2:T$150,"")</f>
        <v/>
      </c>
    </row>
    <row r="47" spans="1:22" hidden="1">
      <c r="A47" s="56" t="s">
        <v>411</v>
      </c>
      <c r="B47" s="56" t="s">
        <v>295</v>
      </c>
      <c r="C47" s="56" t="s">
        <v>410</v>
      </c>
      <c r="D47" s="56" t="s">
        <v>37</v>
      </c>
      <c r="E47" s="56" t="s">
        <v>2988</v>
      </c>
      <c r="F47" s="56" t="s">
        <v>3529</v>
      </c>
      <c r="G47" s="56">
        <v>275</v>
      </c>
      <c r="H47" s="56">
        <v>0</v>
      </c>
      <c r="I47" s="58">
        <v>0</v>
      </c>
      <c r="J47" s="56" t="s">
        <v>398</v>
      </c>
      <c r="K47" s="56" t="s">
        <v>1873</v>
      </c>
      <c r="L47" s="56" t="s">
        <v>2942</v>
      </c>
      <c r="M47" s="56" t="str">
        <f>HYPERLINK("https://dribble.octin.io/?mode=Single+log&amp;log_id=4d2b19d8-0549-42b7-96c1-deb7a8607538","URL")</f>
        <v>URL</v>
      </c>
      <c r="N47" s="56" t="s">
        <v>3470</v>
      </c>
      <c r="O47" t="str">
        <f>_xlfn.XLOOKUP(N47,'Error-codes'!$C$2:$C$130,'Error-codes'!$B$2:$B$130, "None")</f>
        <v>battery level critical low</v>
      </c>
      <c r="P47" s="46" t="str">
        <f>_xlfn.XLOOKUP($A47,support_3rdline!$B$2:$B$150,support_3rdline!P$2:P$150,"")</f>
        <v/>
      </c>
      <c r="Q47" s="46" t="str">
        <f>_xlfn.XLOOKUP($A47,support_3rdline!$B$2:$B$150,support_3rdline!Q$2:Q$150,"")</f>
        <v/>
      </c>
      <c r="R47" s="46"/>
      <c r="S47" s="46" t="str">
        <f>_xlfn.XLOOKUP($A47,support_3rdline!$B$2:$B$150,support_3rdline!R$2:R$150,"")</f>
        <v/>
      </c>
      <c r="T47" s="46" t="str">
        <f>_xlfn.XLOOKUP($A47,support_3rdline!$B$2:$B$150,support_3rdline!S$2:S$150,"")</f>
        <v/>
      </c>
      <c r="U47" s="81">
        <f>DATEVALUE(LEFT(F47,10))</f>
        <v>44820</v>
      </c>
      <c r="V47" s="46" t="str">
        <f>_xlfn.XLOOKUP($A47,support_3rdline!$B$2:$B$150,support_3rdline!T$2:T$150,"")</f>
        <v/>
      </c>
    </row>
    <row r="48" spans="1:22" ht="45.75" hidden="1">
      <c r="A48" s="56" t="s">
        <v>414</v>
      </c>
      <c r="B48" s="56" t="s">
        <v>29</v>
      </c>
      <c r="C48" s="56" t="s">
        <v>415</v>
      </c>
      <c r="D48" s="56" t="s">
        <v>37</v>
      </c>
      <c r="E48" s="56" t="s">
        <v>2959</v>
      </c>
      <c r="F48" s="56" t="s">
        <v>3530</v>
      </c>
      <c r="G48" s="56">
        <v>213</v>
      </c>
      <c r="H48" s="56">
        <v>103</v>
      </c>
      <c r="I48" s="58">
        <v>0.48356807511737088</v>
      </c>
      <c r="J48" s="56" t="s">
        <v>416</v>
      </c>
      <c r="K48" s="56" t="s">
        <v>1893</v>
      </c>
      <c r="L48" s="56" t="s">
        <v>2942</v>
      </c>
      <c r="M48" s="56" t="str">
        <f>HYPERLINK("https://dribble.octin.io/?mode=Single+log&amp;log_id=2acb9cd4-c56a-4d1d-b585-faa4ae52d245","URL")</f>
        <v>URL</v>
      </c>
      <c r="N48" s="56" t="s">
        <v>3442</v>
      </c>
      <c r="O48" t="str">
        <f>_xlfn.XLOOKUP(N48,'Error-codes'!$C$2:$C$130,'Error-codes'!$B$2:$B$130, "None")</f>
        <v>vehicle diverged too far from trajectory</v>
      </c>
      <c r="P48" s="46" t="s">
        <v>3531</v>
      </c>
      <c r="Q48" s="46" t="str">
        <f>_xlfn.XLOOKUP($A48,support_3rdline!$B$2:$B$150,support_3rdline!Q$2:Q$150,"")</f>
        <v/>
      </c>
      <c r="R48" s="46"/>
      <c r="S48" s="46" t="str">
        <f>_xlfn.XLOOKUP($A48,support_3rdline!$B$2:$B$150,support_3rdline!R$2:R$150,"")</f>
        <v/>
      </c>
      <c r="T48" s="46" t="str">
        <f>_xlfn.XLOOKUP($A48,support_3rdline!$B$2:$B$150,support_3rdline!S$2:S$150,"")</f>
        <v/>
      </c>
      <c r="U48" s="81">
        <f>DATEVALUE(LEFT(F48,10))</f>
        <v>44820</v>
      </c>
      <c r="V48" s="46" t="str">
        <f>_xlfn.XLOOKUP($A48,support_3rdline!$B$2:$B$150,support_3rdline!T$2:T$150,"")</f>
        <v/>
      </c>
    </row>
    <row r="49" spans="1:22" hidden="1">
      <c r="B49" s="56" t="s">
        <v>295</v>
      </c>
      <c r="C49" s="56" t="s">
        <v>2671</v>
      </c>
      <c r="D49" s="56" t="s">
        <v>388</v>
      </c>
      <c r="F49" s="56" t="s">
        <v>2674</v>
      </c>
      <c r="G49" s="56">
        <v>3</v>
      </c>
      <c r="H49" s="56">
        <v>3</v>
      </c>
      <c r="I49" s="58">
        <v>1</v>
      </c>
      <c r="K49" s="56" t="s">
        <v>1873</v>
      </c>
      <c r="L49" s="56" t="s">
        <v>2942</v>
      </c>
      <c r="O49">
        <f>_xlfn.XLOOKUP(N49,'Error-codes'!$C$2:$C$130,'Error-codes'!$B$2:$B$130, "None")</f>
        <v>0</v>
      </c>
      <c r="P49" s="46" t="s">
        <v>3379</v>
      </c>
      <c r="Q49" s="46" t="s">
        <v>3379</v>
      </c>
      <c r="R49" s="46"/>
      <c r="S49" s="46" t="s">
        <v>3379</v>
      </c>
      <c r="T49" s="46" t="s">
        <v>3379</v>
      </c>
      <c r="U49" s="81">
        <f>DATEVALUE(LEFT(F49,10))</f>
        <v>44821</v>
      </c>
      <c r="V49" s="46">
        <f>_xlfn.XLOOKUP($A49,support_3rdline!$B$2:$B$150,support_3rdline!T$2:T$150,"")</f>
        <v>0</v>
      </c>
    </row>
    <row r="50" spans="1:22" hidden="1">
      <c r="A50" s="56" t="s">
        <v>417</v>
      </c>
      <c r="B50" s="56" t="s">
        <v>295</v>
      </c>
      <c r="C50" s="56" t="s">
        <v>418</v>
      </c>
      <c r="D50" s="56" t="s">
        <v>22</v>
      </c>
      <c r="E50" s="56" t="s">
        <v>2939</v>
      </c>
      <c r="F50" s="56" t="s">
        <v>3532</v>
      </c>
      <c r="G50" s="56">
        <v>142</v>
      </c>
      <c r="H50" s="56">
        <v>7</v>
      </c>
      <c r="I50" s="58">
        <v>4.9295774647887321E-2</v>
      </c>
      <c r="J50" s="56" t="s">
        <v>419</v>
      </c>
      <c r="K50" s="56" t="s">
        <v>1873</v>
      </c>
      <c r="L50" s="56" t="s">
        <v>2942</v>
      </c>
      <c r="M50" s="56" t="str">
        <f>HYPERLINK("https://dribble.octin.io/?mode=Single+log&amp;log_id=b9bdf44d-93b7-4cf4-9a39-db2581dc0919","URL")</f>
        <v>URL</v>
      </c>
      <c r="N50" s="56" t="s">
        <v>3450</v>
      </c>
      <c r="O50" t="str">
        <f>_xlfn.XLOOKUP(N50,'Error-codes'!$C$2:$C$130,'Error-codes'!$B$2:$B$130, "None")</f>
        <v>xtheta sensor error</v>
      </c>
      <c r="P50" s="46" t="str">
        <f>_xlfn.XLOOKUP($A50,support_3rdline!$B$2:$B$150,support_3rdline!P$2:P$150,"")</f>
        <v/>
      </c>
      <c r="Q50" s="46" t="str">
        <f>_xlfn.XLOOKUP($A50,support_3rdline!$B$2:$B$150,support_3rdline!Q$2:Q$150,"")</f>
        <v/>
      </c>
      <c r="R50" s="46"/>
      <c r="S50" s="46" t="str">
        <f>_xlfn.XLOOKUP($A50,support_3rdline!$B$2:$B$150,support_3rdline!R$2:R$150,"")</f>
        <v/>
      </c>
      <c r="T50" s="46" t="str">
        <f>_xlfn.XLOOKUP($A50,support_3rdline!$B$2:$B$150,support_3rdline!S$2:S$150,"")</f>
        <v/>
      </c>
      <c r="U50" s="81">
        <f>DATEVALUE(LEFT(F50,10))</f>
        <v>44822</v>
      </c>
      <c r="V50" s="46" t="str">
        <f>_xlfn.XLOOKUP($A50,support_3rdline!$B$2:$B$150,support_3rdline!T$2:T$150,"")</f>
        <v/>
      </c>
    </row>
    <row r="51" spans="1:22" hidden="1">
      <c r="A51" s="56" t="s">
        <v>420</v>
      </c>
      <c r="B51" s="56" t="s">
        <v>29</v>
      </c>
      <c r="C51" s="56" t="s">
        <v>421</v>
      </c>
      <c r="D51" s="56" t="s">
        <v>37</v>
      </c>
      <c r="E51" s="56" t="s">
        <v>2939</v>
      </c>
      <c r="F51" s="56" t="s">
        <v>3533</v>
      </c>
      <c r="G51" s="56">
        <v>215</v>
      </c>
      <c r="H51" s="56">
        <v>88</v>
      </c>
      <c r="I51" s="58">
        <v>0.40930232558139534</v>
      </c>
      <c r="J51" s="56" t="s">
        <v>3519</v>
      </c>
      <c r="K51" s="56" t="s">
        <v>1893</v>
      </c>
      <c r="L51" s="56" t="s">
        <v>2942</v>
      </c>
      <c r="M51" s="56" t="str">
        <f>HYPERLINK("https://dribble.octin.io/?mode=Single+log&amp;log_id=920bd4f8-c65c-48d8-aa35-8569e231a89e","URL")</f>
        <v>URL</v>
      </c>
      <c r="N51" s="56" t="s">
        <v>3442</v>
      </c>
      <c r="O51" t="str">
        <f>_xlfn.XLOOKUP(N51,'Error-codes'!$C$2:$C$130,'Error-codes'!$B$2:$B$130, "None")</f>
        <v>vehicle diverged too far from trajectory</v>
      </c>
      <c r="P51" s="46" t="str">
        <f>_xlfn.XLOOKUP($A51,support_3rdline!$B$2:$B$150,support_3rdline!P$2:P$150,"")</f>
        <v/>
      </c>
      <c r="Q51" s="46" t="str">
        <f>_xlfn.XLOOKUP($A51,support_3rdline!$B$2:$B$150,support_3rdline!Q$2:Q$150,"")</f>
        <v/>
      </c>
      <c r="R51" s="46"/>
      <c r="S51" s="46" t="str">
        <f>_xlfn.XLOOKUP($A51,support_3rdline!$B$2:$B$150,support_3rdline!R$2:R$150,"")</f>
        <v/>
      </c>
      <c r="T51" s="46" t="str">
        <f>_xlfn.XLOOKUP($A51,support_3rdline!$B$2:$B$150,support_3rdline!S$2:S$150,"")</f>
        <v/>
      </c>
      <c r="U51" s="81">
        <f>DATEVALUE(LEFT(F51,10))</f>
        <v>44822</v>
      </c>
      <c r="V51" s="46" t="str">
        <f>_xlfn.XLOOKUP($A51,support_3rdline!$B$2:$B$150,support_3rdline!T$2:T$150,"")</f>
        <v/>
      </c>
    </row>
    <row r="52" spans="1:22" hidden="1">
      <c r="A52" s="56" t="s">
        <v>423</v>
      </c>
      <c r="B52" s="56" t="s">
        <v>29</v>
      </c>
      <c r="C52" s="56" t="s">
        <v>421</v>
      </c>
      <c r="D52" s="56" t="s">
        <v>37</v>
      </c>
      <c r="E52" s="56" t="s">
        <v>2959</v>
      </c>
      <c r="F52" s="56" t="s">
        <v>3534</v>
      </c>
      <c r="G52" s="56">
        <v>215</v>
      </c>
      <c r="H52" s="56">
        <v>111</v>
      </c>
      <c r="I52" s="58">
        <v>0.51627906976744187</v>
      </c>
      <c r="J52" s="56" t="s">
        <v>416</v>
      </c>
      <c r="K52" s="56" t="s">
        <v>1893</v>
      </c>
      <c r="L52" s="56" t="s">
        <v>2942</v>
      </c>
      <c r="M52" s="56" t="str">
        <f>HYPERLINK("https://dribble.octin.io/?mode=Single+log&amp;log_id=3a0777c8-4860-4156-b8d7-fa3574303fc7","URL")</f>
        <v>URL</v>
      </c>
      <c r="N52" s="56" t="s">
        <v>3442</v>
      </c>
      <c r="O52" t="str">
        <f>_xlfn.XLOOKUP(N52,'Error-codes'!$C$2:$C$130,'Error-codes'!$B$2:$B$130, "None")</f>
        <v>vehicle diverged too far from trajectory</v>
      </c>
      <c r="P52" s="46" t="str">
        <f>_xlfn.XLOOKUP($A52,support_3rdline!$B$2:$B$150,support_3rdline!P$2:P$150,"")</f>
        <v/>
      </c>
      <c r="Q52" s="46" t="str">
        <f>_xlfn.XLOOKUP($A52,support_3rdline!$B$2:$B$150,support_3rdline!Q$2:Q$150,"")</f>
        <v/>
      </c>
      <c r="R52" s="46"/>
      <c r="S52" s="46" t="str">
        <f>_xlfn.XLOOKUP($A52,support_3rdline!$B$2:$B$150,support_3rdline!R$2:R$150,"")</f>
        <v/>
      </c>
      <c r="T52" s="46" t="str">
        <f>_xlfn.XLOOKUP($A52,support_3rdline!$B$2:$B$150,support_3rdline!S$2:S$150,"")</f>
        <v/>
      </c>
      <c r="U52" s="81">
        <f>DATEVALUE(LEFT(F52,10))</f>
        <v>44823</v>
      </c>
      <c r="V52" s="46" t="str">
        <f>_xlfn.XLOOKUP($A52,support_3rdline!$B$2:$B$150,support_3rdline!T$2:T$150,"")</f>
        <v/>
      </c>
    </row>
    <row r="53" spans="1:22" ht="106.5" hidden="1">
      <c r="A53" s="56" t="s">
        <v>424</v>
      </c>
      <c r="B53" s="56" t="s">
        <v>295</v>
      </c>
      <c r="C53" s="56" t="s">
        <v>425</v>
      </c>
      <c r="D53" s="56" t="s">
        <v>22</v>
      </c>
      <c r="E53" s="56" t="s">
        <v>2939</v>
      </c>
      <c r="F53" s="56" t="s">
        <v>3535</v>
      </c>
      <c r="G53" s="56">
        <v>82</v>
      </c>
      <c r="H53" s="56">
        <v>2</v>
      </c>
      <c r="I53" s="58">
        <v>2.4390243902439025E-2</v>
      </c>
      <c r="J53" s="56" t="s">
        <v>3536</v>
      </c>
      <c r="K53" s="56" t="s">
        <v>1873</v>
      </c>
      <c r="L53" s="56" t="s">
        <v>2942</v>
      </c>
      <c r="M53" s="56" t="str">
        <f>HYPERLINK("https://dribble.octin.io/?mode=Single+log&amp;log_id=8544a7db-335e-4c02-8c62-755846dd6d82","URL")</f>
        <v>URL</v>
      </c>
      <c r="N53" s="56" t="s">
        <v>3450</v>
      </c>
      <c r="O53" t="str">
        <f>_xlfn.XLOOKUP(N53,'Error-codes'!$C$2:$C$130,'Error-codes'!$B$2:$B$130, "None")</f>
        <v>xtheta sensor error</v>
      </c>
      <c r="P53" s="46" t="str">
        <f>_xlfn.XLOOKUP($A53,support_3rdline!$B$2:$B$150,support_3rdline!P$2:P$150,"")</f>
        <v>robot komt 'bruusk' uit lane, doet laneswithc, ah einde lijkt hij tegen de rails van volgende lane aan te botsen</v>
      </c>
      <c r="Q53" s="51" t="s">
        <v>3523</v>
      </c>
      <c r="R53" s="51"/>
      <c r="S53" s="46" t="str">
        <f>_xlfn.XLOOKUP($A53,support_3rdline!$B$2:$B$150,support_3rdline!R$2:R$150,"")</f>
        <v>EOL open meting heel clean, maar toch 1.1m sprong inductieve. EOL open offset: +0.35 =&gt; niet duidelijk waarom.. VIsie xtheta: rail swaren zichtbaar, mara werden weggegooid door te strikte, redundante checks. =&gt; mogen dus aangepast worden! 
Iets doen aan het op beton knallen? 2 opties: EOL open offset wegdoen? of Reduced velocity approach verlengen?
=&gt; voorlopig niet, helpt momenteel de treatments niet echt om zeep</v>
      </c>
      <c r="T53" s="46" t="str">
        <f>_xlfn.XLOOKUP($A53,support_3rdline!$B$2:$B$150,support_3rdline!S$2:S$150,"")</f>
        <v xml:space="preserve">Redundante visie-checks elimineren op alle 4 de robots: 
Change max_rails_angle_diff to 5deg 
Change max_rail_width to 100 (basically infinity) </v>
      </c>
      <c r="U53" s="81">
        <f>DATEVALUE(LEFT(F53,10))</f>
        <v>44823</v>
      </c>
      <c r="V53" s="46">
        <f>_xlfn.XLOOKUP($A53,support_3rdline!$B$2:$B$150,support_3rdline!T$2:T$150,"")</f>
        <v>0</v>
      </c>
    </row>
    <row r="54" spans="1:22" hidden="1">
      <c r="A54" s="56" t="s">
        <v>427</v>
      </c>
      <c r="B54" s="56" t="s">
        <v>29</v>
      </c>
      <c r="C54" s="56" t="s">
        <v>428</v>
      </c>
      <c r="D54" s="56" t="s">
        <v>37</v>
      </c>
      <c r="E54" s="56" t="s">
        <v>2959</v>
      </c>
      <c r="F54" s="56" t="s">
        <v>3537</v>
      </c>
      <c r="G54" s="56">
        <v>133</v>
      </c>
      <c r="H54" s="56">
        <v>65</v>
      </c>
      <c r="I54" s="58">
        <v>0.48872180451127817</v>
      </c>
      <c r="J54" s="56" t="s">
        <v>429</v>
      </c>
      <c r="K54" s="56" t="s">
        <v>1873</v>
      </c>
      <c r="L54" s="56" t="s">
        <v>2942</v>
      </c>
      <c r="M54" s="56" t="str">
        <f>HYPERLINK("https://dribble.octin.io/?mode=Single+log&amp;log_id=bbd22aae-81dc-459c-95fe-7a4dd9e45bc5","URL")</f>
        <v>URL</v>
      </c>
      <c r="N54" s="56" t="s">
        <v>3442</v>
      </c>
      <c r="O54" t="str">
        <f>_xlfn.XLOOKUP(N54,'Error-codes'!$C$2:$C$130,'Error-codes'!$B$2:$B$130, "None")</f>
        <v>vehicle diverged too far from trajectory</v>
      </c>
      <c r="P54" s="46" t="str">
        <f>_xlfn.XLOOKUP($A54,support_3rdline!$B$2:$B$150,support_3rdline!P$2:P$150,"")</f>
        <v/>
      </c>
      <c r="Q54" s="46" t="str">
        <f>_xlfn.XLOOKUP($A54,support_3rdline!$B$2:$B$150,support_3rdline!Q$2:Q$150,"")</f>
        <v/>
      </c>
      <c r="R54" s="46"/>
      <c r="S54" s="46" t="str">
        <f>_xlfn.XLOOKUP($A54,support_3rdline!$B$2:$B$150,support_3rdline!R$2:R$150,"")</f>
        <v/>
      </c>
      <c r="T54" s="46" t="str">
        <f>_xlfn.XLOOKUP($A54,support_3rdline!$B$2:$B$150,support_3rdline!S$2:S$150,"")</f>
        <v/>
      </c>
      <c r="U54" s="81">
        <f>DATEVALUE(LEFT(F54,10))</f>
        <v>44823</v>
      </c>
      <c r="V54" s="46" t="str">
        <f>_xlfn.XLOOKUP($A54,support_3rdline!$B$2:$B$150,support_3rdline!T$2:T$150,"")</f>
        <v/>
      </c>
    </row>
    <row r="55" spans="1:22" hidden="1">
      <c r="B55" s="56" t="s">
        <v>295</v>
      </c>
      <c r="C55" s="56" t="s">
        <v>2699</v>
      </c>
      <c r="D55" s="56" t="s">
        <v>388</v>
      </c>
      <c r="F55" s="56" t="s">
        <v>2702</v>
      </c>
      <c r="G55" s="56">
        <v>4</v>
      </c>
      <c r="H55" s="56">
        <v>4</v>
      </c>
      <c r="I55" s="58">
        <v>1</v>
      </c>
      <c r="K55" s="56" t="s">
        <v>1873</v>
      </c>
      <c r="L55" s="56" t="s">
        <v>2942</v>
      </c>
      <c r="O55">
        <f>_xlfn.XLOOKUP(N55,'Error-codes'!$C$2:$C$130,'Error-codes'!$B$2:$B$130, "None")</f>
        <v>0</v>
      </c>
      <c r="P55" s="46" t="s">
        <v>3379</v>
      </c>
      <c r="Q55" s="46" t="s">
        <v>3379</v>
      </c>
      <c r="R55" s="46"/>
      <c r="S55" s="46" t="s">
        <v>3379</v>
      </c>
      <c r="T55" s="46" t="s">
        <v>3379</v>
      </c>
      <c r="U55" s="81">
        <f>DATEVALUE(LEFT(F55,10))</f>
        <v>44824</v>
      </c>
      <c r="V55" s="46">
        <f>_xlfn.XLOOKUP($A55,support_3rdline!$B$2:$B$150,support_3rdline!T$2:T$150,"")</f>
        <v>0</v>
      </c>
    </row>
    <row r="56" spans="1:22" hidden="1">
      <c r="B56" s="56" t="s">
        <v>295</v>
      </c>
      <c r="C56" s="56" t="s">
        <v>2703</v>
      </c>
      <c r="D56" s="56" t="s">
        <v>388</v>
      </c>
      <c r="F56" s="56" t="s">
        <v>2706</v>
      </c>
      <c r="G56" s="56">
        <v>54</v>
      </c>
      <c r="H56" s="56">
        <v>54</v>
      </c>
      <c r="I56" s="58">
        <v>1</v>
      </c>
      <c r="K56" s="56" t="s">
        <v>1893</v>
      </c>
      <c r="L56" s="56" t="s">
        <v>2942</v>
      </c>
      <c r="O56">
        <f>_xlfn.XLOOKUP(N56,'Error-codes'!$C$2:$C$130,'Error-codes'!$B$2:$B$130, "None")</f>
        <v>0</v>
      </c>
      <c r="P56" s="46" t="s">
        <v>3379</v>
      </c>
      <c r="Q56" s="46" t="s">
        <v>3379</v>
      </c>
      <c r="R56" s="46"/>
      <c r="S56" s="46" t="s">
        <v>3379</v>
      </c>
      <c r="T56" s="46" t="s">
        <v>3379</v>
      </c>
      <c r="U56" s="81">
        <f>DATEVALUE(LEFT(F56,10))</f>
        <v>44824</v>
      </c>
      <c r="V56" s="46">
        <f>_xlfn.XLOOKUP($A56,support_3rdline!$B$2:$B$150,support_3rdline!T$2:T$150,"")</f>
        <v>0</v>
      </c>
    </row>
    <row r="57" spans="1:22" hidden="1">
      <c r="A57" s="7"/>
      <c r="B57" s="56" t="s">
        <v>2886</v>
      </c>
      <c r="C57" s="56" t="s">
        <v>2728</v>
      </c>
      <c r="D57" s="56" t="s">
        <v>388</v>
      </c>
      <c r="F57" s="56" t="s">
        <v>2731</v>
      </c>
      <c r="G57" s="56">
        <v>2</v>
      </c>
      <c r="H57" s="56">
        <v>2</v>
      </c>
      <c r="I57" s="58">
        <v>1</v>
      </c>
      <c r="K57" s="56" t="s">
        <v>2166</v>
      </c>
      <c r="L57" s="56" t="s">
        <v>2932</v>
      </c>
      <c r="O57">
        <f>_xlfn.XLOOKUP(N57,'Error-codes'!$C$2:$C$130,'Error-codes'!$B$2:$B$130, "None")</f>
        <v>0</v>
      </c>
      <c r="P57" s="46">
        <f>_xlfn.XLOOKUP(A57,support_3rdline!$B$2:$B$150,support_3rdline!P$2:P$150,"")</f>
        <v>0</v>
      </c>
      <c r="Q57" s="46">
        <f>_xlfn.XLOOKUP($A57,support_3rdline!$B$2:$B$150,support_3rdline!Q$2:Q$150,"")</f>
        <v>0</v>
      </c>
      <c r="R57" s="46"/>
      <c r="S57" s="46">
        <f>_xlfn.XLOOKUP($A57,support_3rdline!$B$2:$B$150,support_3rdline!R$2:R$150,"")</f>
        <v>0</v>
      </c>
      <c r="T57" s="46">
        <f>_xlfn.XLOOKUP($A57,support_3rdline!$B$2:$B$150,support_3rdline!S$2:S$150,"")</f>
        <v>0</v>
      </c>
      <c r="U57" s="81">
        <f>DATEVALUE(LEFT(F57,10))</f>
        <v>44825</v>
      </c>
      <c r="V57" s="46">
        <f>_xlfn.XLOOKUP($A57,support_3rdline!$B$2:$B$150,support_3rdline!T$2:T$150,"")</f>
        <v>0</v>
      </c>
    </row>
    <row r="58" spans="1:22" hidden="1">
      <c r="B58" s="56" t="s">
        <v>2886</v>
      </c>
      <c r="C58" s="56" t="s">
        <v>2745</v>
      </c>
      <c r="D58" s="56" t="s">
        <v>388</v>
      </c>
      <c r="F58" s="56" t="s">
        <v>2748</v>
      </c>
      <c r="G58" s="56">
        <v>2</v>
      </c>
      <c r="H58" s="56">
        <v>2</v>
      </c>
      <c r="I58" s="58">
        <v>1</v>
      </c>
      <c r="K58" s="56" t="s">
        <v>2166</v>
      </c>
      <c r="L58" s="56" t="s">
        <v>2932</v>
      </c>
      <c r="O58">
        <f>_xlfn.XLOOKUP(N58,'Error-codes'!$C$2:$C$130,'Error-codes'!$B$2:$B$130, "None")</f>
        <v>0</v>
      </c>
      <c r="P58" s="46">
        <f>_xlfn.XLOOKUP(A58,support_3rdline!$B$2:$B$150,support_3rdline!P$2:P$150,"")</f>
        <v>0</v>
      </c>
      <c r="Q58" s="46">
        <f>_xlfn.XLOOKUP($A58,support_3rdline!$B$2:$B$150,support_3rdline!Q$2:Q$150,"")</f>
        <v>0</v>
      </c>
      <c r="R58" s="46"/>
      <c r="S58" s="46">
        <f>_xlfn.XLOOKUP($A58,support_3rdline!$B$2:$B$150,support_3rdline!R$2:R$150,"")</f>
        <v>0</v>
      </c>
      <c r="T58" s="46">
        <f>_xlfn.XLOOKUP($A58,support_3rdline!$B$2:$B$150,support_3rdline!S$2:S$150,"")</f>
        <v>0</v>
      </c>
      <c r="U58" s="81">
        <f>DATEVALUE(LEFT(F58,10))</f>
        <v>44825</v>
      </c>
      <c r="V58" s="46">
        <f>_xlfn.XLOOKUP($A58,support_3rdline!$B$2:$B$150,support_3rdline!T$2:T$150,"")</f>
        <v>0</v>
      </c>
    </row>
    <row r="59" spans="1:22" hidden="1">
      <c r="B59" s="56" t="s">
        <v>2886</v>
      </c>
      <c r="C59" s="56" t="s">
        <v>2749</v>
      </c>
      <c r="D59" s="56" t="s">
        <v>22</v>
      </c>
      <c r="F59" s="56" t="s">
        <v>2752</v>
      </c>
      <c r="G59" s="56">
        <v>101</v>
      </c>
      <c r="H59" s="56">
        <v>101</v>
      </c>
      <c r="I59" s="58">
        <v>1</v>
      </c>
      <c r="K59" s="56" t="s">
        <v>2166</v>
      </c>
      <c r="L59" s="56" t="s">
        <v>2948</v>
      </c>
      <c r="O59">
        <f>_xlfn.XLOOKUP(N59,'Error-codes'!$C$2:$C$130,'Error-codes'!$B$2:$B$130, "None")</f>
        <v>0</v>
      </c>
      <c r="P59" s="46">
        <f>_xlfn.XLOOKUP(A59,support_3rdline!$B$2:$B$150,support_3rdline!P$2:P$150,"")</f>
        <v>0</v>
      </c>
      <c r="Q59" s="46">
        <f>_xlfn.XLOOKUP($A59,support_3rdline!$B$2:$B$150,support_3rdline!Q$2:Q$150,"")</f>
        <v>0</v>
      </c>
      <c r="R59" s="46"/>
      <c r="S59" s="46">
        <f>_xlfn.XLOOKUP($A59,support_3rdline!$B$2:$B$150,support_3rdline!R$2:R$150,"")</f>
        <v>0</v>
      </c>
      <c r="T59" s="46">
        <f>_xlfn.XLOOKUP($A59,support_3rdline!$B$2:$B$150,support_3rdline!S$2:S$150,"")</f>
        <v>0</v>
      </c>
      <c r="U59" s="81">
        <f>DATEVALUE(LEFT(F59,10))</f>
        <v>44825</v>
      </c>
      <c r="V59" s="46">
        <f>_xlfn.XLOOKUP($A59,support_3rdline!$B$2:$B$150,support_3rdline!T$2:T$150,"")</f>
        <v>0</v>
      </c>
    </row>
    <row r="60" spans="1:22" ht="30.75" hidden="1">
      <c r="A60" s="56" t="s">
        <v>430</v>
      </c>
      <c r="B60" s="56" t="s">
        <v>29</v>
      </c>
      <c r="C60" s="56" t="s">
        <v>431</v>
      </c>
      <c r="D60" s="56"/>
      <c r="E60" s="56" t="s">
        <v>2939</v>
      </c>
      <c r="F60" s="56" t="s">
        <v>3538</v>
      </c>
      <c r="G60" s="56">
        <v>140</v>
      </c>
      <c r="H60" s="56">
        <v>5</v>
      </c>
      <c r="I60" s="58">
        <v>3.5714285714285712E-2</v>
      </c>
      <c r="J60" s="56" t="s">
        <v>432</v>
      </c>
      <c r="K60" s="56" t="s">
        <v>1873</v>
      </c>
      <c r="L60" s="56" t="s">
        <v>2942</v>
      </c>
      <c r="M60" s="56" t="str">
        <f>HYPERLINK("https://dribble.octin.io/?mode=Single+log&amp;log_id=81a0605d-1ebe-4ff2-85b1-b773e2fef663","URL")</f>
        <v>URL</v>
      </c>
      <c r="N60" s="56" t="s">
        <v>3442</v>
      </c>
      <c r="O60" t="str">
        <f>_xlfn.XLOOKUP(N60,'Error-codes'!$C$2:$C$130,'Error-codes'!$B$2:$B$130, "None")</f>
        <v>vehicle diverged too far from trajectory</v>
      </c>
      <c r="P60" s="46" t="str">
        <f>_xlfn.XLOOKUP($A60,support_3rdline!$B$2:$B$150,support_3rdline!P$2:P$150,"")</f>
        <v>Robot gaat in error vlak  voor het uitrijden van de lane, normale condities</v>
      </c>
      <c r="Q60" s="46">
        <f>_xlfn.XLOOKUP($A60,support_3rdline!$B$2:$B$150,support_3rdline!Q$2:Q$150,"")</f>
        <v>0</v>
      </c>
      <c r="R60" s="46"/>
      <c r="S60" s="46" t="s">
        <v>3539</v>
      </c>
      <c r="T60" s="46">
        <f>_xlfn.XLOOKUP($A60,support_3rdline!$B$2:$B$150,support_3rdline!S$2:S$150,"")</f>
        <v>0</v>
      </c>
      <c r="U60" s="81">
        <f>DATEVALUE(LEFT(F60,10))</f>
        <v>44825</v>
      </c>
      <c r="V60" s="46">
        <f>_xlfn.XLOOKUP($A60,support_3rdline!$B$2:$B$150,support_3rdline!T$2:T$150,"")</f>
        <v>0</v>
      </c>
    </row>
    <row r="61" spans="1:22" hidden="1">
      <c r="A61" s="56" t="s">
        <v>433</v>
      </c>
      <c r="B61" s="56" t="s">
        <v>295</v>
      </c>
      <c r="C61" s="56" t="s">
        <v>434</v>
      </c>
      <c r="D61" s="56" t="s">
        <v>37</v>
      </c>
      <c r="E61" s="56" t="s">
        <v>3540</v>
      </c>
      <c r="F61" s="56" t="s">
        <v>3541</v>
      </c>
      <c r="G61" s="56">
        <v>82</v>
      </c>
      <c r="H61" s="56">
        <v>35</v>
      </c>
      <c r="I61" s="58">
        <v>0.42682926829268292</v>
      </c>
      <c r="J61" s="56" t="s">
        <v>435</v>
      </c>
      <c r="K61" s="56" t="s">
        <v>1893</v>
      </c>
      <c r="L61" s="56" t="s">
        <v>2942</v>
      </c>
      <c r="M61" s="56" t="str">
        <f>HYPERLINK("https://dribble.octin.io/?mode=Single+log&amp;log_id=2356f5d5-1d82-4d1b-9e4d-6a1c5e028ed5","URL")</f>
        <v>URL</v>
      </c>
      <c r="N61" s="56" t="s">
        <v>3470</v>
      </c>
      <c r="O61" t="str">
        <f>_xlfn.XLOOKUP(N61,'Error-codes'!$C$2:$C$130,'Error-codes'!$B$2:$B$130, "None")</f>
        <v>battery level critical low</v>
      </c>
      <c r="P61" s="46" t="str">
        <f>_xlfn.XLOOKUP($A61,support_3rdline!$B$2:$B$150,support_3rdline!P$2:P$150,"")</f>
        <v>&lt;=</v>
      </c>
      <c r="Q61" s="46" t="str">
        <f>_xlfn.XLOOKUP($A61,support_3rdline!$B$2:$B$150,support_3rdline!Q$2:Q$150,"")</f>
        <v>/</v>
      </c>
      <c r="R61" s="46"/>
      <c r="S61" s="46" t="str">
        <f>_xlfn.XLOOKUP($A61,support_3rdline!$B$2:$B$150,support_3rdline!R$2:R$150,"")</f>
        <v>/</v>
      </c>
      <c r="T61" s="46" t="str">
        <f>_xlfn.XLOOKUP($A61,support_3rdline!$B$2:$B$150,support_3rdline!S$2:S$150,"")</f>
        <v>/</v>
      </c>
      <c r="U61" s="81">
        <f>DATEVALUE(LEFT(F61,10))</f>
        <v>44825</v>
      </c>
      <c r="V61" s="46">
        <f>_xlfn.XLOOKUP($A61,support_3rdline!$B$2:$B$150,support_3rdline!T$2:T$150,"")</f>
        <v>0</v>
      </c>
    </row>
    <row r="62" spans="1:22" ht="30.75" hidden="1">
      <c r="A62" s="56" t="s">
        <v>436</v>
      </c>
      <c r="B62" s="56" t="s">
        <v>2886</v>
      </c>
      <c r="C62" s="56" t="s">
        <v>437</v>
      </c>
      <c r="D62" s="56" t="s">
        <v>37</v>
      </c>
      <c r="E62" s="56" t="s">
        <v>2930</v>
      </c>
      <c r="F62" s="56" t="s">
        <v>3542</v>
      </c>
      <c r="G62" s="56">
        <v>102</v>
      </c>
      <c r="H62" s="56">
        <v>60</v>
      </c>
      <c r="I62" s="58">
        <v>0.58823529411764708</v>
      </c>
      <c r="J62" s="56" t="s">
        <v>438</v>
      </c>
      <c r="K62" s="56" t="s">
        <v>2171</v>
      </c>
      <c r="L62" s="56" t="s">
        <v>2948</v>
      </c>
      <c r="M62" s="56" t="str">
        <f>HYPERLINK("https://dribble.octin.io/?mode=Single+log&amp;log_id=4ff7b473-4313-4801-9f83-bb2ede124477","URL")</f>
        <v>URL</v>
      </c>
      <c r="N62" s="56" t="s">
        <v>3456</v>
      </c>
      <c r="O62" t="str">
        <f>_xlfn.XLOOKUP(N62,'Error-codes'!$C$2:$C$130,'Error-codes'!$B$2:$B$130, "None")</f>
        <v>motor drive: OVER VOLTAGE</v>
      </c>
      <c r="P62" s="46" t="str">
        <f>_xlfn.XLOOKUP($A62,support_3rdline!$B$2:$B$150,support_3rdline!P$2:P$150,"")</f>
        <v>Robot valt van de rails (+/- ah einde van de lane)</v>
      </c>
      <c r="Q62" s="46" t="str">
        <f>_xlfn.XLOOKUP($A62,support_3rdline!$B$2:$B$150,support_3rdline!Q$2:Q$150,"")</f>
        <v>/</v>
      </c>
      <c r="R62" s="46"/>
      <c r="S62" s="46" t="str">
        <f>_xlfn.XLOOKUP($A62,support_3rdline!$B$2:$B$150,support_3rdline!R$2:R$150,"")</f>
        <v>/</v>
      </c>
      <c r="T62" s="46" t="str">
        <f>_xlfn.XLOOKUP($A62,support_3rdline!$B$2:$B$150,support_3rdline!S$2:S$150,"")</f>
        <v>/</v>
      </c>
      <c r="U62" s="81">
        <f>DATEVALUE(LEFT(F62,10))</f>
        <v>44827</v>
      </c>
      <c r="V62" s="46">
        <f>_xlfn.XLOOKUP($A62,support_3rdline!$B$2:$B$150,support_3rdline!T$2:T$150,"")</f>
        <v>0</v>
      </c>
    </row>
    <row r="63" spans="1:22" ht="45.75" hidden="1">
      <c r="A63" s="56" t="s">
        <v>1352</v>
      </c>
      <c r="B63" s="56" t="s">
        <v>2886</v>
      </c>
      <c r="C63" s="56" t="s">
        <v>1354</v>
      </c>
      <c r="D63" s="56" t="s">
        <v>37</v>
      </c>
      <c r="E63" s="56" t="s">
        <v>2939</v>
      </c>
      <c r="F63" s="56" t="s">
        <v>2947</v>
      </c>
      <c r="G63" s="56">
        <v>102</v>
      </c>
      <c r="H63" s="56">
        <v>0</v>
      </c>
      <c r="I63" s="56">
        <v>0</v>
      </c>
      <c r="J63" s="56" t="s">
        <v>2766</v>
      </c>
      <c r="K63" s="56" t="s">
        <v>2171</v>
      </c>
      <c r="L63" s="56" t="s">
        <v>2948</v>
      </c>
      <c r="M63" s="56" t="str">
        <f>HYPERLINK("https://dribble.octin.io/?mode=Single+log&amp;log_id=c9099605-b5e0-41b1-9d4c-8b2538d8bf5c","URL")</f>
        <v>URL</v>
      </c>
      <c r="N63" s="56" t="s">
        <v>2933</v>
      </c>
      <c r="O63" t="str">
        <f>_xlfn.XLOOKUP(N63,'Error-codes'!$C$2:$C$130,'Error-codes'!$B$2:$B$130, "None")</f>
        <v>inductive sensor error</v>
      </c>
      <c r="P63" s="46" t="s">
        <v>2949</v>
      </c>
      <c r="Q63" s="46" t="s">
        <v>2950</v>
      </c>
      <c r="R63" s="46"/>
      <c r="S63" s="46" t="s">
        <v>2951</v>
      </c>
      <c r="T63" s="46" t="str">
        <f>_xlfn.XLOOKUP($A63,support_3rdline!$B$2:$B$150,support_3rdline!S$2:S$150,"")</f>
        <v/>
      </c>
      <c r="U63" s="81">
        <f>DATEVALUE(LEFT(F63,10))</f>
        <v>44830</v>
      </c>
      <c r="V63" s="46" t="str">
        <f>_xlfn.XLOOKUP($A63,support_3rdline!$B$2:$B$150,support_3rdline!T$2:T$150,"")</f>
        <v/>
      </c>
    </row>
    <row r="64" spans="1:22" ht="45.75" hidden="1">
      <c r="A64" s="56" t="s">
        <v>1356</v>
      </c>
      <c r="B64" s="56" t="s">
        <v>2886</v>
      </c>
      <c r="C64" s="56" t="s">
        <v>1354</v>
      </c>
      <c r="D64" s="56" t="s">
        <v>37</v>
      </c>
      <c r="E64" s="56" t="s">
        <v>2930</v>
      </c>
      <c r="F64" s="56" t="s">
        <v>2953</v>
      </c>
      <c r="G64" s="56">
        <v>102</v>
      </c>
      <c r="H64" s="56">
        <v>1</v>
      </c>
      <c r="I64" s="58">
        <v>9.8039215686274508E-3</v>
      </c>
      <c r="J64" s="56" t="s">
        <v>2766</v>
      </c>
      <c r="K64" s="56" t="s">
        <v>2171</v>
      </c>
      <c r="L64" s="56" t="s">
        <v>2948</v>
      </c>
      <c r="M64" s="45" t="str">
        <f>HYPERLINK("https://dribble.octin.io/?mode=Single+log&amp;log_id=c374cb48-23d0-4b67-8cc4-af74e13b54d0","URL")</f>
        <v>URL</v>
      </c>
      <c r="N64" s="56" t="s">
        <v>2933</v>
      </c>
      <c r="O64" t="str">
        <f>_xlfn.XLOOKUP(N64,'Error-codes'!$C$2:$C$130,'Error-codes'!$B$2:$B$130, "None")</f>
        <v>inductive sensor error</v>
      </c>
      <c r="P64" s="46" t="s">
        <v>2954</v>
      </c>
      <c r="Q64" s="46" t="s">
        <v>2950</v>
      </c>
      <c r="R64" s="46"/>
      <c r="S64" s="46" t="s">
        <v>2951</v>
      </c>
      <c r="T64" s="46" t="e">
        <f>_xlfn.XLOOKUP(#REF!,support_3rdline!$B$2:$B$150,support_3rdline!S$2:S$150,"")</f>
        <v>#REF!</v>
      </c>
      <c r="U64" s="81">
        <f>DATEVALUE(LEFT(F64,10))</f>
        <v>44830</v>
      </c>
      <c r="V64" s="46" t="e">
        <f>_xlfn.XLOOKUP(#REF!,support_3rdline!$B$2:$B$150,support_3rdline!T$2:T$150,"")</f>
        <v>#REF!</v>
      </c>
    </row>
    <row r="65" spans="1:22" ht="30.75" hidden="1">
      <c r="B65" s="56" t="s">
        <v>295</v>
      </c>
      <c r="C65" s="56" t="s">
        <v>2770</v>
      </c>
      <c r="D65" s="56" t="s">
        <v>388</v>
      </c>
      <c r="F65" s="56" t="s">
        <v>2773</v>
      </c>
      <c r="G65" s="56">
        <v>4</v>
      </c>
      <c r="H65" s="56">
        <v>4</v>
      </c>
      <c r="I65" s="58">
        <v>1</v>
      </c>
      <c r="K65" s="56" t="s">
        <v>1893</v>
      </c>
      <c r="L65" s="56" t="s">
        <v>2942</v>
      </c>
      <c r="O65">
        <f>_xlfn.XLOOKUP(N65,'Error-codes'!$C$2:$C$130,'Error-codes'!$B$2:$B$130, "None")</f>
        <v>0</v>
      </c>
      <c r="P65" s="46">
        <f>_xlfn.XLOOKUP($A65,support_3rdline!$B$2:$B$150,support_3rdline!P$2:P$150,"")</f>
        <v>0</v>
      </c>
      <c r="Q65" s="46">
        <f>_xlfn.XLOOKUP($A65,support_3rdline!$B$2:$B$150,support_3rdline!Q$2:Q$150,"")</f>
        <v>0</v>
      </c>
      <c r="R65" s="46"/>
      <c r="S65" s="46">
        <f>_xlfn.XLOOKUP($A65,support_3rdline!$B$2:$B$150,support_3rdline!R$2:R$150,"")</f>
        <v>0</v>
      </c>
      <c r="T65" s="51" t="s">
        <v>3543</v>
      </c>
      <c r="U65" s="81">
        <f>DATEVALUE(LEFT(F65,10))</f>
        <v>44830</v>
      </c>
      <c r="V65" s="46">
        <f>_xlfn.XLOOKUP($A65,support_3rdline!$B$2:$B$150,support_3rdline!T$2:T$150,"")</f>
        <v>0</v>
      </c>
    </row>
    <row r="66" spans="1:22" ht="30.75" hidden="1">
      <c r="A66" s="56" t="s">
        <v>440</v>
      </c>
      <c r="B66" s="56" t="s">
        <v>2886</v>
      </c>
      <c r="C66" s="56" t="s">
        <v>441</v>
      </c>
      <c r="D66" s="56" t="s">
        <v>37</v>
      </c>
      <c r="E66" s="56" t="s">
        <v>2930</v>
      </c>
      <c r="F66" s="56" t="s">
        <v>3544</v>
      </c>
      <c r="G66" s="56">
        <v>101</v>
      </c>
      <c r="H66" s="56">
        <v>61</v>
      </c>
      <c r="I66" s="58">
        <v>0.60396039603960394</v>
      </c>
      <c r="J66" s="56" t="s">
        <v>442</v>
      </c>
      <c r="K66" s="56" t="s">
        <v>2171</v>
      </c>
      <c r="L66" s="56" t="s">
        <v>2948</v>
      </c>
      <c r="M66" s="56" t="str">
        <f>HYPERLINK("https://dribble.octin.io/?mode=Single+log&amp;log_id=207ccb9a-ac16-4405-92da-bfee5a302d67","URL")</f>
        <v>URL</v>
      </c>
      <c r="N66" s="56" t="s">
        <v>3458</v>
      </c>
      <c r="O66" t="str">
        <f>_xlfn.XLOOKUP(N66,'Error-codes'!$C$2:$C$130,'Error-codes'!$B$2:$B$130, "None")</f>
        <v>motor drive: UNDER VOLTAGE</v>
      </c>
      <c r="P66" s="46" t="str">
        <f>_xlfn.XLOOKUP($A66,support_3rdline!$B$2:$B$150,support_3rdline!P$2:P$150,"")</f>
        <v>robot start laneswitch, operator duwt bumper in, heftruck stond in de weg</v>
      </c>
      <c r="Q66" s="46" t="str">
        <f>_xlfn.XLOOKUP($A66,support_3rdline!$B$2:$B$150,support_3rdline!Q$2:Q$150,"")</f>
        <v>/</v>
      </c>
      <c r="R66" s="46"/>
      <c r="S66" s="46" t="str">
        <f>_xlfn.XLOOKUP($A66,support_3rdline!$B$2:$B$150,support_3rdline!R$2:R$150,"")</f>
        <v>/</v>
      </c>
      <c r="T66" s="46" t="str">
        <f>_xlfn.XLOOKUP($A66,support_3rdline!$B$2:$B$150,support_3rdline!S$2:S$150,"")</f>
        <v>/</v>
      </c>
      <c r="U66" s="81">
        <f>DATEVALUE(LEFT(F66,10))</f>
        <v>44830</v>
      </c>
      <c r="V66" s="46">
        <f>_xlfn.XLOOKUP($A66,support_3rdline!$B$2:$B$150,support_3rdline!T$2:T$150,"")</f>
        <v>0</v>
      </c>
    </row>
    <row r="67" spans="1:22" hidden="1">
      <c r="B67" s="56" t="s">
        <v>2886</v>
      </c>
      <c r="C67" s="56" t="s">
        <v>2774</v>
      </c>
      <c r="D67" s="56" t="s">
        <v>388</v>
      </c>
      <c r="F67" s="56" t="s">
        <v>2777</v>
      </c>
      <c r="G67" s="56">
        <v>40</v>
      </c>
      <c r="H67" s="56">
        <v>40</v>
      </c>
      <c r="I67" s="58">
        <v>1</v>
      </c>
      <c r="K67" s="56" t="s">
        <v>2171</v>
      </c>
      <c r="L67" s="56" t="s">
        <v>2948</v>
      </c>
      <c r="O67">
        <f>_xlfn.XLOOKUP(N67,'Error-codes'!$C$2:$C$130,'Error-codes'!$B$2:$B$130, "None")</f>
        <v>0</v>
      </c>
      <c r="P67" s="46">
        <f>_xlfn.XLOOKUP($A67,support_3rdline!$B$2:$B$150,support_3rdline!P$2:P$150,"")</f>
        <v>0</v>
      </c>
      <c r="Q67" s="46">
        <f>_xlfn.XLOOKUP($A67,support_3rdline!$B$2:$B$150,support_3rdline!Q$2:Q$150,"")</f>
        <v>0</v>
      </c>
      <c r="R67" s="46"/>
      <c r="S67" s="46">
        <f>_xlfn.XLOOKUP($A67,support_3rdline!$B$2:$B$150,support_3rdline!R$2:R$150,"")</f>
        <v>0</v>
      </c>
      <c r="T67" s="46">
        <f>_xlfn.XLOOKUP($A67,support_3rdline!$B$2:$B$150,support_3rdline!S$2:S$150,"")</f>
        <v>0</v>
      </c>
      <c r="U67" s="81">
        <f>DATEVALUE(LEFT(F67,10))</f>
        <v>44830</v>
      </c>
      <c r="V67" s="46">
        <f>_xlfn.XLOOKUP($A67,support_3rdline!$B$2:$B$150,support_3rdline!T$2:T$150,"")</f>
        <v>0</v>
      </c>
    </row>
    <row r="68" spans="1:22" hidden="1">
      <c r="B68" s="56" t="s">
        <v>2886</v>
      </c>
      <c r="C68" s="56" t="s">
        <v>2778</v>
      </c>
      <c r="D68" s="56" t="s">
        <v>22</v>
      </c>
      <c r="F68" s="56" t="s">
        <v>2781</v>
      </c>
      <c r="G68" s="56">
        <v>101</v>
      </c>
      <c r="H68" s="56">
        <v>101</v>
      </c>
      <c r="I68" s="58">
        <v>1</v>
      </c>
      <c r="K68" s="56" t="s">
        <v>2166</v>
      </c>
      <c r="L68" s="56" t="s">
        <v>2948</v>
      </c>
      <c r="O68">
        <f>_xlfn.XLOOKUP(N68,'Error-codes'!$C$2:$C$130,'Error-codes'!$B$2:$B$130, "None")</f>
        <v>0</v>
      </c>
      <c r="P68" s="46">
        <f>_xlfn.XLOOKUP($A68,support_3rdline!$B$2:$B$150,support_3rdline!P$2:P$150,"")</f>
        <v>0</v>
      </c>
      <c r="Q68" s="46">
        <f>_xlfn.XLOOKUP($A68,support_3rdline!$B$2:$B$150,support_3rdline!Q$2:Q$150,"")</f>
        <v>0</v>
      </c>
      <c r="R68" s="46"/>
      <c r="S68" s="46">
        <f>_xlfn.XLOOKUP($A68,support_3rdline!$B$2:$B$150,support_3rdline!R$2:R$150,"")</f>
        <v>0</v>
      </c>
      <c r="T68" s="46">
        <f>_xlfn.XLOOKUP($A68,support_3rdline!$B$2:$B$150,support_3rdline!S$2:S$150,"")</f>
        <v>0</v>
      </c>
      <c r="U68" s="81">
        <f>DATEVALUE(LEFT(F68,10))</f>
        <v>44831</v>
      </c>
      <c r="V68" s="46">
        <f>_xlfn.XLOOKUP($A68,support_3rdline!$B$2:$B$150,support_3rdline!T$2:T$150,"")</f>
        <v>0</v>
      </c>
    </row>
    <row r="69" spans="1:22" hidden="1">
      <c r="B69" s="56" t="s">
        <v>2886</v>
      </c>
      <c r="C69" s="56" t="s">
        <v>2782</v>
      </c>
      <c r="D69" s="56" t="s">
        <v>388</v>
      </c>
      <c r="F69" s="56" t="s">
        <v>2785</v>
      </c>
      <c r="G69" s="56">
        <v>102</v>
      </c>
      <c r="H69" s="56">
        <v>102</v>
      </c>
      <c r="I69" s="58">
        <v>1</v>
      </c>
      <c r="K69" s="56" t="s">
        <v>2171</v>
      </c>
      <c r="L69" s="56" t="s">
        <v>2948</v>
      </c>
      <c r="O69">
        <f>_xlfn.XLOOKUP(N69,'Error-codes'!$C$2:$C$130,'Error-codes'!$B$2:$B$130, "None")</f>
        <v>0</v>
      </c>
      <c r="P69" s="46">
        <f>_xlfn.XLOOKUP($A69,support_3rdline!$B$2:$B$150,support_3rdline!P$2:P$150,"")</f>
        <v>0</v>
      </c>
      <c r="Q69" s="46">
        <f>_xlfn.XLOOKUP($A69,support_3rdline!$B$2:$B$150,support_3rdline!Q$2:Q$150,"")</f>
        <v>0</v>
      </c>
      <c r="R69" s="46"/>
      <c r="S69" s="46">
        <f>_xlfn.XLOOKUP($A69,support_3rdline!$B$2:$B$150,support_3rdline!R$2:R$150,"")</f>
        <v>0</v>
      </c>
      <c r="T69" s="46">
        <f>_xlfn.XLOOKUP($A69,support_3rdline!$B$2:$B$150,support_3rdline!S$2:S$150,"")</f>
        <v>0</v>
      </c>
      <c r="U69" s="81">
        <f>DATEVALUE(LEFT(F69,10))</f>
        <v>44832</v>
      </c>
      <c r="V69" s="46">
        <f>_xlfn.XLOOKUP($A69,support_3rdline!$B$2:$B$150,support_3rdline!T$2:T$150,"")</f>
        <v>0</v>
      </c>
    </row>
    <row r="70" spans="1:22" hidden="1">
      <c r="B70" s="56" t="s">
        <v>29</v>
      </c>
      <c r="C70" s="56" t="s">
        <v>2786</v>
      </c>
      <c r="D70" s="56" t="s">
        <v>388</v>
      </c>
      <c r="F70" s="56" t="s">
        <v>2789</v>
      </c>
      <c r="G70" s="56">
        <v>124</v>
      </c>
      <c r="H70" s="56">
        <v>124</v>
      </c>
      <c r="I70" s="58">
        <v>1</v>
      </c>
      <c r="K70" s="56" t="s">
        <v>1873</v>
      </c>
      <c r="L70" s="56" t="s">
        <v>2942</v>
      </c>
      <c r="O70">
        <f>_xlfn.XLOOKUP(N70,'Error-codes'!$C$2:$C$130,'Error-codes'!$B$2:$B$130, "None")</f>
        <v>0</v>
      </c>
      <c r="P70" s="46" t="s">
        <v>3379</v>
      </c>
      <c r="Q70" s="46" t="s">
        <v>3379</v>
      </c>
      <c r="R70" s="46"/>
      <c r="S70" s="46" t="s">
        <v>3379</v>
      </c>
      <c r="T70" s="46" t="s">
        <v>3379</v>
      </c>
      <c r="U70" s="81">
        <f>DATEVALUE(LEFT(F70,10))</f>
        <v>44832</v>
      </c>
      <c r="V70" s="46">
        <f>_xlfn.XLOOKUP($A70,support_3rdline!$B$2:$B$150,support_3rdline!T$2:T$150,"")</f>
        <v>0</v>
      </c>
    </row>
    <row r="71" spans="1:22" hidden="1">
      <c r="B71" s="56" t="s">
        <v>2886</v>
      </c>
      <c r="C71" s="56" t="s">
        <v>2790</v>
      </c>
      <c r="D71" s="56" t="s">
        <v>22</v>
      </c>
      <c r="F71" s="56" t="s">
        <v>2793</v>
      </c>
      <c r="G71" s="56">
        <v>101</v>
      </c>
      <c r="H71" s="56">
        <v>101</v>
      </c>
      <c r="I71" s="58">
        <v>1</v>
      </c>
      <c r="K71" s="56" t="s">
        <v>2166</v>
      </c>
      <c r="L71" s="56" t="s">
        <v>2948</v>
      </c>
      <c r="O71">
        <f>_xlfn.XLOOKUP(N71,'Error-codes'!$C$2:$C$130,'Error-codes'!$B$2:$B$130, "None")</f>
        <v>0</v>
      </c>
      <c r="P71" s="46">
        <f>_xlfn.XLOOKUP($A71,support_3rdline!$B$2:$B$150,support_3rdline!P$2:P$150,"")</f>
        <v>0</v>
      </c>
      <c r="Q71" s="46">
        <f>_xlfn.XLOOKUP($A71,support_3rdline!$B$2:$B$150,support_3rdline!Q$2:Q$150,"")</f>
        <v>0</v>
      </c>
      <c r="R71" s="46"/>
      <c r="S71" s="46">
        <f>_xlfn.XLOOKUP($A71,support_3rdline!$B$2:$B$150,support_3rdline!R$2:R$150,"")</f>
        <v>0</v>
      </c>
      <c r="T71" s="46">
        <f>_xlfn.XLOOKUP($A71,support_3rdline!$B$2:$B$150,support_3rdline!S$2:S$150,"")</f>
        <v>0</v>
      </c>
      <c r="U71" s="81">
        <f>DATEVALUE(LEFT(F71,10))</f>
        <v>44832</v>
      </c>
      <c r="V71" s="46">
        <f>_xlfn.XLOOKUP($A71,support_3rdline!$B$2:$B$150,support_3rdline!T$2:T$150,"")</f>
        <v>0</v>
      </c>
    </row>
    <row r="72" spans="1:22" ht="167.25" hidden="1">
      <c r="A72" s="56" t="s">
        <v>443</v>
      </c>
      <c r="B72" s="56" t="s">
        <v>29</v>
      </c>
      <c r="C72" s="56" t="s">
        <v>444</v>
      </c>
      <c r="D72" s="56" t="s">
        <v>37</v>
      </c>
      <c r="E72" s="56" t="s">
        <v>2939</v>
      </c>
      <c r="F72" s="56" t="s">
        <v>3545</v>
      </c>
      <c r="G72" s="56">
        <v>37</v>
      </c>
      <c r="H72" s="56">
        <v>17</v>
      </c>
      <c r="I72" s="58">
        <v>0.45945945945945948</v>
      </c>
      <c r="J72" s="56" t="s">
        <v>445</v>
      </c>
      <c r="K72" s="56" t="s">
        <v>1893</v>
      </c>
      <c r="L72" s="56" t="s">
        <v>2942</v>
      </c>
      <c r="M72" s="56" t="str">
        <f>HYPERLINK("https://dribble.octin.io/?mode=Single+log&amp;log_id=c37603c9-3f67-48da-be96-0a5f23819042","URL")</f>
        <v>URL</v>
      </c>
      <c r="N72" s="56" t="s">
        <v>3442</v>
      </c>
      <c r="O72" t="str">
        <f>_xlfn.XLOOKUP(N72,'Error-codes'!$C$2:$C$130,'Error-codes'!$B$2:$B$130, "None")</f>
        <v>vehicle diverged too far from trajectory</v>
      </c>
      <c r="P72" s="46" t="str">
        <f>_xlfn.XLOOKUP($A72,support_3rdline!$B$2:$B$150,support_3rdline!P$2:P$150,"")</f>
        <v>Robot gaat in error vlak voor einde van de lane (ter hoogte van wall), normale condities</v>
      </c>
      <c r="Q72" s="46" t="s">
        <v>3546</v>
      </c>
      <c r="R72" s="46"/>
      <c r="S72" s="46" t="s">
        <v>3547</v>
      </c>
      <c r="T72" s="51" t="s">
        <v>3543</v>
      </c>
      <c r="U72" s="81">
        <f>DATEVALUE(LEFT(F72,10))</f>
        <v>44832</v>
      </c>
      <c r="V72" s="46" t="s">
        <v>3548</v>
      </c>
    </row>
    <row r="73" spans="1:22" ht="45.75" hidden="1">
      <c r="A73" s="56" t="s">
        <v>2955</v>
      </c>
      <c r="B73" s="56" t="s">
        <v>2886</v>
      </c>
      <c r="C73" s="56" t="s">
        <v>2798</v>
      </c>
      <c r="D73" s="56" t="s">
        <v>37</v>
      </c>
      <c r="E73" s="56" t="s">
        <v>2930</v>
      </c>
      <c r="F73" s="56" t="s">
        <v>2956</v>
      </c>
      <c r="G73" s="56">
        <v>101</v>
      </c>
      <c r="H73" s="56">
        <v>15</v>
      </c>
      <c r="I73" s="58">
        <v>0.14851485148514851</v>
      </c>
      <c r="J73" s="56" t="s">
        <v>2802</v>
      </c>
      <c r="K73" s="56" t="s">
        <v>2166</v>
      </c>
      <c r="L73" s="56" t="s">
        <v>2948</v>
      </c>
      <c r="M73" s="56" t="str">
        <f>HYPERLINK("https://dribble.octin.io/?mode=Single+log&amp;log_id=88600be4-fecc-45c9-9121-ffb818c7a3ce","URL")</f>
        <v>URL</v>
      </c>
      <c r="N73" s="56" t="s">
        <v>2933</v>
      </c>
      <c r="O73" t="str">
        <f>_xlfn.XLOOKUP(N73,'Error-codes'!$C$2:$C$130,'Error-codes'!$B$2:$B$130, "None")</f>
        <v>inductive sensor error</v>
      </c>
      <c r="P73" s="46" t="str">
        <f>_xlfn.XLOOKUP($A73,support_3rdline!$B$2:$B$150,support_3rdline!P$2:P$150,"")</f>
        <v/>
      </c>
      <c r="Q73" s="51" t="s">
        <v>2957</v>
      </c>
      <c r="R73" s="51"/>
      <c r="S73" s="46" t="s">
        <v>2958</v>
      </c>
      <c r="T73" s="46" t="str">
        <f>_xlfn.XLOOKUP($A73,support_3rdline!$B$2:$B$150,support_3rdline!S$2:S$150,"")</f>
        <v/>
      </c>
      <c r="U73" s="81">
        <f>DATEVALUE(LEFT(F73,10))</f>
        <v>44832</v>
      </c>
      <c r="V73" s="46" t="str">
        <f>_xlfn.XLOOKUP($A73,support_3rdline!$B$2:$B$150,support_3rdline!T$2:T$150,"")</f>
        <v/>
      </c>
    </row>
    <row r="74" spans="1:22" ht="45.75" hidden="1">
      <c r="A74" s="56" t="s">
        <v>446</v>
      </c>
      <c r="B74" s="56" t="s">
        <v>295</v>
      </c>
      <c r="C74" s="56" t="s">
        <v>447</v>
      </c>
      <c r="D74" s="56" t="s">
        <v>37</v>
      </c>
      <c r="E74" s="56" t="s">
        <v>3501</v>
      </c>
      <c r="F74" s="56" t="s">
        <v>3549</v>
      </c>
      <c r="G74" s="56">
        <v>61</v>
      </c>
      <c r="H74" s="56">
        <v>21</v>
      </c>
      <c r="I74" s="58">
        <v>0.34426229508196721</v>
      </c>
      <c r="J74" s="56" t="s">
        <v>448</v>
      </c>
      <c r="K74" s="56" t="s">
        <v>1893</v>
      </c>
      <c r="L74" s="56" t="s">
        <v>2942</v>
      </c>
      <c r="M74" s="56" t="str">
        <f>HYPERLINK("https://dribble.octin.io/?mode=Single+log&amp;log_id=c01b71f8-8afc-455d-8d49-1cb1e63afa57","URL")</f>
        <v>URL</v>
      </c>
      <c r="N74" s="56" t="s">
        <v>3460</v>
      </c>
      <c r="O74" t="str">
        <f>_xlfn.XLOOKUP(N74,'Error-codes'!$C$2:$C$130,'Error-codes'!$B$2:$B$130, "None")</f>
        <v>motor drive: DRV8353 FAULT</v>
      </c>
      <c r="P74" s="46" t="str">
        <f>_xlfn.XLOOKUP($A74,support_3rdline!$B$2:$B$150,support_3rdline!P$2:P$150,"")</f>
        <v>Tijdens laneswitch duwt operator op noodknop, robot ging rij inrijden met spuitmachine</v>
      </c>
      <c r="Q74" s="46" t="str">
        <f>_xlfn.XLOOKUP($A74,support_3rdline!$B$2:$B$150,support_3rdline!Q$2:Q$150,"")</f>
        <v>/</v>
      </c>
      <c r="R74" s="46"/>
      <c r="S74" s="46" t="str">
        <f>_xlfn.XLOOKUP($A74,support_3rdline!$B$2:$B$150,support_3rdline!R$2:R$150,"")</f>
        <v>/</v>
      </c>
      <c r="T74" s="46" t="str">
        <f>_xlfn.XLOOKUP($A74,support_3rdline!$B$2:$B$150,support_3rdline!S$2:S$150,"")</f>
        <v>/</v>
      </c>
      <c r="U74" s="81">
        <f>DATEVALUE(LEFT(F74,10))</f>
        <v>44832</v>
      </c>
      <c r="V74" s="46">
        <f>_xlfn.XLOOKUP($A74,support_3rdline!$B$2:$B$150,support_3rdline!T$2:T$150,"")</f>
        <v>0</v>
      </c>
    </row>
    <row r="75" spans="1:22" ht="121.5" hidden="1">
      <c r="A75" s="56" t="s">
        <v>449</v>
      </c>
      <c r="B75" s="56" t="s">
        <v>295</v>
      </c>
      <c r="C75" s="56" t="s">
        <v>450</v>
      </c>
      <c r="D75" s="56" t="s">
        <v>37</v>
      </c>
      <c r="E75" s="56" t="s">
        <v>2939</v>
      </c>
      <c r="F75" s="56" t="s">
        <v>3550</v>
      </c>
      <c r="G75" s="56">
        <v>61</v>
      </c>
      <c r="H75" s="56">
        <v>4</v>
      </c>
      <c r="I75" s="58">
        <v>6.5573770491803282E-2</v>
      </c>
      <c r="J75" s="56" t="s">
        <v>3551</v>
      </c>
      <c r="K75" s="56" t="s">
        <v>1893</v>
      </c>
      <c r="L75" s="56" t="s">
        <v>2942</v>
      </c>
      <c r="M75" s="56" t="str">
        <f>HYPERLINK("https://dribble.octin.io/?mode=Single+log&amp;log_id=550dbbfa-ad87-490a-b6cb-97e9868db400","URL")</f>
        <v>URL</v>
      </c>
      <c r="N75" s="56" t="s">
        <v>3446</v>
      </c>
      <c r="O75" t="str">
        <f>_xlfn.XLOOKUP(N75,'Error-codes'!$C$2:$C$130,'Error-codes'!$B$2:$B$130, "None")</f>
        <v>end of lane wall sensor error</v>
      </c>
      <c r="P75" s="46" t="str">
        <f>_xlfn.XLOOKUP($A75,support_3rdline!$B$2:$B$150,support_3rdline!P$2:P$150,"")</f>
        <v>Robot rijdt in lane richting wall, op ong 10m van wall staat hij stil en gaat in error. Normale condities</v>
      </c>
      <c r="Q75" s="51" t="s">
        <v>2957</v>
      </c>
      <c r="R75" s="51"/>
      <c r="S75" s="46" t="s">
        <v>3552</v>
      </c>
      <c r="T75" s="46">
        <f>_xlfn.XLOOKUP($A75,support_3rdline!$B$2:$B$150,support_3rdline!S$2:S$150,"")</f>
        <v>0</v>
      </c>
      <c r="U75" s="81">
        <f>DATEVALUE(LEFT(F75,10))</f>
        <v>44832</v>
      </c>
      <c r="V75" s="46" t="s">
        <v>3553</v>
      </c>
    </row>
    <row r="76" spans="1:22" ht="45.75" hidden="1">
      <c r="A76" s="56" t="s">
        <v>451</v>
      </c>
      <c r="B76" s="56" t="s">
        <v>295</v>
      </c>
      <c r="C76" s="56" t="s">
        <v>450</v>
      </c>
      <c r="D76" s="56" t="s">
        <v>37</v>
      </c>
      <c r="E76" s="56" t="s">
        <v>2959</v>
      </c>
      <c r="F76" s="56" t="s">
        <v>2960</v>
      </c>
      <c r="G76" s="56">
        <v>61</v>
      </c>
      <c r="H76" s="56">
        <v>32</v>
      </c>
      <c r="I76" s="58">
        <v>0.52459016393442626</v>
      </c>
      <c r="J76" s="56" t="s">
        <v>452</v>
      </c>
      <c r="K76" s="56" t="s">
        <v>1893</v>
      </c>
      <c r="L76" s="56" t="s">
        <v>2942</v>
      </c>
      <c r="M76" s="56" t="str">
        <f>HYPERLINK("https://dribble.octin.io/?mode=Single+log&amp;log_id=54ed8e33-b078-476c-ae08-d18370b54092","URL")</f>
        <v>URL</v>
      </c>
      <c r="N76" s="56" t="s">
        <v>2933</v>
      </c>
      <c r="O76" t="str">
        <f>_xlfn.XLOOKUP(N76,'Error-codes'!$C$2:$C$130,'Error-codes'!$B$2:$B$130, "None")</f>
        <v>inductive sensor error</v>
      </c>
      <c r="P76" s="46" t="str">
        <f>_xlfn.XLOOKUP($A76,support_3rdline!$B$2:$B$150,support_3rdline!P$2:P$150,"")</f>
        <v>Robot rijdt richting gangpad, vertraagt te vroeg en staat ongv 3m voor einde stil op rails. Lane met Controlebox!</v>
      </c>
      <c r="Q76" s="46">
        <f>_xlfn.XLOOKUP($A76,support_3rdline!$B$2:$B$150,support_3rdline!Q$2:Q$150,"")</f>
        <v>0</v>
      </c>
      <c r="R76" s="46"/>
      <c r="S76" s="46">
        <f>_xlfn.XLOOKUP($A76,support_3rdline!$B$2:$B$150,support_3rdline!R$2:R$150,"")</f>
        <v>0</v>
      </c>
      <c r="T76" s="46">
        <f>_xlfn.XLOOKUP($A76,support_3rdline!$B$2:$B$150,support_3rdline!S$2:S$150,"")</f>
        <v>0</v>
      </c>
      <c r="U76" s="81">
        <f>DATEVALUE(LEFT(F76,10))</f>
        <v>44832</v>
      </c>
      <c r="V76" s="46">
        <f>_xlfn.XLOOKUP($A76,support_3rdline!$B$2:$B$150,support_3rdline!T$2:T$150,"")</f>
        <v>0</v>
      </c>
    </row>
    <row r="77" spans="1:22" ht="45.75" hidden="1">
      <c r="A77" s="56" t="s">
        <v>456</v>
      </c>
      <c r="B77" s="56" t="s">
        <v>29</v>
      </c>
      <c r="C77" s="56" t="s">
        <v>457</v>
      </c>
      <c r="D77" s="56" t="s">
        <v>37</v>
      </c>
      <c r="E77" s="56" t="s">
        <v>2959</v>
      </c>
      <c r="F77" s="56" t="s">
        <v>2962</v>
      </c>
      <c r="G77" s="56">
        <v>137</v>
      </c>
      <c r="H77" s="56">
        <v>33</v>
      </c>
      <c r="I77" s="58">
        <v>0.24087591240875914</v>
      </c>
      <c r="J77" s="56" t="s">
        <v>416</v>
      </c>
      <c r="K77" s="56" t="s">
        <v>1893</v>
      </c>
      <c r="L77" s="56" t="s">
        <v>2942</v>
      </c>
      <c r="M77" s="56" t="str">
        <f>HYPERLINK("https://dribble.octin.io/?mode=Single+log&amp;log_id=00d7743f-abdd-4f90-9023-8737c7992c94","URL")</f>
        <v>URL</v>
      </c>
      <c r="N77" s="56" t="s">
        <v>2933</v>
      </c>
      <c r="O77" t="str">
        <f>_xlfn.XLOOKUP(N77,'Error-codes'!$C$2:$C$130,'Error-codes'!$B$2:$B$130, "None")</f>
        <v>inductive sensor error</v>
      </c>
      <c r="P77" s="46" t="str">
        <f>_xlfn.XLOOKUP($A77,support_3rdline!$B$2:$B$150,support_3rdline!P$2:P$150,"")</f>
        <v>Robot rijdt richting gangpad, vertraagt te vroeg en staat ongv 3m voor einde stil op rails. Lane met Controlebox!</v>
      </c>
      <c r="Q77" s="46">
        <f>_xlfn.XLOOKUP($A77,support_3rdline!$B$2:$B$150,support_3rdline!Q$2:Q$150,"")</f>
        <v>0</v>
      </c>
      <c r="R77" s="46"/>
      <c r="S77" s="46">
        <f>_xlfn.XLOOKUP($A77,support_3rdline!$B$2:$B$150,support_3rdline!R$2:R$150,"")</f>
        <v>0</v>
      </c>
      <c r="T77" s="46">
        <f>_xlfn.XLOOKUP($A77,support_3rdline!$B$2:$B$150,support_3rdline!S$2:S$150,"")</f>
        <v>0</v>
      </c>
      <c r="U77" s="81">
        <f>DATEVALUE(LEFT(F77,10))</f>
        <v>44833</v>
      </c>
      <c r="V77" s="46">
        <f>_xlfn.XLOOKUP($A77,support_3rdline!$B$2:$B$150,support_3rdline!T$2:T$150,"")</f>
        <v>0</v>
      </c>
    </row>
    <row r="78" spans="1:22" hidden="1">
      <c r="B78" s="56" t="s">
        <v>228</v>
      </c>
      <c r="C78" s="56" t="s">
        <v>2794</v>
      </c>
      <c r="D78" s="56" t="s">
        <v>388</v>
      </c>
      <c r="F78" s="56" t="s">
        <v>2797</v>
      </c>
      <c r="G78" s="56">
        <v>101</v>
      </c>
      <c r="H78" s="56">
        <v>101</v>
      </c>
      <c r="I78" s="58">
        <v>1</v>
      </c>
      <c r="K78" s="56" t="s">
        <v>2166</v>
      </c>
      <c r="L78" s="56" t="s">
        <v>2948</v>
      </c>
      <c r="O78">
        <f>_xlfn.XLOOKUP(N78,'Error-codes'!$C$2:$C$130,'Error-codes'!$B$2:$B$130, "None")</f>
        <v>0</v>
      </c>
      <c r="P78" s="46">
        <f>_xlfn.XLOOKUP(A78,support_3rdline!$B$2:$B$150,support_3rdline!P$2:P$150,"")</f>
        <v>0</v>
      </c>
      <c r="Q78" s="46">
        <f>_xlfn.XLOOKUP($A78,support_3rdline!$B$2:$B$150,support_3rdline!Q$2:Q$150,"")</f>
        <v>0</v>
      </c>
      <c r="R78" s="46"/>
      <c r="S78" s="46">
        <f>_xlfn.XLOOKUP($A78,support_3rdline!$B$2:$B$150,support_3rdline!R$2:R$150,"")</f>
        <v>0</v>
      </c>
      <c r="T78" s="46">
        <f>_xlfn.XLOOKUP($A78,support_3rdline!$B$2:$B$150,support_3rdline!S$2:S$150,"")</f>
        <v>0</v>
      </c>
      <c r="U78" s="81">
        <f>DATEVALUE(LEFT(F78,10))</f>
        <v>44833</v>
      </c>
      <c r="V78" s="46">
        <f>_xlfn.XLOOKUP($A78,support_3rdline!$B$2:$B$150,support_3rdline!T$2:T$150,"")</f>
        <v>0</v>
      </c>
    </row>
    <row r="79" spans="1:22" hidden="1">
      <c r="B79" s="56" t="s">
        <v>2886</v>
      </c>
      <c r="C79" s="56" t="s">
        <v>2820</v>
      </c>
      <c r="D79" s="56" t="s">
        <v>22</v>
      </c>
      <c r="F79" s="56" t="s">
        <v>2823</v>
      </c>
      <c r="G79" s="56">
        <v>102</v>
      </c>
      <c r="H79" s="56">
        <v>102</v>
      </c>
      <c r="I79" s="58">
        <v>1</v>
      </c>
      <c r="K79" s="56" t="s">
        <v>2171</v>
      </c>
      <c r="L79" s="56" t="s">
        <v>2948</v>
      </c>
      <c r="O79">
        <f>_xlfn.XLOOKUP(N79,'Error-codes'!$C$2:$C$130,'Error-codes'!$B$2:$B$130, "None")</f>
        <v>0</v>
      </c>
      <c r="P79" s="46">
        <f>_xlfn.XLOOKUP($A79,support_3rdline!$B$2:$B$150,support_3rdline!P$2:P$150,"")</f>
        <v>0</v>
      </c>
      <c r="Q79" s="46">
        <f>_xlfn.XLOOKUP($A79,support_3rdline!$B$2:$B$150,support_3rdline!Q$2:Q$150,"")</f>
        <v>0</v>
      </c>
      <c r="R79" s="46"/>
      <c r="S79" s="46">
        <f>_xlfn.XLOOKUP($A79,support_3rdline!$B$2:$B$150,support_3rdline!R$2:R$150,"")</f>
        <v>0</v>
      </c>
      <c r="T79" s="46">
        <f>_xlfn.XLOOKUP($A79,support_3rdline!$B$2:$B$150,support_3rdline!S$2:S$150,"")</f>
        <v>0</v>
      </c>
      <c r="U79" s="81">
        <f>DATEVALUE(LEFT(F79,10))</f>
        <v>44833</v>
      </c>
      <c r="V79" s="46">
        <f>_xlfn.XLOOKUP($A79,support_3rdline!$B$2:$B$150,support_3rdline!T$2:T$150,"")</f>
        <v>0</v>
      </c>
    </row>
    <row r="80" spans="1:22" ht="76.5" hidden="1">
      <c r="A80" s="56" t="s">
        <v>453</v>
      </c>
      <c r="B80" s="56" t="s">
        <v>2886</v>
      </c>
      <c r="C80" s="56" t="s">
        <v>454</v>
      </c>
      <c r="D80" s="56" t="s">
        <v>37</v>
      </c>
      <c r="E80" s="56" t="s">
        <v>2930</v>
      </c>
      <c r="F80" s="56" t="s">
        <v>2963</v>
      </c>
      <c r="G80" s="56">
        <v>101</v>
      </c>
      <c r="H80" s="56">
        <v>10</v>
      </c>
      <c r="I80" s="58">
        <v>9.9009900990099015E-2</v>
      </c>
      <c r="J80" s="56" t="s">
        <v>455</v>
      </c>
      <c r="K80" s="56" t="s">
        <v>2166</v>
      </c>
      <c r="L80" s="56" t="s">
        <v>2948</v>
      </c>
      <c r="M80" s="56" t="str">
        <f>HYPERLINK("https://dribble.octin.io/?mode=Single+log&amp;log_id=935f4491-8261-4ca5-88d1-2666a0688b5e","URL")</f>
        <v>URL</v>
      </c>
      <c r="N80" s="56" t="s">
        <v>2933</v>
      </c>
      <c r="O80" t="str">
        <f>_xlfn.XLOOKUP(N80,'Error-codes'!$C$2:$C$130,'Error-codes'!$B$2:$B$130, "None")</f>
        <v>inductive sensor error</v>
      </c>
      <c r="P80" s="46" t="str">
        <f>_xlfn.XLOOKUP($A80,support_3rdline!$B$2:$B$150,support_3rdline!P$2:P$150,"")</f>
        <v>Robot rijdt uit lane gangpad terug op, lijkt tegen betonrand te botsen met achterwielen en te blijven haken. Op moment van error bolt de robot klein beetje terug</v>
      </c>
      <c r="Q80" s="51" t="s">
        <v>2957</v>
      </c>
      <c r="R80" s="51"/>
      <c r="S80" s="46" t="s">
        <v>2965</v>
      </c>
      <c r="T80" s="46">
        <f>_xlfn.XLOOKUP($A80,support_3rdline!$B$2:$B$150,support_3rdline!S$2:S$150,"")</f>
        <v>0</v>
      </c>
      <c r="U80" s="81">
        <f>DATEVALUE(LEFT(F80,10))</f>
        <v>44833</v>
      </c>
      <c r="V80" s="46">
        <f>_xlfn.XLOOKUP($A80,support_3rdline!$B$2:$B$150,support_3rdline!T$2:T$150,"")</f>
        <v>0</v>
      </c>
    </row>
    <row r="81" spans="1:22" ht="30.75" hidden="1">
      <c r="A81" s="56" t="s">
        <v>458</v>
      </c>
      <c r="B81" s="56" t="s">
        <v>29</v>
      </c>
      <c r="C81" s="56" t="s">
        <v>459</v>
      </c>
      <c r="D81" s="56" t="s">
        <v>37</v>
      </c>
      <c r="E81" s="56" t="s">
        <v>2959</v>
      </c>
      <c r="F81" s="56" t="s">
        <v>3554</v>
      </c>
      <c r="G81" s="56">
        <v>99</v>
      </c>
      <c r="H81" s="56">
        <v>22</v>
      </c>
      <c r="I81" s="58">
        <v>0.22222222222222221</v>
      </c>
      <c r="J81" s="56" t="s">
        <v>460</v>
      </c>
      <c r="K81" s="56" t="s">
        <v>1893</v>
      </c>
      <c r="L81" s="56" t="s">
        <v>2942</v>
      </c>
      <c r="M81" s="56" t="str">
        <f>HYPERLINK("https://dribble.octin.io/?mode=Single+log&amp;log_id=bd842b45-b9dc-453c-b96a-8665922009fc","URL")</f>
        <v>URL</v>
      </c>
      <c r="N81" s="56" t="s">
        <v>3442</v>
      </c>
      <c r="O81" t="str">
        <f>_xlfn.XLOOKUP(N81,'Error-codes'!$C$2:$C$130,'Error-codes'!$B$2:$B$130, "None")</f>
        <v>vehicle diverged too far from trajectory</v>
      </c>
      <c r="P81" s="46" t="str">
        <f>_xlfn.XLOOKUP($A81,support_3rdline!$B$2:$B$150,support_3rdline!P$2:P$150,"")</f>
        <v>Robot slipt/duwt tegen de rails (slijpschijfbug)</v>
      </c>
      <c r="Q81" s="46">
        <f>_xlfn.XLOOKUP($A81,support_3rdline!$B$2:$B$150,support_3rdline!Q$2:Q$150,"")</f>
        <v>0</v>
      </c>
      <c r="R81" s="46"/>
      <c r="S81" s="46">
        <f>_xlfn.XLOOKUP($A81,support_3rdline!$B$2:$B$150,support_3rdline!R$2:R$150,"")</f>
        <v>0</v>
      </c>
      <c r="T81" s="46">
        <f>_xlfn.XLOOKUP($A81,support_3rdline!$B$2:$B$150,support_3rdline!S$2:S$150,"")</f>
        <v>0</v>
      </c>
      <c r="U81" s="81">
        <f>DATEVALUE(LEFT(F81,10))</f>
        <v>44833</v>
      </c>
      <c r="V81" s="46">
        <f>_xlfn.XLOOKUP($A81,support_3rdline!$B$2:$B$150,support_3rdline!T$2:T$150,"")</f>
        <v>0</v>
      </c>
    </row>
    <row r="82" spans="1:22" hidden="1">
      <c r="B82" s="56" t="s">
        <v>295</v>
      </c>
      <c r="C82" s="56" t="s">
        <v>2824</v>
      </c>
      <c r="D82" s="56" t="s">
        <v>388</v>
      </c>
      <c r="F82" s="56" t="s">
        <v>2827</v>
      </c>
      <c r="G82" s="56">
        <v>173</v>
      </c>
      <c r="H82" s="56">
        <v>173</v>
      </c>
      <c r="I82" s="58">
        <v>1</v>
      </c>
      <c r="K82" s="56" t="s">
        <v>1893</v>
      </c>
      <c r="L82" s="56" t="s">
        <v>2942</v>
      </c>
      <c r="O82">
        <f>_xlfn.XLOOKUP(N82,'Error-codes'!$C$2:$C$130,'Error-codes'!$B$2:$B$130, "None")</f>
        <v>0</v>
      </c>
      <c r="P82" s="46" t="s">
        <v>3379</v>
      </c>
      <c r="Q82" s="46" t="s">
        <v>3379</v>
      </c>
      <c r="R82" s="46"/>
      <c r="S82" s="46" t="s">
        <v>3379</v>
      </c>
      <c r="T82" s="46" t="s">
        <v>3379</v>
      </c>
      <c r="U82" s="81">
        <f>DATEVALUE(LEFT(F82,10))</f>
        <v>44834</v>
      </c>
      <c r="V82" s="46">
        <f>_xlfn.XLOOKUP($A82,support_3rdline!$B$2:$B$150,support_3rdline!T$2:T$150,"")</f>
        <v>0</v>
      </c>
    </row>
    <row r="83" spans="1:22" hidden="1">
      <c r="B83" s="56" t="s">
        <v>29</v>
      </c>
      <c r="C83" s="56" t="s">
        <v>2838</v>
      </c>
      <c r="D83" s="56" t="s">
        <v>22</v>
      </c>
      <c r="F83" s="56" t="s">
        <v>2841</v>
      </c>
      <c r="G83" s="56">
        <v>150</v>
      </c>
      <c r="H83" s="56">
        <v>2</v>
      </c>
      <c r="I83" s="58">
        <v>1.3333333333333334E-2</v>
      </c>
      <c r="K83" s="56" t="s">
        <v>1893</v>
      </c>
      <c r="L83" s="56" t="s">
        <v>2942</v>
      </c>
      <c r="O83">
        <f>_xlfn.XLOOKUP(N83,'Error-codes'!$C$2:$C$130,'Error-codes'!$B$2:$B$130, "None")</f>
        <v>0</v>
      </c>
      <c r="U83" s="81">
        <f>DATEVALUE(LEFT(F83,10))</f>
        <v>44835</v>
      </c>
    </row>
    <row r="84" spans="1:22" hidden="1">
      <c r="B84" s="56" t="s">
        <v>29</v>
      </c>
      <c r="C84" s="56" t="s">
        <v>2842</v>
      </c>
      <c r="D84" s="56" t="s">
        <v>22</v>
      </c>
      <c r="F84" s="56" t="s">
        <v>2845</v>
      </c>
      <c r="G84" s="56">
        <v>142</v>
      </c>
      <c r="H84" s="56">
        <v>4</v>
      </c>
      <c r="I84" s="58">
        <v>2.8169014084507043E-2</v>
      </c>
      <c r="K84" s="56" t="s">
        <v>1893</v>
      </c>
      <c r="L84" s="56" t="s">
        <v>2942</v>
      </c>
      <c r="O84">
        <f>_xlfn.XLOOKUP(N84,'Error-codes'!$C$2:$C$130,'Error-codes'!$B$2:$B$130, "None")</f>
        <v>0</v>
      </c>
      <c r="U84" s="81">
        <f>DATEVALUE(LEFT(F84,10))</f>
        <v>44835</v>
      </c>
    </row>
    <row r="85" spans="1:22" hidden="1">
      <c r="B85" s="56" t="s">
        <v>228</v>
      </c>
      <c r="C85" s="56" t="s">
        <v>3555</v>
      </c>
      <c r="D85" s="56" t="s">
        <v>22</v>
      </c>
      <c r="F85" s="56" t="s">
        <v>3556</v>
      </c>
      <c r="G85" s="56">
        <v>101</v>
      </c>
      <c r="H85" s="56">
        <v>0</v>
      </c>
      <c r="I85" s="58">
        <v>0</v>
      </c>
      <c r="K85" s="56" t="s">
        <v>2166</v>
      </c>
      <c r="L85" s="56" t="s">
        <v>2948</v>
      </c>
      <c r="O85">
        <f>_xlfn.XLOOKUP(N85,'Error-codes'!$C$2:$C$130,'Error-codes'!$B$2:$B$130, "None")</f>
        <v>0</v>
      </c>
      <c r="U85" s="81">
        <f>DATEVALUE(LEFT(F85,10))</f>
        <v>44835</v>
      </c>
    </row>
    <row r="86" spans="1:22" hidden="1">
      <c r="A86" s="56"/>
      <c r="B86" s="56" t="s">
        <v>228</v>
      </c>
      <c r="C86" s="56" t="s">
        <v>3557</v>
      </c>
      <c r="D86" s="56" t="s">
        <v>37</v>
      </c>
      <c r="E86" s="56" t="s">
        <v>2930</v>
      </c>
      <c r="F86" s="56" t="s">
        <v>3558</v>
      </c>
      <c r="G86" s="56">
        <v>101</v>
      </c>
      <c r="H86" s="56">
        <v>7</v>
      </c>
      <c r="I86" s="58">
        <v>6.9306930693069313E-2</v>
      </c>
      <c r="J86" s="56" t="s">
        <v>3559</v>
      </c>
      <c r="K86" s="56" t="s">
        <v>2166</v>
      </c>
      <c r="L86" s="56" t="s">
        <v>2948</v>
      </c>
      <c r="N86" s="56" t="s">
        <v>3446</v>
      </c>
      <c r="O86" t="str">
        <f>_xlfn.XLOOKUP(N86,'Error-codes'!$C$2:$C$130,'Error-codes'!$B$2:$B$130, "None")</f>
        <v>end of lane wall sensor error</v>
      </c>
      <c r="P86" t="s">
        <v>2969</v>
      </c>
      <c r="U86" s="81">
        <f>DATEVALUE(LEFT(F86,10))</f>
        <v>44835</v>
      </c>
    </row>
    <row r="87" spans="1:22" ht="60.75" hidden="1">
      <c r="A87" s="56" t="s">
        <v>461</v>
      </c>
      <c r="B87" s="56" t="s">
        <v>2886</v>
      </c>
      <c r="C87" s="56" t="s">
        <v>462</v>
      </c>
      <c r="D87" s="56" t="s">
        <v>37</v>
      </c>
      <c r="E87" s="56" t="s">
        <v>2930</v>
      </c>
      <c r="F87" s="56" t="s">
        <v>3560</v>
      </c>
      <c r="G87" s="56">
        <v>101</v>
      </c>
      <c r="H87" s="56">
        <v>14</v>
      </c>
      <c r="I87" s="58">
        <v>0.13861386138613863</v>
      </c>
      <c r="J87" s="56" t="s">
        <v>463</v>
      </c>
      <c r="K87" s="56" t="s">
        <v>2166</v>
      </c>
      <c r="L87" s="56" t="s">
        <v>2948</v>
      </c>
      <c r="M87" s="56" t="str">
        <f>HYPERLINK("https://dribble.octin.io/?mode=Single+log&amp;log_id=15069aab-d9df-4af0-9e16-7b5dd3ee589a","URL")</f>
        <v>URL</v>
      </c>
      <c r="N87" s="56" t="s">
        <v>3442</v>
      </c>
      <c r="O87" t="str">
        <f>_xlfn.XLOOKUP(N87,'Error-codes'!$C$2:$C$130,'Error-codes'!$B$2:$B$130, "None")</f>
        <v>vehicle diverged too far from trajectory</v>
      </c>
      <c r="P87" s="46" t="str">
        <f>_xlfn.XLOOKUP($A87,support_3rdline!$B$2:$B$150,support_3rdline!P$2:P$150,"")</f>
        <v>Na laneswitch doet robot 1 retry, lijkt goed gepositioneerd. Wanneer hij wil verder rijden botst hij tegen rails en staat stil tot error.</v>
      </c>
      <c r="Q87" s="51" t="s">
        <v>2957</v>
      </c>
      <c r="R87" s="51"/>
      <c r="S87" s="46" t="s">
        <v>3561</v>
      </c>
      <c r="T87" s="46">
        <f>_xlfn.XLOOKUP($A87,support_3rdline!$B$2:$B$150,support_3rdline!S$2:S$150,"")</f>
        <v>0</v>
      </c>
      <c r="U87" s="81">
        <f>DATEVALUE(LEFT(F87,10))</f>
        <v>44835</v>
      </c>
      <c r="V87" s="46" t="s">
        <v>3562</v>
      </c>
    </row>
    <row r="88" spans="1:22" ht="45.75" hidden="1">
      <c r="A88" s="56" t="s">
        <v>464</v>
      </c>
      <c r="B88" s="56" t="s">
        <v>295</v>
      </c>
      <c r="C88" s="56" t="s">
        <v>465</v>
      </c>
      <c r="D88" s="56" t="s">
        <v>37</v>
      </c>
      <c r="E88" s="56" t="s">
        <v>3493</v>
      </c>
      <c r="F88" s="56" t="s">
        <v>3563</v>
      </c>
      <c r="G88" s="56">
        <v>138</v>
      </c>
      <c r="H88" s="56">
        <v>119</v>
      </c>
      <c r="I88" s="58">
        <v>0.8623188405797102</v>
      </c>
      <c r="J88" s="56" t="s">
        <v>466</v>
      </c>
      <c r="K88" s="56" t="s">
        <v>1873</v>
      </c>
      <c r="L88" s="56" t="s">
        <v>2942</v>
      </c>
      <c r="M88" s="56" t="str">
        <f>HYPERLINK("https://dribble.octin.io/?mode=Single+log&amp;log_id=1fb743f0-fe4b-41bf-ab5a-f58850ea60f9","URL")</f>
        <v>URL</v>
      </c>
      <c r="N88" s="56" t="s">
        <v>3446</v>
      </c>
      <c r="O88" t="str">
        <f>_xlfn.XLOOKUP(N88,'Error-codes'!$C$2:$C$130,'Error-codes'!$B$2:$B$130, "None")</f>
        <v>end of lane wall sensor error</v>
      </c>
      <c r="P88" s="46" t="str">
        <f>_xlfn.XLOOKUP($A88,support_3rdline!$B$2:$B$150,support_3rdline!P$2:P$150,"")</f>
        <v>Robot rijdt in lane richting wall, op ong 10m van wall staat hij stil en gaat in error. Normale condities</v>
      </c>
      <c r="Q88" s="46">
        <f>_xlfn.XLOOKUP($A88,support_3rdline!$B$2:$B$150,support_3rdline!Q$2:Q$150,"")</f>
        <v>0</v>
      </c>
      <c r="R88" s="46"/>
      <c r="S88" s="46" t="s">
        <v>3552</v>
      </c>
      <c r="T88" s="46">
        <f>_xlfn.XLOOKUP($A88,support_3rdline!$B$2:$B$150,support_3rdline!S$2:S$150,"")</f>
        <v>0</v>
      </c>
      <c r="U88" s="81">
        <f>DATEVALUE(LEFT(F88,10))</f>
        <v>44836</v>
      </c>
      <c r="V88" s="46">
        <f>_xlfn.XLOOKUP($A88,support_3rdline!$B$2:$B$150,support_3rdline!T$2:T$150,"")</f>
        <v>0</v>
      </c>
    </row>
    <row r="89" spans="1:22" hidden="1">
      <c r="A89" s="56"/>
      <c r="B89" s="56" t="s">
        <v>2886</v>
      </c>
      <c r="C89" s="56" t="s">
        <v>1420</v>
      </c>
      <c r="D89" s="56" t="s">
        <v>37</v>
      </c>
      <c r="E89" s="56" t="s">
        <v>2930</v>
      </c>
      <c r="F89" s="56" t="s">
        <v>3564</v>
      </c>
      <c r="G89" s="56">
        <v>97</v>
      </c>
      <c r="H89" s="56">
        <v>3</v>
      </c>
      <c r="I89" s="58">
        <v>3.0927835051546393E-2</v>
      </c>
      <c r="J89" s="56" t="s">
        <v>3565</v>
      </c>
      <c r="K89" s="56" t="s">
        <v>2166</v>
      </c>
      <c r="L89" s="56" t="s">
        <v>2948</v>
      </c>
      <c r="N89" s="56" t="s">
        <v>3458</v>
      </c>
      <c r="O89" t="str">
        <f>_xlfn.XLOOKUP(N89,'Error-codes'!$C$2:$C$130,'Error-codes'!$B$2:$B$130, "None")</f>
        <v>motor drive: UNDER VOLTAGE</v>
      </c>
      <c r="U89" s="81">
        <f>DATEVALUE(LEFT(F89,10))</f>
        <v>44836</v>
      </c>
    </row>
    <row r="90" spans="1:22" ht="60.75" hidden="1">
      <c r="A90" s="56" t="s">
        <v>1421</v>
      </c>
      <c r="B90" s="56" t="s">
        <v>228</v>
      </c>
      <c r="C90" s="56" t="s">
        <v>1423</v>
      </c>
      <c r="D90" s="56" t="s">
        <v>37</v>
      </c>
      <c r="E90" s="56" t="s">
        <v>2930</v>
      </c>
      <c r="F90" s="56" t="s">
        <v>3566</v>
      </c>
      <c r="G90" s="56">
        <v>93</v>
      </c>
      <c r="H90" s="56">
        <v>8</v>
      </c>
      <c r="I90" s="58">
        <v>8.6021505376344093E-2</v>
      </c>
      <c r="J90" s="56" t="s">
        <v>2852</v>
      </c>
      <c r="K90" s="56" t="s">
        <v>2166</v>
      </c>
      <c r="L90" s="56" t="s">
        <v>2948</v>
      </c>
      <c r="M90" s="56" t="str">
        <f>HYPERLINK("https://dribble.octin.io/?mode=Single+log&amp;log_id=863a3b26-fb2a-464c-b2a6-8ab2872d33ff","URL")</f>
        <v>URL</v>
      </c>
      <c r="N90" s="56" t="s">
        <v>3478</v>
      </c>
      <c r="O90" t="str">
        <f>_xlfn.XLOOKUP(N90,'Error-codes'!$C$2:$C$130,'Error-codes'!$B$2:$B$130, "None")</f>
        <v xml:space="preserve">Sideshift HAL: DRV8353 FAULT	</v>
      </c>
      <c r="P90" s="46" t="s">
        <v>3567</v>
      </c>
      <c r="Q90" s="46" t="str">
        <f>_xlfn.XLOOKUP($A90,support_3rdline!$B$2:$B$150,support_3rdline!Q$2:Q$150,"")</f>
        <v/>
      </c>
      <c r="R90" s="46"/>
      <c r="S90" s="46" t="s">
        <v>3568</v>
      </c>
      <c r="T90" s="46" t="str">
        <f>_xlfn.XLOOKUP($A90,support_3rdline!$B$2:$B$150,support_3rdline!S$2:S$150,"")</f>
        <v/>
      </c>
      <c r="U90" s="81">
        <f>DATEVALUE(LEFT(F90,10))</f>
        <v>44836</v>
      </c>
      <c r="V90" s="46" t="str">
        <f>_xlfn.XLOOKUP($A90,support_3rdline!$B$2:$B$150,support_3rdline!T$2:T$150,"")</f>
        <v/>
      </c>
    </row>
    <row r="91" spans="1:22" hidden="1">
      <c r="B91" s="56" t="s">
        <v>29</v>
      </c>
      <c r="C91" s="56" t="s">
        <v>2853</v>
      </c>
      <c r="D91" s="56" t="s">
        <v>388</v>
      </c>
      <c r="F91" s="56" t="s">
        <v>2856</v>
      </c>
      <c r="G91" s="56">
        <v>137</v>
      </c>
      <c r="H91" s="56">
        <v>137</v>
      </c>
      <c r="I91" s="58">
        <v>1</v>
      </c>
      <c r="K91" s="56" t="s">
        <v>1893</v>
      </c>
      <c r="L91" s="56" t="s">
        <v>2942</v>
      </c>
      <c r="O91">
        <f>_xlfn.XLOOKUP(N91,'Error-codes'!$C$2:$C$130,'Error-codes'!$B$2:$B$130, "None")</f>
        <v>0</v>
      </c>
      <c r="P91" s="46" t="s">
        <v>3379</v>
      </c>
      <c r="Q91" s="46" t="s">
        <v>3379</v>
      </c>
      <c r="R91" s="46"/>
      <c r="S91" s="46" t="s">
        <v>3379</v>
      </c>
      <c r="T91" s="46" t="s">
        <v>3379</v>
      </c>
      <c r="U91" s="81">
        <f>DATEVALUE(LEFT(F91,10))</f>
        <v>44837</v>
      </c>
      <c r="V91" s="46">
        <f>_xlfn.XLOOKUP($A91,support_3rdline!$B$2:$B$150,support_3rdline!T$2:T$150,"")</f>
        <v>0</v>
      </c>
    </row>
    <row r="92" spans="1:22" hidden="1">
      <c r="B92" s="56" t="s">
        <v>29</v>
      </c>
      <c r="C92" s="56" t="s">
        <v>2857</v>
      </c>
      <c r="D92" s="56" t="s">
        <v>22</v>
      </c>
      <c r="F92" s="56" t="s">
        <v>2860</v>
      </c>
      <c r="G92" s="56">
        <v>210</v>
      </c>
      <c r="H92" s="56">
        <v>2</v>
      </c>
      <c r="I92" s="58">
        <v>9.5238095238095247E-3</v>
      </c>
      <c r="K92" s="56" t="s">
        <v>1893</v>
      </c>
      <c r="L92" s="56" t="s">
        <v>2942</v>
      </c>
      <c r="O92">
        <f>_xlfn.XLOOKUP(N92,'Error-codes'!$C$2:$C$130,'Error-codes'!$B$2:$B$130, "None")</f>
        <v>0</v>
      </c>
      <c r="U92" s="81">
        <f>DATEVALUE(LEFT(F92,10))</f>
        <v>44837</v>
      </c>
    </row>
    <row r="93" spans="1:22" hidden="1">
      <c r="A93" s="56"/>
      <c r="B93" s="56" t="s">
        <v>228</v>
      </c>
      <c r="C93" s="56" t="s">
        <v>3569</v>
      </c>
      <c r="D93" s="56" t="s">
        <v>37</v>
      </c>
      <c r="E93" s="56" t="s">
        <v>2930</v>
      </c>
      <c r="F93" s="56" t="s">
        <v>3570</v>
      </c>
      <c r="G93" s="56">
        <v>102</v>
      </c>
      <c r="H93" s="56">
        <v>23</v>
      </c>
      <c r="I93" s="58">
        <v>0.22549019607843138</v>
      </c>
      <c r="J93" s="56" t="s">
        <v>3571</v>
      </c>
      <c r="K93" s="56" t="s">
        <v>2171</v>
      </c>
      <c r="L93" s="56" t="s">
        <v>2948</v>
      </c>
      <c r="N93" s="56" t="s">
        <v>3478</v>
      </c>
      <c r="O93" t="str">
        <f>_xlfn.XLOOKUP(N93,'Error-codes'!$C$2:$C$130,'Error-codes'!$B$2:$B$130, "None")</f>
        <v xml:space="preserve">Sideshift HAL: DRV8353 FAULT	</v>
      </c>
      <c r="U93" s="81">
        <f>DATEVALUE(LEFT(F93,10))</f>
        <v>44837</v>
      </c>
    </row>
    <row r="94" spans="1:22" hidden="1">
      <c r="B94" s="56" t="s">
        <v>2886</v>
      </c>
      <c r="C94" s="56" t="s">
        <v>3572</v>
      </c>
      <c r="D94" s="56" t="s">
        <v>388</v>
      </c>
      <c r="F94" s="56" t="s">
        <v>3573</v>
      </c>
      <c r="G94" s="56">
        <v>102</v>
      </c>
      <c r="H94" s="56">
        <v>102</v>
      </c>
      <c r="I94" s="58">
        <v>1</v>
      </c>
      <c r="K94" s="56" t="s">
        <v>2171</v>
      </c>
      <c r="L94" s="56" t="s">
        <v>2948</v>
      </c>
      <c r="O94">
        <f>_xlfn.XLOOKUP(N94,'Error-codes'!$C$2:$C$130,'Error-codes'!$B$2:$B$130, "None")</f>
        <v>0</v>
      </c>
      <c r="U94" s="81">
        <f>DATEVALUE(LEFT(F94,10))</f>
        <v>44838</v>
      </c>
    </row>
    <row r="95" spans="1:22" ht="60.75" hidden="1">
      <c r="A95" s="56" t="s">
        <v>3574</v>
      </c>
      <c r="B95" s="56" t="s">
        <v>2886</v>
      </c>
      <c r="C95" s="56" t="s">
        <v>3575</v>
      </c>
      <c r="D95" s="56" t="s">
        <v>37</v>
      </c>
      <c r="E95" s="56" t="s">
        <v>2930</v>
      </c>
      <c r="F95" s="56" t="s">
        <v>3576</v>
      </c>
      <c r="G95" s="56">
        <v>102</v>
      </c>
      <c r="H95" s="56">
        <v>34</v>
      </c>
      <c r="I95" s="58">
        <v>0.33333333333333331</v>
      </c>
      <c r="J95" s="56" t="s">
        <v>3577</v>
      </c>
      <c r="K95" s="56" t="s">
        <v>2171</v>
      </c>
      <c r="L95" s="56" t="s">
        <v>2948</v>
      </c>
      <c r="M95" s="56" t="str">
        <f>HYPERLINK("https://dribble.octin.io/?mode=Single+log&amp;log_id=5da9325b-c842-463d-8c86-058f8ccd9df3","URL")</f>
        <v>URL</v>
      </c>
      <c r="N95" s="56" t="s">
        <v>3450</v>
      </c>
      <c r="O95" t="str">
        <f>_xlfn.XLOOKUP(N95,'Error-codes'!$C$2:$C$130,'Error-codes'!$B$2:$B$130, "None")</f>
        <v>xtheta sensor error</v>
      </c>
      <c r="P95" s="46" t="s">
        <v>3567</v>
      </c>
      <c r="Q95" s="46" t="str">
        <f>_xlfn.XLOOKUP($A95,support_3rdline!$B$2:$B$150,support_3rdline!Q$2:Q$150,"")</f>
        <v/>
      </c>
      <c r="R95" s="46"/>
      <c r="S95" s="46" t="s">
        <v>3578</v>
      </c>
      <c r="T95" s="46" t="str">
        <f>_xlfn.XLOOKUP($A95,support_3rdline!$B$2:$B$150,support_3rdline!S$2:S$150,"")</f>
        <v/>
      </c>
      <c r="U95" s="81">
        <f>DATEVALUE(LEFT(F95,10))</f>
        <v>44838</v>
      </c>
      <c r="V95" s="46" t="s">
        <v>3579</v>
      </c>
    </row>
    <row r="96" spans="1:22" hidden="1">
      <c r="A96" s="56"/>
      <c r="B96" s="56" t="s">
        <v>228</v>
      </c>
      <c r="C96" s="56" t="s">
        <v>2966</v>
      </c>
      <c r="D96" s="56" t="s">
        <v>37</v>
      </c>
      <c r="E96" s="56" t="s">
        <v>2930</v>
      </c>
      <c r="F96" s="56" t="s">
        <v>2967</v>
      </c>
      <c r="G96" s="56">
        <v>101</v>
      </c>
      <c r="H96" s="56">
        <v>50</v>
      </c>
      <c r="I96" s="58">
        <v>0.49504950495049505</v>
      </c>
      <c r="J96" s="56" t="s">
        <v>2968</v>
      </c>
      <c r="K96" s="56" t="s">
        <v>2166</v>
      </c>
      <c r="L96" s="56" t="s">
        <v>2948</v>
      </c>
      <c r="N96" s="56" t="s">
        <v>2933</v>
      </c>
      <c r="O96" t="str">
        <f>_xlfn.XLOOKUP(N96,'Error-codes'!$C$2:$C$130,'Error-codes'!$B$2:$B$130, "None")</f>
        <v>inductive sensor error</v>
      </c>
      <c r="P96" t="s">
        <v>2969</v>
      </c>
      <c r="U96" s="81">
        <f>DATEVALUE(LEFT(F96,10))</f>
        <v>44838</v>
      </c>
    </row>
    <row r="97" spans="1:22" hidden="1">
      <c r="A97" s="56" t="s">
        <v>3580</v>
      </c>
      <c r="B97" s="56" t="s">
        <v>295</v>
      </c>
      <c r="C97" s="56" t="s">
        <v>3581</v>
      </c>
      <c r="D97" s="56" t="s">
        <v>37</v>
      </c>
      <c r="E97" s="56" t="s">
        <v>3512</v>
      </c>
      <c r="F97" s="56" t="s">
        <v>3582</v>
      </c>
      <c r="G97" s="56">
        <v>129</v>
      </c>
      <c r="H97" s="56">
        <v>57</v>
      </c>
      <c r="I97" s="58">
        <v>0.44186046511627908</v>
      </c>
      <c r="J97" s="56" t="s">
        <v>3583</v>
      </c>
      <c r="K97" s="56" t="s">
        <v>1873</v>
      </c>
      <c r="L97" s="56" t="s">
        <v>2942</v>
      </c>
      <c r="M97" s="56" t="str">
        <f>HYPERLINK("https://dribble.octin.io/?mode=Single+log&amp;log_id=7d7702fe-0ff5-4774-bf6e-3ced16417eaf","URL")</f>
        <v>URL</v>
      </c>
      <c r="N97" s="56" t="s">
        <v>3458</v>
      </c>
      <c r="O97" t="str">
        <f>_xlfn.XLOOKUP(N97,'Error-codes'!$C$2:$C$130,'Error-codes'!$B$2:$B$130, "None")</f>
        <v>motor drive: UNDER VOLTAGE</v>
      </c>
      <c r="P97" s="46" t="s">
        <v>3584</v>
      </c>
      <c r="Q97" s="46" t="s">
        <v>3379</v>
      </c>
      <c r="R97" s="46"/>
      <c r="S97" s="46" t="s">
        <v>3379</v>
      </c>
      <c r="T97" s="46" t="s">
        <v>3379</v>
      </c>
      <c r="U97" s="81">
        <f>DATEVALUE(LEFT(F97,10))</f>
        <v>44838</v>
      </c>
      <c r="V97" s="46" t="s">
        <v>3379</v>
      </c>
    </row>
    <row r="98" spans="1:22" ht="30.75" hidden="1">
      <c r="A98" s="56" t="s">
        <v>3585</v>
      </c>
      <c r="B98" s="56" t="s">
        <v>295</v>
      </c>
      <c r="C98" s="56" t="s">
        <v>3586</v>
      </c>
      <c r="D98" s="56" t="s">
        <v>37</v>
      </c>
      <c r="E98" s="56" t="s">
        <v>3587</v>
      </c>
      <c r="F98" s="56" t="s">
        <v>3588</v>
      </c>
      <c r="G98" s="56">
        <v>69</v>
      </c>
      <c r="H98" s="56">
        <v>16</v>
      </c>
      <c r="I98" s="58">
        <v>0.2318840579710145</v>
      </c>
      <c r="J98" s="56" t="s">
        <v>3589</v>
      </c>
      <c r="K98" s="56" t="s">
        <v>1873</v>
      </c>
      <c r="L98" s="56" t="s">
        <v>2942</v>
      </c>
      <c r="M98" s="56" t="str">
        <f>HYPERLINK("https://dribble.octin.io/?mode=Single+log&amp;log_id=b1d9470a-3e7b-4390-aa3f-fa1c128bd6bc","URL")</f>
        <v>URL</v>
      </c>
      <c r="N98" s="56" t="s">
        <v>3462</v>
      </c>
      <c r="O98" t="str">
        <f>_xlfn.XLOOKUP(N98,'Error-codes'!$C$2:$C$130,'Error-codes'!$B$2:$B$130, "None")</f>
        <v xml:space="preserve">Vehicle HAL: motor drive: ID CONTROL ISSUE	</v>
      </c>
      <c r="P98" s="46" t="s">
        <v>3590</v>
      </c>
      <c r="Q98" s="46" t="str">
        <f>_xlfn.XLOOKUP($A98,support_3rdline!$B$2:$B$150,support_3rdline!Q$2:Q$150,"")</f>
        <v/>
      </c>
      <c r="R98" s="46"/>
      <c r="S98" s="46" t="str">
        <f>_xlfn.XLOOKUP($A98,support_3rdline!$B$2:$B$150,support_3rdline!R$2:R$150,"")</f>
        <v/>
      </c>
      <c r="T98" s="46" t="str">
        <f>_xlfn.XLOOKUP($A98,support_3rdline!$B$2:$B$150,support_3rdline!S$2:S$150,"")</f>
        <v/>
      </c>
      <c r="U98" s="81">
        <f>DATEVALUE(LEFT(F98,10))</f>
        <v>44839</v>
      </c>
      <c r="V98" s="46" t="str">
        <f>_xlfn.XLOOKUP($A98,support_3rdline!$B$2:$B$150,support_3rdline!T$2:T$150,"")</f>
        <v/>
      </c>
    </row>
    <row r="99" spans="1:22" hidden="1">
      <c r="B99" s="56" t="s">
        <v>29</v>
      </c>
      <c r="C99" s="56" t="s">
        <v>3591</v>
      </c>
      <c r="D99" s="56" t="s">
        <v>388</v>
      </c>
      <c r="F99" s="56" t="s">
        <v>3592</v>
      </c>
      <c r="G99" s="56">
        <v>119</v>
      </c>
      <c r="H99" s="56">
        <v>118</v>
      </c>
      <c r="I99" s="58">
        <v>0.99159663865546221</v>
      </c>
      <c r="K99" s="56" t="s">
        <v>1893</v>
      </c>
      <c r="L99" s="56" t="s">
        <v>2942</v>
      </c>
      <c r="O99">
        <f>_xlfn.XLOOKUP(N99,'Error-codes'!$C$2:$C$130,'Error-codes'!$B$2:$B$130, "None")</f>
        <v>0</v>
      </c>
      <c r="P99" s="46" t="s">
        <v>3379</v>
      </c>
      <c r="Q99" s="46" t="s">
        <v>3379</v>
      </c>
      <c r="R99" s="46"/>
      <c r="S99" s="46" t="s">
        <v>3379</v>
      </c>
      <c r="T99" s="46" t="s">
        <v>3379</v>
      </c>
      <c r="U99" s="81">
        <f>DATEVALUE(LEFT(F99,10))</f>
        <v>44839</v>
      </c>
      <c r="V99" s="46" t="s">
        <v>3379</v>
      </c>
    </row>
    <row r="100" spans="1:22" hidden="1">
      <c r="B100" s="56" t="s">
        <v>228</v>
      </c>
      <c r="C100" s="56" t="s">
        <v>3593</v>
      </c>
      <c r="D100" s="56" t="s">
        <v>22</v>
      </c>
      <c r="F100" s="56" t="s">
        <v>3594</v>
      </c>
      <c r="G100" s="56">
        <v>54</v>
      </c>
      <c r="H100" s="56">
        <v>0</v>
      </c>
      <c r="I100" s="58">
        <v>0</v>
      </c>
      <c r="K100" s="56" t="s">
        <v>2166</v>
      </c>
      <c r="L100" s="56" t="s">
        <v>2948</v>
      </c>
      <c r="O100">
        <f>_xlfn.XLOOKUP(N100,'Error-codes'!$C$2:$C$130,'Error-codes'!$B$2:$B$130, "None")</f>
        <v>0</v>
      </c>
      <c r="U100" s="81">
        <f>DATEVALUE(LEFT(F100,10))</f>
        <v>44839</v>
      </c>
    </row>
    <row r="101" spans="1:22" ht="60.75" hidden="1">
      <c r="A101" s="56" t="s">
        <v>3595</v>
      </c>
      <c r="B101" s="56" t="s">
        <v>2886</v>
      </c>
      <c r="C101" s="56" t="s">
        <v>3596</v>
      </c>
      <c r="D101" s="56" t="s">
        <v>37</v>
      </c>
      <c r="E101" s="56" t="s">
        <v>2930</v>
      </c>
      <c r="F101" s="56" t="s">
        <v>3597</v>
      </c>
      <c r="G101" s="56">
        <v>171</v>
      </c>
      <c r="H101" s="56">
        <v>2</v>
      </c>
      <c r="I101" s="58">
        <v>1.1695906432748537E-2</v>
      </c>
      <c r="J101" s="56" t="s">
        <v>3577</v>
      </c>
      <c r="K101" s="56" t="s">
        <v>2171</v>
      </c>
      <c r="L101" s="56" t="s">
        <v>2948</v>
      </c>
      <c r="M101" s="56" t="str">
        <f>HYPERLINK("https://dribble.octin.io/?mode=Single+log&amp;log_id=534786b5-2b4b-4877-b23c-a423d80e67ff","URL")</f>
        <v>URL</v>
      </c>
      <c r="N101" s="56" t="s">
        <v>3450</v>
      </c>
      <c r="O101" t="str">
        <f>_xlfn.XLOOKUP(N101,'Error-codes'!$C$2:$C$130,'Error-codes'!$B$2:$B$130, "None")</f>
        <v>xtheta sensor error</v>
      </c>
      <c r="P101" s="46" t="s">
        <v>3567</v>
      </c>
      <c r="Q101" s="46" t="str">
        <f>_xlfn.XLOOKUP($A101,support_3rdline!$B$2:$B$150,support_3rdline!Q$2:Q$150,"")</f>
        <v/>
      </c>
      <c r="R101" s="46"/>
      <c r="S101" s="46" t="s">
        <v>3578</v>
      </c>
      <c r="T101" s="46" t="s">
        <v>3598</v>
      </c>
      <c r="U101" s="81">
        <f>DATEVALUE(LEFT(F101,10))</f>
        <v>44839</v>
      </c>
      <c r="V101" s="46" t="str">
        <f>_xlfn.XLOOKUP($A101,support_3rdline!$B$2:$B$150,support_3rdline!T$2:T$150,"")</f>
        <v/>
      </c>
    </row>
    <row r="102" spans="1:22" hidden="1">
      <c r="A102" s="56"/>
      <c r="B102" s="56" t="s">
        <v>228</v>
      </c>
      <c r="C102" s="56" t="s">
        <v>3599</v>
      </c>
      <c r="D102" s="56" t="s">
        <v>37</v>
      </c>
      <c r="E102" s="56" t="s">
        <v>2930</v>
      </c>
      <c r="F102" s="56" t="s">
        <v>3600</v>
      </c>
      <c r="G102" s="56">
        <v>54</v>
      </c>
      <c r="H102" s="56">
        <v>37</v>
      </c>
      <c r="I102" s="58">
        <v>0.68518518518518523</v>
      </c>
      <c r="J102" s="56" t="s">
        <v>3601</v>
      </c>
      <c r="K102" s="56" t="s">
        <v>2166</v>
      </c>
      <c r="L102" s="56" t="s">
        <v>2948</v>
      </c>
      <c r="N102" s="56" t="s">
        <v>3456</v>
      </c>
      <c r="O102" t="str">
        <f>_xlfn.XLOOKUP(N102,'Error-codes'!$C$2:$C$130,'Error-codes'!$B$2:$B$130, "None")</f>
        <v>motor drive: OVER VOLTAGE</v>
      </c>
      <c r="P102" t="s">
        <v>2969</v>
      </c>
      <c r="U102" s="81">
        <f>DATEVALUE(LEFT(F102,10))</f>
        <v>44839</v>
      </c>
    </row>
    <row r="103" spans="1:22" hidden="1">
      <c r="B103" s="56" t="s">
        <v>29</v>
      </c>
      <c r="C103" s="56" t="s">
        <v>3602</v>
      </c>
      <c r="D103" s="56" t="s">
        <v>388</v>
      </c>
      <c r="F103" s="56" t="s">
        <v>3603</v>
      </c>
      <c r="G103" s="56">
        <v>45</v>
      </c>
      <c r="H103" s="56">
        <v>45</v>
      </c>
      <c r="I103" s="58">
        <v>1</v>
      </c>
      <c r="K103" s="56" t="s">
        <v>1893</v>
      </c>
      <c r="L103" s="56" t="s">
        <v>2942</v>
      </c>
      <c r="O103">
        <f>_xlfn.XLOOKUP(N103,'Error-codes'!$C$2:$C$130,'Error-codes'!$B$2:$B$130, "None")</f>
        <v>0</v>
      </c>
      <c r="P103" s="46" t="s">
        <v>3379</v>
      </c>
      <c r="Q103" s="46" t="s">
        <v>3379</v>
      </c>
      <c r="R103" s="46"/>
      <c r="S103" s="46" t="s">
        <v>3379</v>
      </c>
      <c r="T103" s="46" t="s">
        <v>3379</v>
      </c>
      <c r="U103" s="81">
        <f>DATEVALUE(LEFT(F103,10))</f>
        <v>44840</v>
      </c>
      <c r="V103" s="46" t="s">
        <v>3379</v>
      </c>
    </row>
    <row r="104" spans="1:22" hidden="1">
      <c r="B104" s="56" t="s">
        <v>228</v>
      </c>
      <c r="C104" s="56" t="s">
        <v>3604</v>
      </c>
      <c r="D104" s="56" t="s">
        <v>22</v>
      </c>
      <c r="F104" s="56" t="s">
        <v>3605</v>
      </c>
      <c r="G104" s="56">
        <v>102</v>
      </c>
      <c r="H104" s="56">
        <v>0</v>
      </c>
      <c r="I104" s="58">
        <v>0</v>
      </c>
      <c r="K104" s="56" t="s">
        <v>2171</v>
      </c>
      <c r="L104" s="56" t="s">
        <v>2948</v>
      </c>
      <c r="O104">
        <f>_xlfn.XLOOKUP(N104,'Error-codes'!$C$2:$C$130,'Error-codes'!$B$2:$B$130, "None")</f>
        <v>0</v>
      </c>
      <c r="P104" t="s">
        <v>3379</v>
      </c>
      <c r="U104" s="81">
        <f>DATEVALUE(LEFT(F104,10))</f>
        <v>44840</v>
      </c>
    </row>
    <row r="105" spans="1:22" hidden="1">
      <c r="A105" s="56"/>
      <c r="B105" s="56" t="s">
        <v>228</v>
      </c>
      <c r="C105" s="56" t="s">
        <v>3606</v>
      </c>
      <c r="D105" s="56" t="s">
        <v>37</v>
      </c>
      <c r="E105" s="56" t="s">
        <v>2930</v>
      </c>
      <c r="F105" s="56" t="s">
        <v>3607</v>
      </c>
      <c r="G105" s="56">
        <v>102</v>
      </c>
      <c r="H105" s="56">
        <v>8</v>
      </c>
      <c r="I105" s="58">
        <v>7.8431372549019607E-2</v>
      </c>
      <c r="J105" s="56" t="s">
        <v>3007</v>
      </c>
      <c r="K105" s="56" t="s">
        <v>2171</v>
      </c>
      <c r="L105" s="56" t="s">
        <v>2948</v>
      </c>
      <c r="N105" s="56" t="s">
        <v>3478</v>
      </c>
      <c r="O105" t="str">
        <f>_xlfn.XLOOKUP(N105,'Error-codes'!$C$2:$C$130,'Error-codes'!$B$2:$B$130, "None")</f>
        <v xml:space="preserve">Sideshift HAL: DRV8353 FAULT	</v>
      </c>
      <c r="P105" t="s">
        <v>2969</v>
      </c>
      <c r="U105" s="81">
        <f>DATEVALUE(LEFT(F105,10))</f>
        <v>44840</v>
      </c>
    </row>
    <row r="106" spans="1:22" hidden="1">
      <c r="B106" s="56" t="s">
        <v>2886</v>
      </c>
      <c r="C106" s="56" t="s">
        <v>3608</v>
      </c>
      <c r="D106" s="56" t="s">
        <v>388</v>
      </c>
      <c r="F106" s="56" t="s">
        <v>3609</v>
      </c>
      <c r="G106" s="56">
        <v>69</v>
      </c>
      <c r="H106" s="56">
        <v>69</v>
      </c>
      <c r="I106" s="58">
        <v>1</v>
      </c>
      <c r="K106" s="56" t="s">
        <v>2171</v>
      </c>
      <c r="L106" s="56" t="s">
        <v>2948</v>
      </c>
      <c r="O106">
        <f>_xlfn.XLOOKUP(N106,'Error-codes'!$C$2:$C$130,'Error-codes'!$B$2:$B$130, "None")</f>
        <v>0</v>
      </c>
      <c r="P106" t="s">
        <v>3379</v>
      </c>
      <c r="U106" s="81">
        <f>DATEVALUE(LEFT(F106,10))</f>
        <v>44840</v>
      </c>
    </row>
    <row r="107" spans="1:22" ht="30.75" hidden="1">
      <c r="A107" s="1" t="s">
        <v>3610</v>
      </c>
      <c r="B107" s="56" t="s">
        <v>228</v>
      </c>
      <c r="C107" s="56" t="s">
        <v>3611</v>
      </c>
      <c r="D107" s="56" t="s">
        <v>37</v>
      </c>
      <c r="E107" s="56" t="s">
        <v>2930</v>
      </c>
      <c r="F107" s="56" t="s">
        <v>3612</v>
      </c>
      <c r="G107" s="56">
        <v>93</v>
      </c>
      <c r="H107" s="56">
        <v>7</v>
      </c>
      <c r="I107" s="58">
        <v>7.5268817204301078E-2</v>
      </c>
      <c r="J107" s="56" t="s">
        <v>3613</v>
      </c>
      <c r="K107" s="56" t="s">
        <v>2171</v>
      </c>
      <c r="L107" s="56" t="s">
        <v>2948</v>
      </c>
      <c r="M107" s="61" t="str">
        <f>HYPERLINK(CONCATENATE("https://dribble.octin.io/?mode=Single+log&amp;log_id=", $A107),"URL")</f>
        <v>URL</v>
      </c>
      <c r="N107" s="56" t="s">
        <v>3478</v>
      </c>
      <c r="O107" t="str">
        <f>_xlfn.XLOOKUP(N107,'Error-codes'!$C$2:$C$130,'Error-codes'!$B$2:$B$130, "None")</f>
        <v xml:space="preserve">Sideshift HAL: DRV8353 FAULT	</v>
      </c>
      <c r="P107" s="46" t="s">
        <v>3614</v>
      </c>
      <c r="U107" s="81">
        <f>DATEVALUE(LEFT(F107,10))</f>
        <v>44841</v>
      </c>
    </row>
    <row r="108" spans="1:22" ht="30.75" hidden="1">
      <c r="A108" s="56" t="s">
        <v>3615</v>
      </c>
      <c r="B108" s="56" t="s">
        <v>228</v>
      </c>
      <c r="C108" s="56" t="s">
        <v>3616</v>
      </c>
      <c r="D108" s="56" t="s">
        <v>37</v>
      </c>
      <c r="E108" s="56" t="s">
        <v>2939</v>
      </c>
      <c r="F108" s="56" t="s">
        <v>3617</v>
      </c>
      <c r="G108" s="56">
        <v>86</v>
      </c>
      <c r="H108" s="56">
        <v>0</v>
      </c>
      <c r="I108" s="58">
        <v>0</v>
      </c>
      <c r="J108" s="56" t="s">
        <v>3613</v>
      </c>
      <c r="K108" s="56" t="s">
        <v>2171</v>
      </c>
      <c r="L108" s="56" t="s">
        <v>2948</v>
      </c>
      <c r="M108" s="56" t="str">
        <f>HYPERLINK("https://dribble.octin.io/?mode=Single+log&amp;log_id=e110b3b5-aaaa-43d5-b060-d48a35730524","URL")</f>
        <v>URL</v>
      </c>
      <c r="N108" s="56" t="s">
        <v>3458</v>
      </c>
      <c r="O108" t="str">
        <f>_xlfn.XLOOKUP(N108,'Error-codes'!$C$2:$C$130,'Error-codes'!$B$2:$B$130, "None")</f>
        <v>motor drive: UNDER VOLTAGE</v>
      </c>
      <c r="P108" s="46" t="s">
        <v>3614</v>
      </c>
      <c r="Q108" s="46" t="str">
        <f>_xlfn.XLOOKUP($A108,support_3rdline!$B$2:$B$150,support_3rdline!Q$2:Q$150,"")</f>
        <v/>
      </c>
      <c r="R108" s="46"/>
      <c r="S108" s="46" t="s">
        <v>3618</v>
      </c>
      <c r="T108" s="46" t="str">
        <f>_xlfn.XLOOKUP($A108,support_3rdline!$B$2:$B$150,support_3rdline!S$2:S$150,"")</f>
        <v/>
      </c>
      <c r="U108" s="81">
        <f>DATEVALUE(LEFT(F108,10))</f>
        <v>44841</v>
      </c>
      <c r="V108" s="46" t="s">
        <v>3619</v>
      </c>
    </row>
    <row r="109" spans="1:22" hidden="1">
      <c r="A109" s="56" t="s">
        <v>3615</v>
      </c>
      <c r="B109" s="56" t="s">
        <v>228</v>
      </c>
      <c r="C109" s="56" t="s">
        <v>3620</v>
      </c>
      <c r="D109" s="56" t="s">
        <v>37</v>
      </c>
      <c r="E109" s="56" t="s">
        <v>2930</v>
      </c>
      <c r="F109" s="56" t="s">
        <v>3617</v>
      </c>
      <c r="G109" s="56">
        <v>155</v>
      </c>
      <c r="H109" s="56">
        <v>1</v>
      </c>
      <c r="I109" s="58">
        <v>6.4516129032258064E-3</v>
      </c>
      <c r="J109" s="56" t="s">
        <v>2289</v>
      </c>
      <c r="K109" s="56" t="s">
        <v>2166</v>
      </c>
      <c r="L109" s="56" t="s">
        <v>2948</v>
      </c>
      <c r="M109" s="56" t="str">
        <f>HYPERLINK("https://dribble.octin.io/?mode=Single+log&amp;log_id=e110b3b5-aaaa-43d5-b060-d48a35730524","URL")</f>
        <v>URL</v>
      </c>
      <c r="N109" s="56" t="s">
        <v>3448</v>
      </c>
      <c r="O109" t="str">
        <f>_xlfn.XLOOKUP(N109,'Error-codes'!$C$2:$C$130,'Error-codes'!$B$2:$B$130, "None")</f>
        <v>end of lane open sensor error</v>
      </c>
      <c r="P109" s="46" t="s">
        <v>3621</v>
      </c>
      <c r="Q109" s="46" t="str">
        <f>_xlfn.XLOOKUP($A109,support_3rdline!$B$2:$B$150,support_3rdline!Q$2:Q$150,"")</f>
        <v/>
      </c>
      <c r="R109" s="46"/>
      <c r="S109" t="s">
        <v>3622</v>
      </c>
      <c r="T109" s="46" t="str">
        <f>_xlfn.XLOOKUP($A109,support_3rdline!$B$2:$B$150,support_3rdline!S$2:S$150,"")</f>
        <v/>
      </c>
      <c r="U109" s="81">
        <f>DATEVALUE(LEFT(F109,10))</f>
        <v>44841</v>
      </c>
      <c r="V109" s="46">
        <v>1</v>
      </c>
    </row>
    <row r="110" spans="1:22" ht="30.75" hidden="1">
      <c r="A110" s="56" t="s">
        <v>3623</v>
      </c>
      <c r="B110" s="56" t="s">
        <v>228</v>
      </c>
      <c r="C110" s="56" t="s">
        <v>3616</v>
      </c>
      <c r="D110" s="56" t="s">
        <v>37</v>
      </c>
      <c r="E110" s="56" t="s">
        <v>2930</v>
      </c>
      <c r="F110" s="56" t="s">
        <v>3624</v>
      </c>
      <c r="G110" s="56">
        <v>86</v>
      </c>
      <c r="H110" s="56">
        <v>1</v>
      </c>
      <c r="I110" s="58">
        <v>1.1627906976744186E-2</v>
      </c>
      <c r="J110" s="56" t="s">
        <v>3613</v>
      </c>
      <c r="K110" s="56" t="s">
        <v>2171</v>
      </c>
      <c r="L110" s="56" t="s">
        <v>2948</v>
      </c>
      <c r="M110" s="45" t="str">
        <f>HYPERLINK("https://dribble.octin.io/?mode=Single+log&amp;log_id=c95fa8b2-1509-4754-9247-4a4406d0aa47","URL")</f>
        <v>URL</v>
      </c>
      <c r="N110" s="56" t="s">
        <v>3458</v>
      </c>
      <c r="O110" t="str">
        <f>_xlfn.XLOOKUP(N110,'Error-codes'!$C$2:$C$130,'Error-codes'!$B$2:$B$130, "None")</f>
        <v>motor drive: UNDER VOLTAGE</v>
      </c>
      <c r="P110" s="46" t="s">
        <v>3614</v>
      </c>
      <c r="Q110" s="46" t="str">
        <f>_xlfn.XLOOKUP($A110,support_3rdline!$B$2:$B$150,support_3rdline!Q$2:Q$150,"")</f>
        <v/>
      </c>
      <c r="R110" s="46"/>
      <c r="S110" s="46" t="str">
        <f>_xlfn.XLOOKUP($A110,support_3rdline!$B$2:$B$150,support_3rdline!R$2:R$150,"")</f>
        <v/>
      </c>
      <c r="T110" s="46" t="str">
        <f>_xlfn.XLOOKUP($A110,support_3rdline!$B$2:$B$150,support_3rdline!S$2:S$150,"")</f>
        <v/>
      </c>
      <c r="U110" s="81">
        <f>DATEVALUE(LEFT(F110,10))</f>
        <v>44841</v>
      </c>
      <c r="V110" s="46">
        <v>4</v>
      </c>
    </row>
    <row r="111" spans="1:22" ht="45.75" hidden="1">
      <c r="A111" s="62" t="s">
        <v>3625</v>
      </c>
      <c r="B111" s="56" t="s">
        <v>2886</v>
      </c>
      <c r="C111" s="56" t="s">
        <v>3626</v>
      </c>
      <c r="D111" s="56" t="s">
        <v>37</v>
      </c>
      <c r="E111" s="56" t="s">
        <v>2939</v>
      </c>
      <c r="F111" s="56" t="s">
        <v>3627</v>
      </c>
      <c r="G111" s="56">
        <v>102</v>
      </c>
      <c r="H111" s="56">
        <v>14</v>
      </c>
      <c r="I111" s="58">
        <v>0.13725490196078433</v>
      </c>
      <c r="J111" s="56" t="s">
        <v>463</v>
      </c>
      <c r="K111" s="56" t="s">
        <v>2166</v>
      </c>
      <c r="L111" s="56" t="s">
        <v>2948</v>
      </c>
      <c r="M111" s="61" t="str">
        <f>HYPERLINK(CONCATENATE("https://dribble.octin.io/?mode=Single+log&amp;log_id=", $A111),"URL")</f>
        <v>URL</v>
      </c>
      <c r="N111" s="56" t="s">
        <v>3442</v>
      </c>
      <c r="O111" t="str">
        <f>_xlfn.XLOOKUP(N111,'Error-codes'!$C$2:$C$130,'Error-codes'!$B$2:$B$130, "None")</f>
        <v>vehicle diverged too far from trajectory</v>
      </c>
      <c r="P111" s="46" t="s">
        <v>3628</v>
      </c>
      <c r="Q111" s="45">
        <v>20221024</v>
      </c>
      <c r="R111" s="45"/>
      <c r="S111" s="46" t="s">
        <v>3629</v>
      </c>
      <c r="U111" s="81">
        <f>DATEVALUE(LEFT(F111,10))</f>
        <v>44841</v>
      </c>
      <c r="V111">
        <v>1</v>
      </c>
    </row>
    <row r="112" spans="1:22" ht="76.5" hidden="1">
      <c r="A112" s="62" t="s">
        <v>3630</v>
      </c>
      <c r="B112" s="56" t="s">
        <v>2886</v>
      </c>
      <c r="C112" s="56" t="s">
        <v>3626</v>
      </c>
      <c r="D112" s="56" t="s">
        <v>37</v>
      </c>
      <c r="E112" s="56" t="s">
        <v>2930</v>
      </c>
      <c r="F112" s="56" t="s">
        <v>3627</v>
      </c>
      <c r="G112" s="56">
        <v>102</v>
      </c>
      <c r="H112" s="56">
        <v>69</v>
      </c>
      <c r="I112" s="58">
        <v>0.67647058823529416</v>
      </c>
      <c r="J112" s="56" t="s">
        <v>3631</v>
      </c>
      <c r="K112" s="56" t="s">
        <v>2166</v>
      </c>
      <c r="L112" s="56" t="s">
        <v>2948</v>
      </c>
      <c r="M112" s="61" t="str">
        <f>HYPERLINK(CONCATENATE("https://dribble.octin.io/?mode=Single+log&amp;log_id=", $A112),"URL")</f>
        <v>URL</v>
      </c>
      <c r="N112" s="56" t="s">
        <v>3446</v>
      </c>
      <c r="O112" t="str">
        <f>_xlfn.XLOOKUP(N112,'Error-codes'!$C$2:$C$130,'Error-codes'!$B$2:$B$130, "None")</f>
        <v>end of lane wall sensor error</v>
      </c>
      <c r="P112" s="46" t="s">
        <v>3632</v>
      </c>
      <c r="S112" s="46" t="s">
        <v>3633</v>
      </c>
      <c r="U112" s="81">
        <f>DATEVALUE(LEFT(F112,10))</f>
        <v>44841</v>
      </c>
      <c r="V112">
        <v>1</v>
      </c>
    </row>
    <row r="113" spans="1:22" ht="76.5" hidden="1">
      <c r="A113" s="62" t="s">
        <v>3634</v>
      </c>
      <c r="B113" s="56" t="s">
        <v>228</v>
      </c>
      <c r="C113" s="56" t="s">
        <v>3635</v>
      </c>
      <c r="D113" s="56" t="s">
        <v>37</v>
      </c>
      <c r="E113" s="56" t="s">
        <v>2930</v>
      </c>
      <c r="F113" s="56" t="s">
        <v>3636</v>
      </c>
      <c r="G113" s="56">
        <v>85</v>
      </c>
      <c r="H113" s="56">
        <v>6</v>
      </c>
      <c r="I113" s="58">
        <v>7.0588235294117646E-2</v>
      </c>
      <c r="J113" s="56" t="s">
        <v>3571</v>
      </c>
      <c r="K113" s="56" t="s">
        <v>2171</v>
      </c>
      <c r="L113" s="56" t="s">
        <v>2948</v>
      </c>
      <c r="M113" s="61" t="str">
        <f>HYPERLINK(CONCATENATE("https://dribble.octin.io/?mode=Single+log&amp;log_id=", $A113),"URL")</f>
        <v>URL</v>
      </c>
      <c r="N113" s="56" t="s">
        <v>3458</v>
      </c>
      <c r="O113" t="str">
        <f>_xlfn.XLOOKUP(N113,'Error-codes'!$C$2:$C$130,'Error-codes'!$B$2:$B$130, "None")</f>
        <v>motor drive: UNDER VOLTAGE</v>
      </c>
      <c r="P113" s="46" t="s">
        <v>3637</v>
      </c>
      <c r="S113" t="s">
        <v>3638</v>
      </c>
      <c r="U113" s="81">
        <f>DATEVALUE(LEFT(F113,10))</f>
        <v>44843</v>
      </c>
      <c r="V113">
        <v>3.1</v>
      </c>
    </row>
    <row r="114" spans="1:22" ht="45.75" hidden="1">
      <c r="A114" s="50" t="s">
        <v>3639</v>
      </c>
      <c r="B114" s="56" t="s">
        <v>2886</v>
      </c>
      <c r="C114" s="56" t="s">
        <v>3640</v>
      </c>
      <c r="D114" s="56" t="s">
        <v>37</v>
      </c>
      <c r="E114" s="56" t="s">
        <v>2930</v>
      </c>
      <c r="F114" s="56" t="s">
        <v>3641</v>
      </c>
      <c r="G114" s="56">
        <v>101</v>
      </c>
      <c r="H114" s="56">
        <v>19</v>
      </c>
      <c r="I114" s="58">
        <v>0.18811881188118812</v>
      </c>
      <c r="J114" s="56" t="s">
        <v>3642</v>
      </c>
      <c r="K114" s="56" t="s">
        <v>2166</v>
      </c>
      <c r="L114" s="56" t="s">
        <v>2948</v>
      </c>
      <c r="M114" s="61" t="str">
        <f>HYPERLINK(CONCATENATE("https://dribble.octin.io/?mode=Single+log&amp;log_id=", $A114),"URL")</f>
        <v>URL</v>
      </c>
      <c r="N114" s="56" t="s">
        <v>3460</v>
      </c>
      <c r="O114" t="str">
        <f>_xlfn.XLOOKUP(N114,'Error-codes'!$C$2:$C$130,'Error-codes'!$B$2:$B$130, "None")</f>
        <v>motor drive: DRV8353 FAULT</v>
      </c>
      <c r="P114" s="46" t="s">
        <v>3643</v>
      </c>
      <c r="U114" s="81">
        <f>DATEVALUE(LEFT(F114,10))</f>
        <v>44843</v>
      </c>
      <c r="V114">
        <v>3.2</v>
      </c>
    </row>
    <row r="115" spans="1:22" ht="45.75" hidden="1">
      <c r="A115" s="62" t="s">
        <v>3644</v>
      </c>
      <c r="B115" s="56" t="s">
        <v>2886</v>
      </c>
      <c r="C115" s="56" t="s">
        <v>3645</v>
      </c>
      <c r="D115" s="56" t="s">
        <v>37</v>
      </c>
      <c r="E115" s="56" t="s">
        <v>2930</v>
      </c>
      <c r="F115" s="56" t="s">
        <v>3646</v>
      </c>
      <c r="G115" s="56">
        <v>102</v>
      </c>
      <c r="H115" s="56">
        <v>3</v>
      </c>
      <c r="I115" s="58">
        <v>2.9411764705882353E-2</v>
      </c>
      <c r="J115" s="56" t="s">
        <v>3647</v>
      </c>
      <c r="K115" s="56" t="s">
        <v>2171</v>
      </c>
      <c r="L115" s="56" t="s">
        <v>2948</v>
      </c>
      <c r="M115" s="61" t="str">
        <f>HYPERLINK(CONCATENATE("https://dribble.octin.io/?mode=Single+log&amp;log_id=", $A115),"URL")</f>
        <v>URL</v>
      </c>
      <c r="N115" s="56" t="s">
        <v>3458</v>
      </c>
      <c r="O115" t="str">
        <f>_xlfn.XLOOKUP(N115,'Error-codes'!$C$2:$C$130,'Error-codes'!$B$2:$B$130, "None")</f>
        <v>motor drive: UNDER VOLTAGE</v>
      </c>
      <c r="P115" s="46" t="s">
        <v>3648</v>
      </c>
      <c r="U115" s="81">
        <f>DATEVALUE(LEFT(F115,10))</f>
        <v>44844</v>
      </c>
      <c r="V115">
        <v>0</v>
      </c>
    </row>
    <row r="116" spans="1:22" hidden="1">
      <c r="B116" s="56" t="s">
        <v>2886</v>
      </c>
      <c r="C116" s="56" t="s">
        <v>3649</v>
      </c>
      <c r="D116" s="56" t="s">
        <v>22</v>
      </c>
      <c r="F116" s="56" t="s">
        <v>3650</v>
      </c>
      <c r="G116" s="56">
        <v>101</v>
      </c>
      <c r="H116" s="56">
        <v>0</v>
      </c>
      <c r="I116" s="58">
        <v>0</v>
      </c>
      <c r="K116" s="56" t="s">
        <v>2171</v>
      </c>
      <c r="L116" s="56" t="s">
        <v>2948</v>
      </c>
      <c r="O116">
        <f>_xlfn.XLOOKUP(N116,'Error-codes'!$C$2:$C$130,'Error-codes'!$B$2:$B$130, "None")</f>
        <v>0</v>
      </c>
      <c r="P116" t="s">
        <v>3379</v>
      </c>
      <c r="U116" s="81">
        <f>DATEVALUE(LEFT(F116,10))</f>
        <v>44845</v>
      </c>
    </row>
    <row r="117" spans="1:22" ht="76.5" hidden="1">
      <c r="A117" s="64" t="s">
        <v>3651</v>
      </c>
      <c r="B117" s="56" t="s">
        <v>2886</v>
      </c>
      <c r="C117" s="56" t="s">
        <v>3652</v>
      </c>
      <c r="D117" s="56" t="s">
        <v>37</v>
      </c>
      <c r="E117" s="56" t="s">
        <v>2930</v>
      </c>
      <c r="F117" s="56" t="s">
        <v>3653</v>
      </c>
      <c r="G117" s="56">
        <v>86</v>
      </c>
      <c r="H117" s="56">
        <v>11</v>
      </c>
      <c r="I117" s="58">
        <v>0.12790697674418605</v>
      </c>
      <c r="J117" s="56" t="s">
        <v>3654</v>
      </c>
      <c r="K117" s="56" t="s">
        <v>2171</v>
      </c>
      <c r="L117" s="56" t="s">
        <v>2948</v>
      </c>
      <c r="M117" s="61" t="str">
        <f>HYPERLINK(CONCATENATE("https://dribble.octin.io/?mode=Single+log&amp;log_id=", $A117),"URL")</f>
        <v>URL</v>
      </c>
      <c r="N117" s="56" t="s">
        <v>3428</v>
      </c>
      <c r="O117" t="str">
        <f>_xlfn.XLOOKUP(N117,'Error-codes'!$C$2:$C$130,'Error-codes'!$B$2:$B$130, "None")</f>
        <v>received error from global planner while in {} state</v>
      </c>
      <c r="P117" s="46" t="s">
        <v>3655</v>
      </c>
      <c r="Q117" s="45">
        <v>20221024</v>
      </c>
      <c r="R117" s="45"/>
      <c r="S117" s="46" t="s">
        <v>3656</v>
      </c>
      <c r="U117" s="81">
        <f>DATEVALUE(LEFT(F117,10))</f>
        <v>44845</v>
      </c>
      <c r="V117">
        <v>0</v>
      </c>
    </row>
    <row r="118" spans="1:22" hidden="1">
      <c r="B118" s="56" t="s">
        <v>29</v>
      </c>
      <c r="C118" s="56" t="s">
        <v>3657</v>
      </c>
      <c r="D118" s="56" t="s">
        <v>388</v>
      </c>
      <c r="F118" s="56" t="s">
        <v>3658</v>
      </c>
      <c r="G118" s="56">
        <v>150</v>
      </c>
      <c r="H118" s="56">
        <v>150</v>
      </c>
      <c r="I118" s="58">
        <v>1</v>
      </c>
      <c r="K118" s="56" t="s">
        <v>1893</v>
      </c>
      <c r="L118" s="56" t="s">
        <v>2942</v>
      </c>
      <c r="O118">
        <f>_xlfn.XLOOKUP(N118,'Error-codes'!$C$2:$C$130,'Error-codes'!$B$2:$B$130, "None")</f>
        <v>0</v>
      </c>
      <c r="P118" t="s">
        <v>3379</v>
      </c>
      <c r="Q118" t="s">
        <v>3379</v>
      </c>
      <c r="S118" t="s">
        <v>3379</v>
      </c>
      <c r="T118" t="s">
        <v>3379</v>
      </c>
      <c r="U118" s="81">
        <f>DATEVALUE(LEFT(F118,10))</f>
        <v>44846</v>
      </c>
      <c r="V118" t="s">
        <v>3379</v>
      </c>
    </row>
    <row r="119" spans="1:22" hidden="1">
      <c r="B119" s="56" t="s">
        <v>29</v>
      </c>
      <c r="C119" s="56" t="s">
        <v>3659</v>
      </c>
      <c r="D119" s="56" t="s">
        <v>388</v>
      </c>
      <c r="F119" s="56" t="s">
        <v>3660</v>
      </c>
      <c r="G119" s="56">
        <v>28</v>
      </c>
      <c r="H119" s="56">
        <v>28</v>
      </c>
      <c r="I119" s="58">
        <v>1</v>
      </c>
      <c r="K119" s="56" t="s">
        <v>1893</v>
      </c>
      <c r="L119" s="56" t="s">
        <v>2942</v>
      </c>
      <c r="O119">
        <f>_xlfn.XLOOKUP(N119,'Error-codes'!$C$2:$C$130,'Error-codes'!$B$2:$B$130, "None")</f>
        <v>0</v>
      </c>
      <c r="P119" t="s">
        <v>3379</v>
      </c>
      <c r="Q119" t="s">
        <v>3379</v>
      </c>
      <c r="S119" t="s">
        <v>3379</v>
      </c>
      <c r="T119" t="s">
        <v>3379</v>
      </c>
      <c r="U119" s="81">
        <f>DATEVALUE(LEFT(F119,10))</f>
        <v>44846</v>
      </c>
      <c r="V119" t="s">
        <v>3379</v>
      </c>
    </row>
    <row r="120" spans="1:22" hidden="1">
      <c r="A120" s="56" t="s">
        <v>3661</v>
      </c>
      <c r="B120" s="56" t="s">
        <v>295</v>
      </c>
      <c r="C120" s="56" t="s">
        <v>3662</v>
      </c>
      <c r="D120" s="56" t="s">
        <v>37</v>
      </c>
      <c r="E120" s="56" t="s">
        <v>2988</v>
      </c>
      <c r="F120" s="56" t="s">
        <v>3663</v>
      </c>
      <c r="G120" s="56">
        <v>150</v>
      </c>
      <c r="H120" s="56">
        <v>0</v>
      </c>
      <c r="I120" s="58">
        <v>0</v>
      </c>
      <c r="J120" s="56" t="s">
        <v>158</v>
      </c>
      <c r="K120" s="56" t="s">
        <v>1893</v>
      </c>
      <c r="L120" s="56" t="s">
        <v>2942</v>
      </c>
      <c r="M120" s="56" t="str">
        <f>HYPERLINK("https://dribble.octin.io/?mode=Single+log&amp;log_id=b04ed7de-3ed0-4a1d-ac22-346ceb4de9cb","URL")</f>
        <v>URL</v>
      </c>
      <c r="N120" s="56" t="s">
        <v>3458</v>
      </c>
      <c r="O120" t="str">
        <f>_xlfn.XLOOKUP(N120,'Error-codes'!$C$2:$C$130,'Error-codes'!$B$2:$B$130, "None")</f>
        <v>motor drive: UNDER VOLTAGE</v>
      </c>
      <c r="P120" t="s">
        <v>3664</v>
      </c>
      <c r="Q120" t="s">
        <v>3379</v>
      </c>
      <c r="S120" t="s">
        <v>3379</v>
      </c>
      <c r="T120" t="s">
        <v>3379</v>
      </c>
      <c r="U120" s="81">
        <f>DATEVALUE(LEFT(F120,10))</f>
        <v>44846</v>
      </c>
      <c r="V120">
        <v>4</v>
      </c>
    </row>
    <row r="121" spans="1:22" ht="30.75" hidden="1">
      <c r="A121" s="56" t="s">
        <v>3665</v>
      </c>
      <c r="B121" s="56" t="s">
        <v>29</v>
      </c>
      <c r="C121" s="56" t="s">
        <v>3666</v>
      </c>
      <c r="D121" s="56" t="s">
        <v>37</v>
      </c>
      <c r="E121" s="56" t="s">
        <v>2988</v>
      </c>
      <c r="F121" s="56" t="s">
        <v>3667</v>
      </c>
      <c r="G121" s="56">
        <v>150</v>
      </c>
      <c r="H121" s="56">
        <v>0</v>
      </c>
      <c r="I121" s="58">
        <v>0</v>
      </c>
      <c r="J121" s="56" t="s">
        <v>158</v>
      </c>
      <c r="K121" s="56" t="s">
        <v>1893</v>
      </c>
      <c r="L121" s="56" t="s">
        <v>2942</v>
      </c>
      <c r="M121" s="56" t="str">
        <f>HYPERLINK("https://dribble.octin.io/?mode=Single+log&amp;log_id=c733f4ad-eabf-48b4-91c9-d660a5cbe20d","URL")</f>
        <v>URL</v>
      </c>
      <c r="N121" s="56" t="s">
        <v>3458</v>
      </c>
      <c r="O121" t="str">
        <f>_xlfn.XLOOKUP(N121,'Error-codes'!$C$2:$C$130,'Error-codes'!$B$2:$B$130, "None")</f>
        <v>motor drive: UNDER VOLTAGE</v>
      </c>
      <c r="P121" s="46" t="s">
        <v>3668</v>
      </c>
      <c r="U121" s="81">
        <f>DATEVALUE(LEFT(F121,10))</f>
        <v>44846</v>
      </c>
      <c r="V121">
        <v>4</v>
      </c>
    </row>
    <row r="122" spans="1:22" hidden="1">
      <c r="B122" s="56" t="s">
        <v>295</v>
      </c>
      <c r="C122" s="56" t="s">
        <v>3669</v>
      </c>
      <c r="D122" s="56" t="s">
        <v>22</v>
      </c>
      <c r="F122" s="56" t="s">
        <v>3670</v>
      </c>
      <c r="G122" s="56">
        <v>150</v>
      </c>
      <c r="H122" s="56">
        <v>7</v>
      </c>
      <c r="I122" s="58">
        <v>4.6666666666666669E-2</v>
      </c>
      <c r="K122" s="56" t="s">
        <v>1893</v>
      </c>
      <c r="L122" s="56" t="s">
        <v>2942</v>
      </c>
      <c r="O122">
        <f>_xlfn.XLOOKUP(N122,'Error-codes'!$C$2:$C$130,'Error-codes'!$B$2:$B$130, "None")</f>
        <v>0</v>
      </c>
      <c r="U122" s="81">
        <f>DATEVALUE(LEFT(F122,10))</f>
        <v>44846</v>
      </c>
    </row>
    <row r="123" spans="1:22" ht="30.75" hidden="1">
      <c r="A123" s="65" t="s">
        <v>3671</v>
      </c>
      <c r="B123" s="56" t="s">
        <v>295</v>
      </c>
      <c r="C123" s="56" t="s">
        <v>3672</v>
      </c>
      <c r="D123" s="56" t="s">
        <v>37</v>
      </c>
      <c r="E123" s="56" t="s">
        <v>3673</v>
      </c>
      <c r="F123" s="56" t="s">
        <v>3674</v>
      </c>
      <c r="G123" s="56">
        <v>48</v>
      </c>
      <c r="H123" s="56">
        <v>4</v>
      </c>
      <c r="I123" s="58">
        <v>8.3333333333333329E-2</v>
      </c>
      <c r="J123" s="56" t="s">
        <v>3675</v>
      </c>
      <c r="K123" s="56" t="s">
        <v>1873</v>
      </c>
      <c r="L123" s="56" t="s">
        <v>2942</v>
      </c>
      <c r="M123" s="56" t="str">
        <f>HYPERLINK("https://dribble.octin.io/?mode=Single+log&amp;log_id=9e2b16bc-e5fd-4b34-9a80-99dfdb4442d7","URL")</f>
        <v>URL</v>
      </c>
      <c r="N123" s="56" t="s">
        <v>3448</v>
      </c>
      <c r="O123" t="str">
        <f>_xlfn.XLOOKUP(N123,'Error-codes'!$C$2:$C$130,'Error-codes'!$B$2:$B$130, "None")</f>
        <v>end of lane open sensor error</v>
      </c>
      <c r="P123" s="46" t="s">
        <v>3676</v>
      </c>
      <c r="Q123" s="51" t="s">
        <v>2957</v>
      </c>
      <c r="R123" s="51"/>
      <c r="S123" s="46" t="s">
        <v>3677</v>
      </c>
      <c r="U123" s="81">
        <f>DATEVALUE(LEFT(F123,10))</f>
        <v>44847</v>
      </c>
      <c r="V123">
        <v>1</v>
      </c>
    </row>
    <row r="124" spans="1:22" hidden="1">
      <c r="A124" s="56" t="s">
        <v>3678</v>
      </c>
      <c r="B124" s="56" t="s">
        <v>29</v>
      </c>
      <c r="C124" s="56" t="s">
        <v>3679</v>
      </c>
      <c r="D124" s="56" t="s">
        <v>22</v>
      </c>
      <c r="E124" s="56" t="s">
        <v>2939</v>
      </c>
      <c r="F124" s="56" t="s">
        <v>3680</v>
      </c>
      <c r="G124" s="56">
        <v>91</v>
      </c>
      <c r="H124" s="56">
        <v>58</v>
      </c>
      <c r="I124" s="58">
        <v>0.63736263736263732</v>
      </c>
      <c r="J124" s="56" t="s">
        <v>3681</v>
      </c>
      <c r="K124" s="56" t="s">
        <v>1873</v>
      </c>
      <c r="L124" s="56" t="s">
        <v>2942</v>
      </c>
      <c r="M124" s="56" t="str">
        <f>HYPERLINK("https://dribble.octin.io/?mode=Single+log&amp;log_id=fc0b4ef1-0c84-4f97-874d-12de5b84be6d","URL")</f>
        <v>URL</v>
      </c>
      <c r="N124" s="56" t="s">
        <v>3442</v>
      </c>
      <c r="O124" t="str">
        <f>_xlfn.XLOOKUP(N124,'Error-codes'!$C$2:$C$130,'Error-codes'!$B$2:$B$130, "None")</f>
        <v>vehicle diverged too far from trajectory</v>
      </c>
      <c r="P124" t="s">
        <v>3682</v>
      </c>
      <c r="U124" s="81">
        <f>DATEVALUE(LEFT(F124,10))</f>
        <v>44847</v>
      </c>
      <c r="V124">
        <v>3.1</v>
      </c>
    </row>
    <row r="125" spans="1:22" hidden="1">
      <c r="B125" s="56" t="s">
        <v>295</v>
      </c>
      <c r="C125" s="56" t="s">
        <v>3683</v>
      </c>
      <c r="D125" s="56" t="s">
        <v>22</v>
      </c>
      <c r="F125" s="56" t="s">
        <v>3684</v>
      </c>
      <c r="G125" s="56">
        <v>44</v>
      </c>
      <c r="H125" s="56">
        <v>30</v>
      </c>
      <c r="I125" s="58">
        <v>0.68181818181818177</v>
      </c>
      <c r="K125" s="56" t="s">
        <v>1873</v>
      </c>
      <c r="L125" s="56" t="s">
        <v>2942</v>
      </c>
      <c r="O125">
        <f>_xlfn.XLOOKUP(N125,'Error-codes'!$C$2:$C$130,'Error-codes'!$B$2:$B$130, "None")</f>
        <v>0</v>
      </c>
      <c r="U125" s="81">
        <f>DATEVALUE(LEFT(F125,10))</f>
        <v>44847</v>
      </c>
    </row>
    <row r="126" spans="1:22" hidden="1">
      <c r="B126" s="56" t="s">
        <v>295</v>
      </c>
      <c r="C126" s="56" t="s">
        <v>3685</v>
      </c>
      <c r="D126" s="56" t="s">
        <v>22</v>
      </c>
      <c r="F126" s="56" t="s">
        <v>3686</v>
      </c>
      <c r="G126" s="56">
        <v>4</v>
      </c>
      <c r="H126" s="56">
        <v>1</v>
      </c>
      <c r="I126" s="58">
        <v>0.25</v>
      </c>
      <c r="K126" s="56" t="s">
        <v>1893</v>
      </c>
      <c r="L126" s="56" t="s">
        <v>2942</v>
      </c>
      <c r="O126">
        <f>_xlfn.XLOOKUP(N126,'Error-codes'!$C$2:$C$130,'Error-codes'!$B$2:$B$130, "None")</f>
        <v>0</v>
      </c>
      <c r="U126" s="81">
        <f>DATEVALUE(LEFT(F126,10))</f>
        <v>44847</v>
      </c>
    </row>
    <row r="127" spans="1:22" hidden="1">
      <c r="B127" s="56" t="s">
        <v>29</v>
      </c>
      <c r="C127" s="56" t="s">
        <v>3687</v>
      </c>
      <c r="D127" s="56" t="s">
        <v>37</v>
      </c>
      <c r="F127" s="56" t="s">
        <v>3688</v>
      </c>
      <c r="G127" s="56">
        <v>150</v>
      </c>
      <c r="H127" s="56">
        <v>0</v>
      </c>
      <c r="I127" s="58">
        <v>0</v>
      </c>
      <c r="K127" s="56" t="s">
        <v>1893</v>
      </c>
      <c r="L127" s="56" t="s">
        <v>2942</v>
      </c>
      <c r="O127">
        <f>_xlfn.XLOOKUP(N127,'Error-codes'!$C$2:$C$130,'Error-codes'!$B$2:$B$130, "None")</f>
        <v>0</v>
      </c>
      <c r="U127" s="81">
        <f>DATEVALUE(LEFT(F127,10))</f>
        <v>44847</v>
      </c>
    </row>
    <row r="128" spans="1:22" hidden="1">
      <c r="A128" s="56" t="s">
        <v>3689</v>
      </c>
      <c r="B128" s="56" t="s">
        <v>29</v>
      </c>
      <c r="C128" s="56" t="s">
        <v>3690</v>
      </c>
      <c r="D128" s="56" t="s">
        <v>37</v>
      </c>
      <c r="E128" s="56" t="s">
        <v>2988</v>
      </c>
      <c r="F128" s="56" t="s">
        <v>3691</v>
      </c>
      <c r="G128" s="56">
        <v>150</v>
      </c>
      <c r="H128" s="56">
        <v>0</v>
      </c>
      <c r="I128" s="58">
        <v>0</v>
      </c>
      <c r="J128" s="56" t="s">
        <v>158</v>
      </c>
      <c r="K128" s="56" t="s">
        <v>1893</v>
      </c>
      <c r="L128" s="56" t="s">
        <v>2942</v>
      </c>
      <c r="M128" s="56" t="str">
        <f>HYPERLINK("https://dribble.octin.io/?mode=Single+log&amp;log_id=a94bda7a-04d3-4bcf-8adc-6cdc069f6de6","URL")</f>
        <v>URL</v>
      </c>
      <c r="N128" s="56" t="s">
        <v>3466</v>
      </c>
      <c r="O128" t="str">
        <f>_xlfn.XLOOKUP(N128,'Error-codes'!$C$2:$C$130,'Error-codes'!$B$2:$B$130, "None")</f>
        <v>vision error</v>
      </c>
      <c r="S128" t="s">
        <v>3692</v>
      </c>
      <c r="U128" s="81">
        <f>DATEVALUE(LEFT(F128,10))</f>
        <v>44847</v>
      </c>
      <c r="V128">
        <v>1</v>
      </c>
    </row>
    <row r="129" spans="1:22" hidden="1">
      <c r="B129" s="56" t="s">
        <v>29</v>
      </c>
      <c r="C129" s="56" t="s">
        <v>3693</v>
      </c>
      <c r="D129" s="56"/>
      <c r="F129" s="56" t="s">
        <v>3694</v>
      </c>
      <c r="G129" s="56">
        <v>41</v>
      </c>
      <c r="H129" s="56">
        <v>1</v>
      </c>
      <c r="I129" s="58">
        <v>2.4390243902439025E-2</v>
      </c>
      <c r="K129" s="56" t="s">
        <v>1893</v>
      </c>
      <c r="L129" s="56" t="s">
        <v>2942</v>
      </c>
      <c r="O129">
        <f>_xlfn.XLOOKUP(N129,'Error-codes'!$C$2:$C$130,'Error-codes'!$B$2:$B$130, "None")</f>
        <v>0</v>
      </c>
      <c r="U129" s="81">
        <f>DATEVALUE(LEFT(F129,10))</f>
        <v>44847</v>
      </c>
    </row>
    <row r="130" spans="1:22" hidden="1">
      <c r="B130" s="56" t="s">
        <v>29</v>
      </c>
      <c r="C130" s="56" t="s">
        <v>3695</v>
      </c>
      <c r="D130" s="56" t="s">
        <v>37</v>
      </c>
      <c r="F130" s="56" t="s">
        <v>3696</v>
      </c>
      <c r="G130" s="56">
        <v>210</v>
      </c>
      <c r="H130" s="56">
        <v>0</v>
      </c>
      <c r="I130" s="58">
        <v>0</v>
      </c>
      <c r="K130" s="56" t="s">
        <v>1893</v>
      </c>
      <c r="L130" s="56" t="s">
        <v>2942</v>
      </c>
      <c r="O130">
        <f>_xlfn.XLOOKUP(N130,'Error-codes'!$C$2:$C$130,'Error-codes'!$B$2:$B$130, "None")</f>
        <v>0</v>
      </c>
      <c r="U130" s="81">
        <f>DATEVALUE(LEFT(F130,10))</f>
        <v>44847</v>
      </c>
    </row>
    <row r="131" spans="1:22" ht="30.75" hidden="1">
      <c r="A131" s="62" t="s">
        <v>2970</v>
      </c>
      <c r="B131" s="56" t="s">
        <v>2886</v>
      </c>
      <c r="C131" s="56" t="s">
        <v>2971</v>
      </c>
      <c r="D131" s="56" t="s">
        <v>37</v>
      </c>
      <c r="E131" s="56" t="s">
        <v>2930</v>
      </c>
      <c r="F131" s="56" t="s">
        <v>2972</v>
      </c>
      <c r="G131" s="56">
        <v>101</v>
      </c>
      <c r="H131" s="56">
        <v>50</v>
      </c>
      <c r="I131" s="58">
        <v>0.49504950495049505</v>
      </c>
      <c r="J131" s="56" t="s">
        <v>2968</v>
      </c>
      <c r="K131" s="56" t="s">
        <v>2166</v>
      </c>
      <c r="L131" s="56" t="s">
        <v>2948</v>
      </c>
      <c r="M131" s="61" t="str">
        <f>HYPERLINK(CONCATENATE("https://dribble.octin.io/?mode=Single+log&amp;log_id=", $A131),"URL")</f>
        <v>URL</v>
      </c>
      <c r="N131" s="56" t="s">
        <v>2933</v>
      </c>
      <c r="O131" t="str">
        <f>_xlfn.XLOOKUP(N131,'Error-codes'!$C$2:$C$130,'Error-codes'!$B$2:$B$130, "None")</f>
        <v>inductive sensor error</v>
      </c>
      <c r="P131" t="s">
        <v>2973</v>
      </c>
      <c r="Q131" s="51" t="s">
        <v>2957</v>
      </c>
      <c r="R131" s="51"/>
      <c r="S131" s="48" t="s">
        <v>2974</v>
      </c>
      <c r="U131" s="81">
        <f>DATEVALUE(LEFT(F131,10))</f>
        <v>44847</v>
      </c>
      <c r="V131">
        <v>3.3</v>
      </c>
    </row>
    <row r="132" spans="1:22" ht="30.75" hidden="1">
      <c r="A132" s="65" t="s">
        <v>3697</v>
      </c>
      <c r="B132" s="56" t="s">
        <v>295</v>
      </c>
      <c r="C132" s="56" t="s">
        <v>3698</v>
      </c>
      <c r="D132" s="56" t="s">
        <v>37</v>
      </c>
      <c r="E132" s="56" t="s">
        <v>3673</v>
      </c>
      <c r="F132" s="56" t="s">
        <v>3699</v>
      </c>
      <c r="G132" s="56">
        <v>139</v>
      </c>
      <c r="H132" s="56">
        <v>83</v>
      </c>
      <c r="I132" s="58">
        <v>0.59712230215827333</v>
      </c>
      <c r="J132" s="56" t="s">
        <v>3700</v>
      </c>
      <c r="K132" s="56" t="s">
        <v>1873</v>
      </c>
      <c r="L132" s="56" t="s">
        <v>2942</v>
      </c>
      <c r="M132" s="56" t="str">
        <f>HYPERLINK("https://dribble.octin.io/?mode=Single+log&amp;log_id=f9014157-3292-448c-8387-9e511d98fc17","URL")</f>
        <v>URL</v>
      </c>
      <c r="N132" s="56" t="s">
        <v>3448</v>
      </c>
      <c r="O132" t="str">
        <f>_xlfn.XLOOKUP(N132,'Error-codes'!$C$2:$C$130,'Error-codes'!$B$2:$B$130, "None")</f>
        <v>end of lane open sensor error</v>
      </c>
      <c r="P132" s="46" t="s">
        <v>3676</v>
      </c>
      <c r="S132" s="46" t="s">
        <v>3701</v>
      </c>
      <c r="U132" s="81">
        <f>DATEVALUE(LEFT(F132,10))</f>
        <v>44847</v>
      </c>
      <c r="V132">
        <v>1</v>
      </c>
    </row>
    <row r="133" spans="1:22" ht="76.5" hidden="1">
      <c r="A133" s="56" t="s">
        <v>3702</v>
      </c>
      <c r="B133" s="56" t="s">
        <v>29</v>
      </c>
      <c r="C133" s="56" t="s">
        <v>2976</v>
      </c>
      <c r="D133" s="56" t="s">
        <v>37</v>
      </c>
      <c r="E133" s="56" t="s">
        <v>2939</v>
      </c>
      <c r="F133" s="56" t="s">
        <v>3703</v>
      </c>
      <c r="G133" s="56">
        <v>210</v>
      </c>
      <c r="H133" s="56">
        <v>155</v>
      </c>
      <c r="I133" s="58">
        <v>0.73809523809523814</v>
      </c>
      <c r="J133" s="56" t="s">
        <v>3704</v>
      </c>
      <c r="K133" s="56" t="s">
        <v>1893</v>
      </c>
      <c r="L133" s="56" t="s">
        <v>2942</v>
      </c>
      <c r="M133" s="56" t="str">
        <f>HYPERLINK("https://dribble.octin.io/?mode=Single+log&amp;log_id=beec48ef-7d99-47d9-b056-af92e0ef4513","URL")</f>
        <v>URL</v>
      </c>
      <c r="N133" s="56" t="s">
        <v>3442</v>
      </c>
      <c r="O133" t="str">
        <f>_xlfn.XLOOKUP(N133,'Error-codes'!$C$2:$C$130,'Error-codes'!$B$2:$B$130, "None")</f>
        <v>vehicle diverged too far from trajectory</v>
      </c>
      <c r="P133" s="46" t="s">
        <v>3705</v>
      </c>
      <c r="U133" s="81">
        <f>DATEVALUE(LEFT(F133,10))</f>
        <v>44848</v>
      </c>
      <c r="V133">
        <v>3.2</v>
      </c>
    </row>
    <row r="134" spans="1:22" ht="45.75" hidden="1">
      <c r="A134" s="56" t="s">
        <v>2975</v>
      </c>
      <c r="B134" s="56" t="s">
        <v>29</v>
      </c>
      <c r="C134" s="56" t="s">
        <v>2976</v>
      </c>
      <c r="D134" s="56" t="s">
        <v>37</v>
      </c>
      <c r="E134" s="59" t="s">
        <v>2977</v>
      </c>
      <c r="F134" s="56" t="s">
        <v>2978</v>
      </c>
      <c r="G134" s="56">
        <v>210</v>
      </c>
      <c r="H134" s="56">
        <v>156</v>
      </c>
      <c r="I134" s="58">
        <v>0.74285714285714288</v>
      </c>
      <c r="J134" s="56" t="s">
        <v>2979</v>
      </c>
      <c r="K134" s="56" t="s">
        <v>1893</v>
      </c>
      <c r="L134" s="56" t="s">
        <v>2942</v>
      </c>
      <c r="M134" s="56" t="str">
        <f>HYPERLINK("https://dribble.octin.io/?mode=Single+log&amp;log_id=12962c59-7b47-4c5b-8850-f7ec086e11b3","URL")</f>
        <v>URL</v>
      </c>
      <c r="N134" s="56" t="s">
        <v>2933</v>
      </c>
      <c r="O134" t="str">
        <f>_xlfn.XLOOKUP(N134,'Error-codes'!$C$2:$C$130,'Error-codes'!$B$2:$B$130, "None")</f>
        <v>inductive sensor error</v>
      </c>
      <c r="P134" s="46" t="s">
        <v>2980</v>
      </c>
      <c r="U134" s="81">
        <f>DATEVALUE(LEFT(F134,10))</f>
        <v>44848</v>
      </c>
      <c r="V134">
        <v>3.3</v>
      </c>
    </row>
    <row r="135" spans="1:22" hidden="1">
      <c r="B135" s="56" t="s">
        <v>295</v>
      </c>
      <c r="C135" s="56" t="s">
        <v>3706</v>
      </c>
      <c r="D135" s="56" t="s">
        <v>388</v>
      </c>
      <c r="F135" s="56" t="s">
        <v>3707</v>
      </c>
      <c r="G135" s="56">
        <v>56</v>
      </c>
      <c r="H135" s="56">
        <v>56</v>
      </c>
      <c r="I135" s="56">
        <v>1</v>
      </c>
      <c r="K135" s="56" t="s">
        <v>1873</v>
      </c>
      <c r="L135" s="56" t="s">
        <v>2942</v>
      </c>
      <c r="O135">
        <f>_xlfn.XLOOKUP(N135,'Error-codes'!$C$2:$C$130,'Error-codes'!$B$2:$B$130, "None")</f>
        <v>0</v>
      </c>
      <c r="U135" s="81">
        <f>DATEVALUE(LEFT(F135,10))</f>
        <v>44848</v>
      </c>
    </row>
    <row r="136" spans="1:22" hidden="1">
      <c r="B136" s="56" t="s">
        <v>29</v>
      </c>
      <c r="C136" s="56" t="s">
        <v>3708</v>
      </c>
      <c r="D136" s="56" t="s">
        <v>388</v>
      </c>
      <c r="F136" s="56" t="s">
        <v>3709</v>
      </c>
      <c r="G136" s="56">
        <v>60</v>
      </c>
      <c r="H136" s="56">
        <v>60</v>
      </c>
      <c r="I136" s="58">
        <v>1</v>
      </c>
      <c r="K136" s="56" t="s">
        <v>1893</v>
      </c>
      <c r="L136" s="56" t="s">
        <v>2942</v>
      </c>
      <c r="O136">
        <f>_xlfn.XLOOKUP(N136,'Error-codes'!$C$2:$C$130,'Error-codes'!$B$2:$B$130, "None")</f>
        <v>0</v>
      </c>
      <c r="U136" s="81">
        <f>DATEVALUE(LEFT(F136,10))</f>
        <v>44848</v>
      </c>
    </row>
    <row r="137" spans="1:22" ht="45.75" hidden="1">
      <c r="A137" s="62" t="s">
        <v>2981</v>
      </c>
      <c r="B137" s="56" t="s">
        <v>2886</v>
      </c>
      <c r="C137" s="56" t="s">
        <v>2982</v>
      </c>
      <c r="D137" s="56" t="s">
        <v>37</v>
      </c>
      <c r="E137" s="56" t="s">
        <v>2930</v>
      </c>
      <c r="F137" s="56" t="s">
        <v>2983</v>
      </c>
      <c r="G137" s="56">
        <v>48</v>
      </c>
      <c r="H137" s="56">
        <v>23</v>
      </c>
      <c r="I137" s="58">
        <v>0.47916666666666669</v>
      </c>
      <c r="J137" s="56" t="s">
        <v>2984</v>
      </c>
      <c r="K137" s="56" t="s">
        <v>2166</v>
      </c>
      <c r="L137" s="56" t="s">
        <v>2948</v>
      </c>
      <c r="M137" s="61" t="str">
        <f>HYPERLINK(CONCATENATE("https://dribble.octin.io/?mode=Single+log&amp;log_id=", $A137),"URL")</f>
        <v>URL</v>
      </c>
      <c r="N137" s="56" t="s">
        <v>2933</v>
      </c>
      <c r="O137" t="str">
        <f>_xlfn.XLOOKUP(N137,'Error-codes'!$C$2:$C$130,'Error-codes'!$B$2:$B$130, "None")</f>
        <v>inductive sensor error</v>
      </c>
      <c r="P137" s="46" t="s">
        <v>2985</v>
      </c>
      <c r="S137" s="48" t="s">
        <v>2974</v>
      </c>
      <c r="U137" s="81">
        <f>DATEVALUE(LEFT(F137,10))</f>
        <v>44848</v>
      </c>
      <c r="V137">
        <v>1</v>
      </c>
    </row>
    <row r="138" spans="1:22" hidden="1">
      <c r="B138" s="56" t="s">
        <v>29</v>
      </c>
      <c r="C138" s="56" t="s">
        <v>3710</v>
      </c>
      <c r="D138" s="56" t="s">
        <v>388</v>
      </c>
      <c r="F138" s="56" t="s">
        <v>3711</v>
      </c>
      <c r="G138" s="56">
        <v>140</v>
      </c>
      <c r="H138" s="56">
        <v>140</v>
      </c>
      <c r="I138" s="58">
        <v>1</v>
      </c>
      <c r="K138" s="56" t="s">
        <v>1873</v>
      </c>
      <c r="L138" s="56" t="s">
        <v>2942</v>
      </c>
      <c r="O138">
        <f>_xlfn.XLOOKUP(N138,'Error-codes'!$C$2:$C$130,'Error-codes'!$B$2:$B$130, "None")</f>
        <v>0</v>
      </c>
      <c r="P138" t="s">
        <v>3379</v>
      </c>
      <c r="Q138" t="s">
        <v>3379</v>
      </c>
      <c r="S138" t="s">
        <v>3379</v>
      </c>
      <c r="T138" t="s">
        <v>3379</v>
      </c>
      <c r="U138" s="81">
        <f>DATEVALUE(LEFT(F138,10))</f>
        <v>44849</v>
      </c>
      <c r="V138" t="s">
        <v>3379</v>
      </c>
    </row>
    <row r="139" spans="1:22" hidden="1">
      <c r="B139" s="56" t="s">
        <v>29</v>
      </c>
      <c r="C139" s="56" t="s">
        <v>3712</v>
      </c>
      <c r="D139" s="56"/>
      <c r="F139" s="56" t="s">
        <v>3713</v>
      </c>
      <c r="G139" s="56">
        <v>3</v>
      </c>
      <c r="H139" s="56">
        <v>1</v>
      </c>
      <c r="I139" s="58">
        <v>0.33333333333333331</v>
      </c>
      <c r="K139" s="56" t="s">
        <v>1893</v>
      </c>
      <c r="L139" s="56" t="s">
        <v>2942</v>
      </c>
      <c r="O139">
        <f>_xlfn.XLOOKUP(N139,'Error-codes'!$C$2:$C$130,'Error-codes'!$B$2:$B$130, "None")</f>
        <v>0</v>
      </c>
      <c r="S139" t="s">
        <v>3714</v>
      </c>
      <c r="U139" s="81">
        <f>DATEVALUE(LEFT(F139,10))</f>
        <v>44849</v>
      </c>
    </row>
    <row r="140" spans="1:22" ht="60.75" hidden="1">
      <c r="A140" s="60" t="s">
        <v>3715</v>
      </c>
      <c r="B140" s="56" t="s">
        <v>295</v>
      </c>
      <c r="C140" s="56" t="s">
        <v>3716</v>
      </c>
      <c r="D140" s="56" t="s">
        <v>37</v>
      </c>
      <c r="E140" s="56" t="s">
        <v>3717</v>
      </c>
      <c r="F140" s="56" t="s">
        <v>3718</v>
      </c>
      <c r="G140" s="56">
        <v>60</v>
      </c>
      <c r="H140" s="56">
        <v>10</v>
      </c>
      <c r="I140" s="58">
        <v>0.16666666666666666</v>
      </c>
      <c r="J140" s="56" t="s">
        <v>3719</v>
      </c>
      <c r="K140" s="56" t="s">
        <v>1893</v>
      </c>
      <c r="L140" s="56" t="s">
        <v>2942</v>
      </c>
      <c r="M140" s="56" t="str">
        <f>HYPERLINK("https://dribble.octin.io/?mode=Single+log&amp;log_id=da111275-cd35-4b68-92e2-6d771a516bbd","URL")</f>
        <v>URL</v>
      </c>
      <c r="N140" s="56" t="s">
        <v>3430</v>
      </c>
      <c r="O140" t="str">
        <f>_xlfn.XLOOKUP(N140,'Error-codes'!$C$2:$C$130,'Error-codes'!$B$2:$B$130, "None")</f>
        <v>global path planner did not finish planning in time</v>
      </c>
      <c r="P140" s="46" t="s">
        <v>3720</v>
      </c>
      <c r="S140" s="46" t="s">
        <v>3721</v>
      </c>
      <c r="T140" t="s">
        <v>3722</v>
      </c>
      <c r="U140" s="81">
        <f>DATEVALUE(LEFT(F140,10))</f>
        <v>44849</v>
      </c>
      <c r="V140">
        <v>0</v>
      </c>
    </row>
    <row r="141" spans="1:22" hidden="1">
      <c r="B141" s="56" t="s">
        <v>29</v>
      </c>
      <c r="C141" s="56" t="s">
        <v>3723</v>
      </c>
      <c r="D141" s="56" t="s">
        <v>388</v>
      </c>
      <c r="F141" s="56" t="s">
        <v>3724</v>
      </c>
      <c r="G141" s="56">
        <v>2</v>
      </c>
      <c r="H141" s="56">
        <v>2</v>
      </c>
      <c r="I141" s="58">
        <v>1</v>
      </c>
      <c r="K141" s="56" t="s">
        <v>1893</v>
      </c>
      <c r="L141" s="56" t="s">
        <v>2942</v>
      </c>
      <c r="O141">
        <f>_xlfn.XLOOKUP(N141,'Error-codes'!$C$2:$C$130,'Error-codes'!$B$2:$B$130, "None")</f>
        <v>0</v>
      </c>
      <c r="P141" t="s">
        <v>3379</v>
      </c>
      <c r="Q141" t="s">
        <v>3379</v>
      </c>
      <c r="S141" t="s">
        <v>3379</v>
      </c>
      <c r="T141" t="s">
        <v>3379</v>
      </c>
      <c r="U141" s="81">
        <f>DATEVALUE(LEFT(F141,10))</f>
        <v>44850</v>
      </c>
      <c r="V141" t="s">
        <v>3379</v>
      </c>
    </row>
    <row r="142" spans="1:22" hidden="1">
      <c r="B142" s="56" t="s">
        <v>29</v>
      </c>
      <c r="C142" s="56" t="s">
        <v>3725</v>
      </c>
      <c r="D142" s="56" t="s">
        <v>388</v>
      </c>
      <c r="F142" s="56" t="s">
        <v>3726</v>
      </c>
      <c r="G142" s="56">
        <v>2</v>
      </c>
      <c r="H142" s="56">
        <v>2</v>
      </c>
      <c r="I142" s="58">
        <v>1</v>
      </c>
      <c r="K142" s="56" t="s">
        <v>1893</v>
      </c>
      <c r="L142" s="56" t="s">
        <v>2942</v>
      </c>
      <c r="O142">
        <f>_xlfn.XLOOKUP(N142,'Error-codes'!$C$2:$C$130,'Error-codes'!$B$2:$B$130, "None")</f>
        <v>0</v>
      </c>
      <c r="P142" t="s">
        <v>3379</v>
      </c>
      <c r="Q142" t="s">
        <v>3379</v>
      </c>
      <c r="S142" t="s">
        <v>3379</v>
      </c>
      <c r="T142" t="s">
        <v>3379</v>
      </c>
      <c r="U142" s="81">
        <f>DATEVALUE(LEFT(F142,10))</f>
        <v>44850</v>
      </c>
      <c r="V142" t="s">
        <v>3379</v>
      </c>
    </row>
    <row r="143" spans="1:22" hidden="1">
      <c r="B143" s="56" t="s">
        <v>295</v>
      </c>
      <c r="C143" s="56" t="s">
        <v>3727</v>
      </c>
      <c r="D143" s="56" t="s">
        <v>388</v>
      </c>
      <c r="F143" s="56" t="s">
        <v>3728</v>
      </c>
      <c r="G143" s="56">
        <v>3</v>
      </c>
      <c r="H143" s="56">
        <v>3</v>
      </c>
      <c r="I143" s="58">
        <v>1</v>
      </c>
      <c r="K143" s="56" t="s">
        <v>1873</v>
      </c>
      <c r="L143" s="56" t="s">
        <v>2942</v>
      </c>
      <c r="O143">
        <f>_xlfn.XLOOKUP(N143,'Error-codes'!$C$2:$C$130,'Error-codes'!$B$2:$B$130, "None")</f>
        <v>0</v>
      </c>
      <c r="P143" t="s">
        <v>3379</v>
      </c>
      <c r="Q143" t="s">
        <v>3379</v>
      </c>
      <c r="S143" t="s">
        <v>3379</v>
      </c>
      <c r="T143" t="s">
        <v>3379</v>
      </c>
      <c r="U143" s="81">
        <f>DATEVALUE(LEFT(F143,10))</f>
        <v>44850</v>
      </c>
      <c r="V143" t="s">
        <v>3379</v>
      </c>
    </row>
    <row r="144" spans="1:22" ht="30.75" hidden="1">
      <c r="A144" s="56" t="s">
        <v>3729</v>
      </c>
      <c r="B144" s="56" t="s">
        <v>295</v>
      </c>
      <c r="C144" s="56" t="s">
        <v>3730</v>
      </c>
      <c r="D144" s="56" t="s">
        <v>37</v>
      </c>
      <c r="E144" s="56" t="s">
        <v>2939</v>
      </c>
      <c r="F144" s="56" t="s">
        <v>3731</v>
      </c>
      <c r="G144" s="56">
        <v>141</v>
      </c>
      <c r="H144" s="56">
        <v>23</v>
      </c>
      <c r="I144" s="58">
        <v>0.16312056737588654</v>
      </c>
      <c r="J144" s="56" t="s">
        <v>3732</v>
      </c>
      <c r="K144" s="56" t="s">
        <v>1873</v>
      </c>
      <c r="L144" s="56" t="s">
        <v>2942</v>
      </c>
      <c r="M144" s="56" t="str">
        <f>HYPERLINK("https://dribble.octin.io/?mode=Single+log&amp;log_id=1ec79e63-9686-4adc-b045-f400ee2d4267","URL")</f>
        <v>URL</v>
      </c>
      <c r="N144" s="56" t="s">
        <v>3448</v>
      </c>
      <c r="O144" t="str">
        <f>_xlfn.XLOOKUP(N144,'Error-codes'!$C$2:$C$130,'Error-codes'!$B$2:$B$130, "None")</f>
        <v>end of lane open sensor error</v>
      </c>
      <c r="P144" s="46" t="s">
        <v>3676</v>
      </c>
      <c r="S144" s="46" t="s">
        <v>3733</v>
      </c>
      <c r="U144" s="81">
        <f>DATEVALUE(LEFT(F144,10))</f>
        <v>44850</v>
      </c>
      <c r="V144">
        <v>1</v>
      </c>
    </row>
    <row r="145" spans="1:22" ht="45.75" hidden="1">
      <c r="A145" s="63" t="s">
        <v>3734</v>
      </c>
      <c r="B145" s="56" t="s">
        <v>29</v>
      </c>
      <c r="C145" s="56" t="s">
        <v>3735</v>
      </c>
      <c r="D145" s="56" t="s">
        <v>37</v>
      </c>
      <c r="E145" s="56" t="s">
        <v>3501</v>
      </c>
      <c r="F145" s="56" t="s">
        <v>3736</v>
      </c>
      <c r="G145" s="56">
        <v>208</v>
      </c>
      <c r="H145" s="56">
        <v>148</v>
      </c>
      <c r="I145" s="58">
        <v>0.71153846153846156</v>
      </c>
      <c r="J145" s="56" t="s">
        <v>2990</v>
      </c>
      <c r="K145" s="56" t="s">
        <v>1893</v>
      </c>
      <c r="L145" s="56" t="s">
        <v>2942</v>
      </c>
      <c r="M145" s="56" t="str">
        <f>HYPERLINK("https://dribble.octin.io/?mode=Single+log&amp;log_id=b78cb23d-1555-4473-ad6f-7edc8ae101c8","URL")</f>
        <v>URL</v>
      </c>
      <c r="N145" s="56" t="s">
        <v>3460</v>
      </c>
      <c r="O145" t="str">
        <f>_xlfn.XLOOKUP(N145,'Error-codes'!$C$2:$C$130,'Error-codes'!$B$2:$B$130, "None")</f>
        <v>motor drive: DRV8353 FAULT</v>
      </c>
      <c r="P145" s="46" t="s">
        <v>3737</v>
      </c>
      <c r="Q145" t="s">
        <v>3379</v>
      </c>
      <c r="S145" t="s">
        <v>3379</v>
      </c>
      <c r="T145" t="s">
        <v>3379</v>
      </c>
      <c r="U145" s="81">
        <f>DATEVALUE(LEFT(F145,10))</f>
        <v>44851</v>
      </c>
      <c r="V145">
        <v>3.2</v>
      </c>
    </row>
    <row r="146" spans="1:22" ht="30.75" hidden="1">
      <c r="A146" s="63" t="s">
        <v>3738</v>
      </c>
      <c r="B146" s="56" t="s">
        <v>295</v>
      </c>
      <c r="C146" s="56" t="s">
        <v>3730</v>
      </c>
      <c r="D146" s="56" t="s">
        <v>37</v>
      </c>
      <c r="E146" s="56" t="s">
        <v>3673</v>
      </c>
      <c r="F146" s="56" t="s">
        <v>3739</v>
      </c>
      <c r="G146" s="56">
        <v>141</v>
      </c>
      <c r="H146" s="56">
        <v>24</v>
      </c>
      <c r="I146" s="58">
        <v>0.1702127659574468</v>
      </c>
      <c r="J146" s="56" t="s">
        <v>3732</v>
      </c>
      <c r="K146" s="56" t="s">
        <v>1873</v>
      </c>
      <c r="L146" s="56" t="s">
        <v>2942</v>
      </c>
      <c r="M146" s="56" t="str">
        <f>HYPERLINK("https://dribble.octin.io/?mode=Single+log&amp;log_id=7092be2d-b1da-47a8-ab63-889a7926f68f","URL")</f>
        <v>URL</v>
      </c>
      <c r="N146" s="56" t="s">
        <v>3448</v>
      </c>
      <c r="O146" t="str">
        <f>_xlfn.XLOOKUP(N146,'Error-codes'!$C$2:$C$130,'Error-codes'!$B$2:$B$130, "None")</f>
        <v>end of lane open sensor error</v>
      </c>
      <c r="P146" s="46" t="s">
        <v>3676</v>
      </c>
      <c r="S146" t="s">
        <v>3740</v>
      </c>
      <c r="U146" s="81">
        <f>DATEVALUE(LEFT(F146,10))</f>
        <v>44851</v>
      </c>
      <c r="V146">
        <v>1</v>
      </c>
    </row>
    <row r="147" spans="1:22" ht="60.75" hidden="1">
      <c r="A147" s="60" t="s">
        <v>2986</v>
      </c>
      <c r="B147" s="56" t="s">
        <v>29</v>
      </c>
      <c r="C147" s="56" t="s">
        <v>2987</v>
      </c>
      <c r="D147" s="56" t="s">
        <v>37</v>
      </c>
      <c r="E147" s="56" t="s">
        <v>2988</v>
      </c>
      <c r="F147" s="56" t="s">
        <v>2989</v>
      </c>
      <c r="G147" s="56">
        <v>60</v>
      </c>
      <c r="H147" s="56">
        <v>0</v>
      </c>
      <c r="I147" s="58">
        <v>0</v>
      </c>
      <c r="J147" s="56" t="s">
        <v>2990</v>
      </c>
      <c r="K147" s="56" t="s">
        <v>1893</v>
      </c>
      <c r="L147" s="56" t="s">
        <v>2942</v>
      </c>
      <c r="M147" s="56" t="str">
        <f>HYPERLINK("https://dribble.octin.io/?mode=Single+log&amp;log_id=330a3273-6b0c-4f49-8ea1-79ed10f24da5","URL")</f>
        <v>URL</v>
      </c>
      <c r="N147" s="56" t="s">
        <v>2933</v>
      </c>
      <c r="O147" t="str">
        <f>_xlfn.XLOOKUP(N147,'Error-codes'!$C$2:$C$130,'Error-codes'!$B$2:$B$130, "None")</f>
        <v>inductive sensor error</v>
      </c>
      <c r="P147" s="46" t="s">
        <v>2991</v>
      </c>
      <c r="S147" s="46" t="s">
        <v>2992</v>
      </c>
      <c r="U147" s="81">
        <f>DATEVALUE(LEFT(F147,10))</f>
        <v>44851</v>
      </c>
      <c r="V147">
        <v>4</v>
      </c>
    </row>
    <row r="148" spans="1:22" hidden="1">
      <c r="A148" s="7"/>
      <c r="B148" s="56" t="s">
        <v>2886</v>
      </c>
      <c r="C148" s="56" t="s">
        <v>3741</v>
      </c>
      <c r="D148" s="56" t="s">
        <v>22</v>
      </c>
      <c r="F148" s="56" t="s">
        <v>3742</v>
      </c>
      <c r="G148" s="56">
        <v>102</v>
      </c>
      <c r="H148" s="56">
        <v>0</v>
      </c>
      <c r="I148" s="58">
        <v>0</v>
      </c>
      <c r="K148" s="56" t="s">
        <v>2171</v>
      </c>
      <c r="L148" s="56" t="s">
        <v>2948</v>
      </c>
      <c r="O148">
        <f>_xlfn.XLOOKUP(N148,'Error-codes'!$C$2:$C$130,'Error-codes'!$B$2:$B$130, "None")</f>
        <v>0</v>
      </c>
      <c r="P148" t="s">
        <v>3379</v>
      </c>
      <c r="Q148" t="s">
        <v>3379</v>
      </c>
      <c r="S148" t="s">
        <v>3379</v>
      </c>
      <c r="T148" t="s">
        <v>3379</v>
      </c>
      <c r="U148" s="81">
        <f>DATEVALUE(LEFT(F148,10))</f>
        <v>44851</v>
      </c>
    </row>
    <row r="149" spans="1:22" ht="60.75" hidden="1">
      <c r="A149" s="60" t="s">
        <v>3743</v>
      </c>
      <c r="B149" s="56" t="s">
        <v>2886</v>
      </c>
      <c r="C149" s="56" t="s">
        <v>3744</v>
      </c>
      <c r="D149" s="56" t="s">
        <v>37</v>
      </c>
      <c r="E149" s="56" t="s">
        <v>2930</v>
      </c>
      <c r="F149" s="56" t="s">
        <v>3745</v>
      </c>
      <c r="G149" s="56">
        <v>102</v>
      </c>
      <c r="H149" s="56">
        <v>4</v>
      </c>
      <c r="I149" s="58">
        <v>3.9215686274509803E-2</v>
      </c>
      <c r="J149" s="56" t="s">
        <v>3746</v>
      </c>
      <c r="K149" s="56" t="s">
        <v>2171</v>
      </c>
      <c r="L149" s="56" t="s">
        <v>2948</v>
      </c>
      <c r="M149" s="61" t="str">
        <f>HYPERLINK(CONCATENATE("https://dribble.octin.io/?mode=Single+log&amp;log_id=", $A149),"URL")</f>
        <v>URL</v>
      </c>
      <c r="N149" s="56" t="s">
        <v>3442</v>
      </c>
      <c r="O149" t="str">
        <f>_xlfn.XLOOKUP(N149,'Error-codes'!$C$2:$C$130,'Error-codes'!$B$2:$B$130, "None")</f>
        <v>vehicle diverged too far from trajectory</v>
      </c>
      <c r="P149" s="46" t="s">
        <v>3628</v>
      </c>
      <c r="Q149" s="45">
        <v>20221024</v>
      </c>
      <c r="R149" s="45"/>
      <c r="S149" s="46" t="s">
        <v>3747</v>
      </c>
      <c r="U149" s="81">
        <f>DATEVALUE(LEFT(F149,10))</f>
        <v>44851</v>
      </c>
      <c r="V149">
        <v>0</v>
      </c>
    </row>
    <row r="150" spans="1:22" hidden="1">
      <c r="B150" s="56" t="s">
        <v>295</v>
      </c>
      <c r="C150" s="56" t="s">
        <v>3748</v>
      </c>
      <c r="D150" s="56" t="s">
        <v>388</v>
      </c>
      <c r="F150" s="56" t="s">
        <v>3749</v>
      </c>
      <c r="G150" s="56">
        <v>139</v>
      </c>
      <c r="H150" s="56">
        <v>139</v>
      </c>
      <c r="I150" s="58">
        <v>1</v>
      </c>
      <c r="K150" s="56" t="s">
        <v>1873</v>
      </c>
      <c r="L150" s="56" t="s">
        <v>2942</v>
      </c>
      <c r="O150">
        <f>_xlfn.XLOOKUP(N150,'Error-codes'!$C$2:$C$130,'Error-codes'!$B$2:$B$130, "None")</f>
        <v>0</v>
      </c>
      <c r="P150" t="s">
        <v>3379</v>
      </c>
      <c r="Q150" t="s">
        <v>3379</v>
      </c>
      <c r="S150" t="s">
        <v>3379</v>
      </c>
      <c r="T150" t="s">
        <v>3379</v>
      </c>
      <c r="U150" s="81">
        <f>DATEVALUE(LEFT(F150,10))</f>
        <v>44852</v>
      </c>
      <c r="V150" t="s">
        <v>3379</v>
      </c>
    </row>
    <row r="151" spans="1:22" hidden="1">
      <c r="A151" s="7"/>
      <c r="B151" s="56" t="s">
        <v>29</v>
      </c>
      <c r="C151" s="56" t="s">
        <v>3750</v>
      </c>
      <c r="D151" s="56" t="s">
        <v>388</v>
      </c>
      <c r="F151" s="56" t="s">
        <v>3751</v>
      </c>
      <c r="G151" s="56">
        <v>191</v>
      </c>
      <c r="H151" s="56">
        <v>191</v>
      </c>
      <c r="I151" s="58">
        <v>1</v>
      </c>
      <c r="K151" s="56" t="s">
        <v>1893</v>
      </c>
      <c r="L151" s="56" t="s">
        <v>2942</v>
      </c>
      <c r="O151">
        <f>_xlfn.XLOOKUP(N151,'Error-codes'!$C$2:$C$130,'Error-codes'!$B$2:$B$130, "None")</f>
        <v>0</v>
      </c>
      <c r="P151" t="s">
        <v>3379</v>
      </c>
      <c r="Q151" t="s">
        <v>3379</v>
      </c>
      <c r="S151" t="s">
        <v>3379</v>
      </c>
      <c r="T151" t="s">
        <v>3379</v>
      </c>
      <c r="U151" s="81">
        <f>DATEVALUE(LEFT(F151,10))</f>
        <v>44852</v>
      </c>
    </row>
    <row r="152" spans="1:22" ht="76.5" hidden="1">
      <c r="A152" s="7" t="s">
        <v>3752</v>
      </c>
      <c r="B152" s="56" t="s">
        <v>2886</v>
      </c>
      <c r="C152" s="56" t="s">
        <v>3753</v>
      </c>
      <c r="D152" s="56" t="s">
        <v>37</v>
      </c>
      <c r="E152" s="56" t="s">
        <v>2930</v>
      </c>
      <c r="F152" s="56" t="s">
        <v>3754</v>
      </c>
      <c r="G152" s="56">
        <v>102</v>
      </c>
      <c r="H152" s="56">
        <v>26</v>
      </c>
      <c r="I152" s="58">
        <v>0.25490196078431371</v>
      </c>
      <c r="J152" s="56" t="s">
        <v>3755</v>
      </c>
      <c r="K152" s="56" t="s">
        <v>2171</v>
      </c>
      <c r="L152" s="56" t="s">
        <v>2948</v>
      </c>
      <c r="M152" s="61" t="str">
        <f>HYPERLINK(CONCATENATE("https://dribble.octin.io/?mode=Single+log&amp;log_id=", $A152),"URL")</f>
        <v>URL</v>
      </c>
      <c r="N152" s="56" t="s">
        <v>3446</v>
      </c>
      <c r="O152" t="str">
        <f>_xlfn.XLOOKUP(N152,'Error-codes'!$C$2:$C$130,'Error-codes'!$B$2:$B$130, "None")</f>
        <v>end of lane wall sensor error</v>
      </c>
      <c r="P152" s="46" t="s">
        <v>3756</v>
      </c>
      <c r="Q152" s="45">
        <v>20221024</v>
      </c>
      <c r="R152" s="45"/>
      <c r="S152" s="46" t="s">
        <v>3757</v>
      </c>
      <c r="T152" t="s">
        <v>3758</v>
      </c>
      <c r="U152" s="81">
        <f>DATEVALUE(LEFT(F152,10))</f>
        <v>44853</v>
      </c>
      <c r="V152">
        <v>0</v>
      </c>
    </row>
    <row r="153" spans="1:22" ht="76.5" hidden="1">
      <c r="A153" s="63" t="s">
        <v>3759</v>
      </c>
      <c r="B153" s="56" t="s">
        <v>295</v>
      </c>
      <c r="C153" s="56" t="s">
        <v>3760</v>
      </c>
      <c r="D153" s="56" t="s">
        <v>37</v>
      </c>
      <c r="E153" s="56" t="s">
        <v>3673</v>
      </c>
      <c r="F153" s="56" t="s">
        <v>3761</v>
      </c>
      <c r="G153" s="56">
        <v>122</v>
      </c>
      <c r="H153" s="56">
        <v>30</v>
      </c>
      <c r="I153" s="58">
        <v>0.24590163934426229</v>
      </c>
      <c r="J153" s="56" t="s">
        <v>3762</v>
      </c>
      <c r="K153" s="56" t="s">
        <v>3763</v>
      </c>
      <c r="L153" s="56" t="s">
        <v>2942</v>
      </c>
      <c r="M153" s="56" t="str">
        <f>HYPERLINK("https://dribble.octin.io/?mode=Single+log&amp;log_id=e0d13d3c-ec62-40f1-94b8-a108c28ef435","URL")</f>
        <v>URL</v>
      </c>
      <c r="N153" s="56" t="s">
        <v>3448</v>
      </c>
      <c r="O153" t="str">
        <f>_xlfn.XLOOKUP(N153,'Error-codes'!$C$2:$C$130,'Error-codes'!$B$2:$B$130, "None")</f>
        <v>end of lane open sensor error</v>
      </c>
      <c r="P153" s="46" t="s">
        <v>3764</v>
      </c>
      <c r="Q153" s="45">
        <v>20221024</v>
      </c>
      <c r="R153" s="45"/>
      <c r="S153" s="46" t="s">
        <v>3765</v>
      </c>
      <c r="T153" s="46" t="s">
        <v>3766</v>
      </c>
      <c r="U153" s="81">
        <f>DATEVALUE(LEFT(F153,10))</f>
        <v>44853</v>
      </c>
      <c r="V153">
        <v>1</v>
      </c>
    </row>
    <row r="154" spans="1:22" hidden="1">
      <c r="B154" s="56" t="s">
        <v>228</v>
      </c>
      <c r="C154" s="56" t="s">
        <v>3767</v>
      </c>
      <c r="D154" s="56" t="s">
        <v>388</v>
      </c>
      <c r="F154" s="56" t="s">
        <v>3768</v>
      </c>
      <c r="G154" s="56">
        <v>101</v>
      </c>
      <c r="H154" s="56">
        <v>101</v>
      </c>
      <c r="I154" s="58">
        <v>1</v>
      </c>
      <c r="K154" s="56" t="s">
        <v>2166</v>
      </c>
      <c r="L154" s="56" t="s">
        <v>2948</v>
      </c>
      <c r="O154">
        <f>_xlfn.XLOOKUP(N154,'Error-codes'!$C$2:$C$130,'Error-codes'!$B$2:$B$130, "None")</f>
        <v>0</v>
      </c>
      <c r="P154" t="s">
        <v>3379</v>
      </c>
      <c r="Q154" t="s">
        <v>3379</v>
      </c>
      <c r="S154" t="s">
        <v>3379</v>
      </c>
      <c r="T154" t="s">
        <v>3379</v>
      </c>
      <c r="U154" s="81">
        <f>DATEVALUE(LEFT(F154,10))</f>
        <v>44854</v>
      </c>
    </row>
    <row r="155" spans="1:22" hidden="1">
      <c r="A155" s="7"/>
      <c r="B155" s="56" t="s">
        <v>29</v>
      </c>
      <c r="C155" s="56" t="s">
        <v>3769</v>
      </c>
      <c r="D155" s="56" t="s">
        <v>388</v>
      </c>
      <c r="F155" s="56" t="s">
        <v>3770</v>
      </c>
      <c r="G155" s="56">
        <v>140</v>
      </c>
      <c r="H155" s="56">
        <v>140</v>
      </c>
      <c r="I155" s="58">
        <v>1</v>
      </c>
      <c r="K155" s="56" t="s">
        <v>1873</v>
      </c>
      <c r="L155" s="56" t="s">
        <v>2942</v>
      </c>
      <c r="O155">
        <f>_xlfn.XLOOKUP(N155,'Error-codes'!$C$2:$C$130,'Error-codes'!$B$2:$B$130, "None")</f>
        <v>0</v>
      </c>
      <c r="P155" t="s">
        <v>3379</v>
      </c>
      <c r="Q155" t="s">
        <v>3379</v>
      </c>
      <c r="S155" t="s">
        <v>3379</v>
      </c>
      <c r="T155" t="s">
        <v>3379</v>
      </c>
      <c r="U155" s="81">
        <f>DATEVALUE(LEFT(F155,10))</f>
        <v>44854</v>
      </c>
    </row>
    <row r="156" spans="1:22" hidden="1">
      <c r="A156" s="63"/>
      <c r="B156" s="56" t="s">
        <v>3771</v>
      </c>
      <c r="C156" s="56" t="s">
        <v>3772</v>
      </c>
      <c r="D156" s="56" t="s">
        <v>37</v>
      </c>
      <c r="E156" s="56" t="s">
        <v>2939</v>
      </c>
      <c r="F156" s="56" t="s">
        <v>3773</v>
      </c>
      <c r="G156" s="56">
        <v>40</v>
      </c>
      <c r="H156" s="56">
        <v>1</v>
      </c>
      <c r="I156" s="58">
        <v>2.5000000000000001E-2</v>
      </c>
      <c r="J156" s="56" t="s">
        <v>3774</v>
      </c>
      <c r="K156" s="56" t="s">
        <v>3207</v>
      </c>
      <c r="L156" s="56" t="s">
        <v>3775</v>
      </c>
      <c r="N156" s="56" t="s">
        <v>3454</v>
      </c>
      <c r="O156" t="str">
        <f>_xlfn.XLOOKUP(N156,'Error-codes'!$C$2:$C$130,'Error-codes'!$B$2:$B$130, "None")</f>
        <v>Veh low level FSM: safety was triggered</v>
      </c>
      <c r="U156" s="81">
        <f>DATEVALUE(LEFT(F156,10))</f>
        <v>44854</v>
      </c>
    </row>
    <row r="157" spans="1:22" hidden="1">
      <c r="A157" s="56"/>
      <c r="B157" s="56" t="s">
        <v>3771</v>
      </c>
      <c r="C157" s="56" t="s">
        <v>3772</v>
      </c>
      <c r="D157" s="56" t="s">
        <v>37</v>
      </c>
      <c r="E157" s="56" t="s">
        <v>3776</v>
      </c>
      <c r="F157" s="56" t="s">
        <v>3777</v>
      </c>
      <c r="G157" s="56">
        <v>40</v>
      </c>
      <c r="H157" s="56">
        <v>4</v>
      </c>
      <c r="I157" s="58">
        <v>0.1</v>
      </c>
      <c r="J157" s="56" t="s">
        <v>3778</v>
      </c>
      <c r="K157" s="56" t="s">
        <v>3207</v>
      </c>
      <c r="L157" s="56" t="s">
        <v>3775</v>
      </c>
      <c r="N157" s="56" t="s">
        <v>3428</v>
      </c>
      <c r="O157" t="str">
        <f>_xlfn.XLOOKUP(N157,'Error-codes'!$C$2:$C$130,'Error-codes'!$B$2:$B$130, "None")</f>
        <v>received error from global planner while in {} state</v>
      </c>
      <c r="U157" s="81">
        <f>DATEVALUE(LEFT(F157,10))</f>
        <v>44854</v>
      </c>
    </row>
    <row r="158" spans="1:22" hidden="1">
      <c r="A158" s="7"/>
      <c r="B158" s="56" t="s">
        <v>3771</v>
      </c>
      <c r="C158" s="56" t="s">
        <v>3779</v>
      </c>
      <c r="D158" s="56" t="s">
        <v>22</v>
      </c>
      <c r="F158" s="56" t="s">
        <v>3780</v>
      </c>
      <c r="G158" s="56">
        <v>37</v>
      </c>
      <c r="H158" s="56">
        <v>0</v>
      </c>
      <c r="I158" s="58">
        <v>0</v>
      </c>
      <c r="K158" s="56" t="s">
        <v>3207</v>
      </c>
      <c r="L158" s="56" t="s">
        <v>3775</v>
      </c>
      <c r="O158">
        <f>_xlfn.XLOOKUP(N158,'Error-codes'!$C$2:$C$130,'Error-codes'!$B$2:$B$130, "None")</f>
        <v>0</v>
      </c>
      <c r="U158" s="81">
        <f>DATEVALUE(LEFT(F158,10))</f>
        <v>44854</v>
      </c>
    </row>
    <row r="159" spans="1:22" hidden="1">
      <c r="A159" s="56" t="s">
        <v>3781</v>
      </c>
      <c r="B159" s="56" t="s">
        <v>3771</v>
      </c>
      <c r="C159" s="56" t="s">
        <v>3782</v>
      </c>
      <c r="D159" s="56" t="s">
        <v>37</v>
      </c>
      <c r="E159" s="56" t="s">
        <v>2939</v>
      </c>
      <c r="F159" s="56" t="s">
        <v>3783</v>
      </c>
      <c r="G159" s="56">
        <v>61</v>
      </c>
      <c r="H159" s="56">
        <v>1</v>
      </c>
      <c r="I159" s="58">
        <v>1.6393442622950821E-2</v>
      </c>
      <c r="J159" s="56" t="s">
        <v>3784</v>
      </c>
      <c r="K159" s="56" t="s">
        <v>3207</v>
      </c>
      <c r="L159" s="56" t="s">
        <v>3775</v>
      </c>
      <c r="M159" s="56" t="str">
        <f>HYPERLINK("https://dribble.octin.io/?mode=Single+log&amp;log_id=292ab302-a28c-450c-a81e-b9150511c384","URL")</f>
        <v>URL</v>
      </c>
      <c r="N159" s="56" t="s">
        <v>3446</v>
      </c>
      <c r="O159" t="str">
        <f>_xlfn.XLOOKUP(N159,'Error-codes'!$C$2:$C$130,'Error-codes'!$B$2:$B$130, "None")</f>
        <v>end of lane wall sensor error</v>
      </c>
      <c r="U159" s="81">
        <f>DATEVALUE(LEFT(F159,10))</f>
        <v>44854</v>
      </c>
    </row>
    <row r="160" spans="1:22" hidden="1">
      <c r="A160" s="56"/>
      <c r="B160" s="56" t="s">
        <v>3771</v>
      </c>
      <c r="C160" s="56" t="s">
        <v>3782</v>
      </c>
      <c r="D160" s="56" t="s">
        <v>37</v>
      </c>
      <c r="E160" s="56" t="s">
        <v>2939</v>
      </c>
      <c r="F160" s="56" t="s">
        <v>3785</v>
      </c>
      <c r="G160" s="56">
        <v>61</v>
      </c>
      <c r="H160" s="56">
        <v>0</v>
      </c>
      <c r="I160" s="58">
        <v>0</v>
      </c>
      <c r="J160" s="56" t="s">
        <v>3784</v>
      </c>
      <c r="K160" s="56" t="s">
        <v>3207</v>
      </c>
      <c r="L160" s="56" t="s">
        <v>3775</v>
      </c>
      <c r="N160" s="56" t="s">
        <v>3446</v>
      </c>
      <c r="O160" t="str">
        <f>_xlfn.XLOOKUP(N160,'Error-codes'!$C$2:$C$130,'Error-codes'!$B$2:$B$130, "None")</f>
        <v>end of lane wall sensor error</v>
      </c>
      <c r="U160" s="81">
        <f>DATEVALUE(LEFT(F160,10))</f>
        <v>44854</v>
      </c>
    </row>
    <row r="161" spans="1:22" hidden="1">
      <c r="A161" s="63"/>
      <c r="B161" s="56" t="s">
        <v>3771</v>
      </c>
      <c r="C161" s="56" t="s">
        <v>3782</v>
      </c>
      <c r="D161" s="56" t="s">
        <v>37</v>
      </c>
      <c r="E161" s="56" t="s">
        <v>2939</v>
      </c>
      <c r="F161" s="56" t="s">
        <v>3785</v>
      </c>
      <c r="G161" s="56">
        <v>61</v>
      </c>
      <c r="H161" s="56">
        <v>24</v>
      </c>
      <c r="I161" s="58">
        <v>0.39344262295081966</v>
      </c>
      <c r="J161" s="56" t="s">
        <v>3778</v>
      </c>
      <c r="K161" s="56" t="s">
        <v>3207</v>
      </c>
      <c r="L161" s="56" t="s">
        <v>3775</v>
      </c>
      <c r="N161" s="56" t="s">
        <v>3454</v>
      </c>
      <c r="O161" t="str">
        <f>_xlfn.XLOOKUP(N161,'Error-codes'!$C$2:$C$130,'Error-codes'!$B$2:$B$130, "None")</f>
        <v>Veh low level FSM: safety was triggered</v>
      </c>
      <c r="U161" s="81">
        <f>DATEVALUE(LEFT(F161,10))</f>
        <v>44854</v>
      </c>
    </row>
    <row r="162" spans="1:22" hidden="1">
      <c r="A162" s="56"/>
      <c r="B162" s="56" t="s">
        <v>3771</v>
      </c>
      <c r="C162" s="56" t="s">
        <v>3782</v>
      </c>
      <c r="D162" s="56" t="s">
        <v>37</v>
      </c>
      <c r="E162" s="56" t="s">
        <v>3776</v>
      </c>
      <c r="F162" s="56" t="s">
        <v>3785</v>
      </c>
      <c r="G162" s="56">
        <v>61</v>
      </c>
      <c r="H162" s="56">
        <v>25</v>
      </c>
      <c r="I162" s="58">
        <v>0.4098360655737705</v>
      </c>
      <c r="J162" s="56" t="s">
        <v>3778</v>
      </c>
      <c r="K162" s="56" t="s">
        <v>3207</v>
      </c>
      <c r="L162" s="56" t="s">
        <v>3775</v>
      </c>
      <c r="N162" s="56" t="s">
        <v>3454</v>
      </c>
      <c r="O162" t="str">
        <f>_xlfn.XLOOKUP(N162,'Error-codes'!$C$2:$C$130,'Error-codes'!$B$2:$B$130, "None")</f>
        <v>Veh low level FSM: safety was triggered</v>
      </c>
      <c r="U162" s="81">
        <f>DATEVALUE(LEFT(F162,10))</f>
        <v>44854</v>
      </c>
    </row>
    <row r="163" spans="1:22" hidden="1">
      <c r="B163" s="56" t="s">
        <v>3771</v>
      </c>
      <c r="C163" s="56" t="s">
        <v>3786</v>
      </c>
      <c r="D163" s="56" t="s">
        <v>22</v>
      </c>
      <c r="F163" s="56" t="s">
        <v>3787</v>
      </c>
      <c r="G163" s="56">
        <v>57</v>
      </c>
      <c r="H163" s="56">
        <v>2</v>
      </c>
      <c r="I163" s="58">
        <v>3.5087719298245612E-2</v>
      </c>
      <c r="K163" s="56" t="s">
        <v>3207</v>
      </c>
      <c r="L163" s="56" t="s">
        <v>3775</v>
      </c>
      <c r="O163">
        <f>_xlfn.XLOOKUP(N163,'Error-codes'!$C$2:$C$130,'Error-codes'!$B$2:$B$130, "None")</f>
        <v>0</v>
      </c>
      <c r="U163" s="81">
        <f>DATEVALUE(LEFT(F163,10))</f>
        <v>44854</v>
      </c>
    </row>
    <row r="164" spans="1:22" hidden="1">
      <c r="A164" s="7"/>
      <c r="B164" s="56" t="s">
        <v>3771</v>
      </c>
      <c r="C164" s="56" t="s">
        <v>3788</v>
      </c>
      <c r="D164" s="56"/>
      <c r="F164" s="56" t="s">
        <v>3789</v>
      </c>
      <c r="G164" s="56">
        <v>2</v>
      </c>
      <c r="H164" s="56">
        <v>2</v>
      </c>
      <c r="I164" s="58">
        <v>1</v>
      </c>
      <c r="K164" s="56" t="s">
        <v>3207</v>
      </c>
      <c r="L164" s="56" t="s">
        <v>3775</v>
      </c>
      <c r="O164">
        <f>_xlfn.XLOOKUP(N164,'Error-codes'!$C$2:$C$130,'Error-codes'!$B$2:$B$130, "None")</f>
        <v>0</v>
      </c>
      <c r="U164" s="81">
        <f>DATEVALUE(LEFT(F164,10))</f>
        <v>44854</v>
      </c>
    </row>
    <row r="165" spans="1:22" hidden="1">
      <c r="A165" s="56" t="s">
        <v>3790</v>
      </c>
      <c r="B165" s="56" t="s">
        <v>3771</v>
      </c>
      <c r="C165" s="56" t="s">
        <v>3791</v>
      </c>
      <c r="D165" s="56" t="s">
        <v>37</v>
      </c>
      <c r="E165" s="56" t="s">
        <v>2939</v>
      </c>
      <c r="F165" s="56" t="s">
        <v>3792</v>
      </c>
      <c r="G165" s="56">
        <v>99</v>
      </c>
      <c r="H165" s="56">
        <v>24</v>
      </c>
      <c r="I165" s="58">
        <v>0.24242424242424243</v>
      </c>
      <c r="J165" s="56" t="s">
        <v>3793</v>
      </c>
      <c r="K165" s="56" t="s">
        <v>3207</v>
      </c>
      <c r="L165" s="56" t="s">
        <v>3775</v>
      </c>
      <c r="M165" s="56" t="str">
        <f>HYPERLINK("https://dribble.octin.io/?mode=Single+log&amp;log_id=cd1ea189-7590-4acd-a8cc-d278f5654a0a","URL")</f>
        <v>URL</v>
      </c>
      <c r="N165" s="56" t="s">
        <v>3446</v>
      </c>
      <c r="O165" t="str">
        <f>_xlfn.XLOOKUP(N165,'Error-codes'!$C$2:$C$130,'Error-codes'!$B$2:$B$130, "None")</f>
        <v>end of lane wall sensor error</v>
      </c>
      <c r="U165" s="81">
        <f>DATEVALUE(LEFT(F165,10))</f>
        <v>44854</v>
      </c>
    </row>
    <row r="166" spans="1:22" hidden="1">
      <c r="A166" s="63"/>
      <c r="B166" s="56" t="s">
        <v>3771</v>
      </c>
      <c r="C166" s="56" t="s">
        <v>3791</v>
      </c>
      <c r="D166" s="56" t="s">
        <v>37</v>
      </c>
      <c r="E166" s="56" t="s">
        <v>2939</v>
      </c>
      <c r="F166" s="56" t="s">
        <v>3794</v>
      </c>
      <c r="G166" s="56">
        <v>99</v>
      </c>
      <c r="H166" s="56">
        <v>26</v>
      </c>
      <c r="I166" s="58">
        <v>0.26262626262626265</v>
      </c>
      <c r="J166" s="56" t="s">
        <v>3795</v>
      </c>
      <c r="K166" s="56" t="s">
        <v>3207</v>
      </c>
      <c r="L166" s="56" t="s">
        <v>3775</v>
      </c>
      <c r="N166" s="56" t="s">
        <v>3446</v>
      </c>
      <c r="O166" t="str">
        <f>_xlfn.XLOOKUP(N166,'Error-codes'!$C$2:$C$130,'Error-codes'!$B$2:$B$130, "None")</f>
        <v>end of lane wall sensor error</v>
      </c>
      <c r="U166" s="81">
        <f>DATEVALUE(LEFT(F166,10))</f>
        <v>44854</v>
      </c>
    </row>
    <row r="167" spans="1:22" hidden="1">
      <c r="A167" s="56"/>
      <c r="B167" s="56" t="s">
        <v>3771</v>
      </c>
      <c r="C167" s="56" t="s">
        <v>3791</v>
      </c>
      <c r="D167" s="56" t="s">
        <v>37</v>
      </c>
      <c r="E167" s="56" t="s">
        <v>3776</v>
      </c>
      <c r="F167" s="56" t="s">
        <v>3796</v>
      </c>
      <c r="G167" s="56">
        <v>99</v>
      </c>
      <c r="H167" s="56">
        <v>27</v>
      </c>
      <c r="I167" s="58">
        <v>0.27272727272727271</v>
      </c>
      <c r="J167" s="56" t="s">
        <v>3797</v>
      </c>
      <c r="K167" s="56" t="s">
        <v>3207</v>
      </c>
      <c r="L167" s="56" t="s">
        <v>3775</v>
      </c>
      <c r="N167" s="56" t="s">
        <v>3446</v>
      </c>
      <c r="O167" t="str">
        <f>_xlfn.XLOOKUP(N167,'Error-codes'!$C$2:$C$130,'Error-codes'!$B$2:$B$130, "None")</f>
        <v>end of lane wall sensor error</v>
      </c>
      <c r="U167" s="81">
        <f>DATEVALUE(LEFT(F167,10))</f>
        <v>44854</v>
      </c>
    </row>
    <row r="168" spans="1:22" ht="91.5" hidden="1">
      <c r="A168" s="56" t="s">
        <v>3798</v>
      </c>
      <c r="B168" s="56" t="s">
        <v>295</v>
      </c>
      <c r="C168" s="56" t="s">
        <v>3799</v>
      </c>
      <c r="D168" s="56" t="s">
        <v>37</v>
      </c>
      <c r="E168" s="56" t="s">
        <v>3512</v>
      </c>
      <c r="F168" s="56" t="s">
        <v>3800</v>
      </c>
      <c r="G168" s="56">
        <v>72</v>
      </c>
      <c r="H168" s="56">
        <v>2</v>
      </c>
      <c r="I168" s="58">
        <v>2.7777777777777776E-2</v>
      </c>
      <c r="J168" s="56" t="s">
        <v>3801</v>
      </c>
      <c r="K168" s="56" t="s">
        <v>3763</v>
      </c>
      <c r="L168" s="56" t="s">
        <v>2942</v>
      </c>
      <c r="M168" s="56" t="str">
        <f>HYPERLINK("https://dribble.octin.io/?mode=Single+log&amp;log_id=06a3d90d-0533-4761-884a-cd9b1f6ad923","URL")</f>
        <v>URL</v>
      </c>
      <c r="N168" s="56" t="s">
        <v>3458</v>
      </c>
      <c r="O168" t="str">
        <f>_xlfn.XLOOKUP(N168,'Error-codes'!$C$2:$C$130,'Error-codes'!$B$2:$B$130, "None")</f>
        <v>motor drive: UNDER VOLTAGE</v>
      </c>
      <c r="P168" s="46" t="s">
        <v>3802</v>
      </c>
      <c r="Q168" s="45">
        <v>20221024</v>
      </c>
      <c r="R168" s="45"/>
      <c r="S168" s="46" t="s">
        <v>3803</v>
      </c>
      <c r="U168" s="81">
        <f>DATEVALUE(LEFT(F168,10))</f>
        <v>44854</v>
      </c>
      <c r="V168">
        <v>6</v>
      </c>
    </row>
    <row r="169" spans="1:22" hidden="1">
      <c r="B169" s="56" t="s">
        <v>3771</v>
      </c>
      <c r="C169" s="56" t="s">
        <v>3804</v>
      </c>
      <c r="D169" s="56" t="s">
        <v>22</v>
      </c>
      <c r="F169" s="56" t="s">
        <v>3805</v>
      </c>
      <c r="G169" s="56">
        <v>72</v>
      </c>
      <c r="H169" s="56">
        <v>48</v>
      </c>
      <c r="I169" s="58">
        <v>0.66666666666666663</v>
      </c>
      <c r="K169" s="56" t="s">
        <v>3207</v>
      </c>
      <c r="L169" s="56" t="s">
        <v>3775</v>
      </c>
      <c r="O169">
        <f>_xlfn.XLOOKUP(N169,'Error-codes'!$C$2:$C$130,'Error-codes'!$B$2:$B$130, "None")</f>
        <v>0</v>
      </c>
      <c r="U169" s="81">
        <f>DATEVALUE(LEFT(F169,10))</f>
        <v>44854</v>
      </c>
    </row>
    <row r="170" spans="1:22" hidden="1">
      <c r="B170" s="56" t="s">
        <v>3771</v>
      </c>
      <c r="C170" s="56" t="s">
        <v>3806</v>
      </c>
      <c r="D170" s="56" t="s">
        <v>388</v>
      </c>
      <c r="F170" s="56" t="s">
        <v>3807</v>
      </c>
      <c r="G170" s="56">
        <v>77</v>
      </c>
      <c r="H170" s="56">
        <v>77</v>
      </c>
      <c r="I170" s="58">
        <v>1</v>
      </c>
      <c r="K170" s="56" t="s">
        <v>3207</v>
      </c>
      <c r="L170" s="56" t="s">
        <v>3775</v>
      </c>
      <c r="O170">
        <f>_xlfn.XLOOKUP(N170,'Error-codes'!$C$2:$C$130,'Error-codes'!$B$2:$B$130, "None")</f>
        <v>0</v>
      </c>
      <c r="U170" s="81">
        <f>DATEVALUE(LEFT(F170,10))</f>
        <v>44854</v>
      </c>
    </row>
    <row r="171" spans="1:22" hidden="1">
      <c r="B171" s="56" t="s">
        <v>29</v>
      </c>
      <c r="C171" s="56" t="s">
        <v>3808</v>
      </c>
      <c r="D171" s="56" t="s">
        <v>388</v>
      </c>
      <c r="F171" s="56" t="s">
        <v>3809</v>
      </c>
      <c r="G171" s="56">
        <v>137</v>
      </c>
      <c r="H171" s="56">
        <v>137</v>
      </c>
      <c r="I171" s="58">
        <v>1</v>
      </c>
      <c r="K171" s="56" t="s">
        <v>1893</v>
      </c>
      <c r="L171" s="56" t="s">
        <v>2942</v>
      </c>
      <c r="O171">
        <f>_xlfn.XLOOKUP(N171,'Error-codes'!$C$2:$C$130,'Error-codes'!$B$2:$B$130, "None")</f>
        <v>0</v>
      </c>
      <c r="P171" t="s">
        <v>3379</v>
      </c>
      <c r="Q171" t="s">
        <v>3379</v>
      </c>
      <c r="S171" t="s">
        <v>3379</v>
      </c>
      <c r="T171" t="s">
        <v>3379</v>
      </c>
      <c r="U171" s="81">
        <f>DATEVALUE(LEFT(F171,10))</f>
        <v>44855</v>
      </c>
      <c r="V171" t="s">
        <v>3379</v>
      </c>
    </row>
    <row r="172" spans="1:22" hidden="1">
      <c r="B172" s="56" t="s">
        <v>3771</v>
      </c>
      <c r="C172" s="56" t="s">
        <v>3810</v>
      </c>
      <c r="D172" s="56"/>
      <c r="F172" s="56" t="s">
        <v>3811</v>
      </c>
      <c r="G172" s="56">
        <v>2</v>
      </c>
      <c r="H172" s="56">
        <v>2</v>
      </c>
      <c r="I172" s="58">
        <v>1</v>
      </c>
      <c r="K172" s="56" t="s">
        <v>3207</v>
      </c>
      <c r="L172" s="56" t="s">
        <v>3775</v>
      </c>
      <c r="O172">
        <f>_xlfn.XLOOKUP(N172,'Error-codes'!$C$2:$C$130,'Error-codes'!$B$2:$B$130, "None")</f>
        <v>0</v>
      </c>
      <c r="U172" s="81">
        <f>DATEVALUE(LEFT(F172,10))</f>
        <v>44855</v>
      </c>
    </row>
    <row r="173" spans="1:22" hidden="1">
      <c r="B173" s="56" t="s">
        <v>3771</v>
      </c>
      <c r="C173" s="56" t="s">
        <v>3812</v>
      </c>
      <c r="D173" s="56"/>
      <c r="F173" s="56" t="s">
        <v>3813</v>
      </c>
      <c r="G173" s="56">
        <v>1</v>
      </c>
      <c r="H173" s="56">
        <v>1</v>
      </c>
      <c r="I173" s="58">
        <v>1</v>
      </c>
      <c r="K173" s="56" t="s">
        <v>3207</v>
      </c>
      <c r="L173" s="56" t="s">
        <v>3775</v>
      </c>
      <c r="O173">
        <f>_xlfn.XLOOKUP(N173,'Error-codes'!$C$2:$C$130,'Error-codes'!$B$2:$B$130, "None")</f>
        <v>0</v>
      </c>
      <c r="U173" s="81">
        <f>DATEVALUE(LEFT(F173,10))</f>
        <v>44855</v>
      </c>
    </row>
    <row r="174" spans="1:22" hidden="1">
      <c r="B174" s="56" t="s">
        <v>3771</v>
      </c>
      <c r="C174" s="56" t="s">
        <v>3814</v>
      </c>
      <c r="D174" s="56"/>
      <c r="F174" s="56" t="s">
        <v>3815</v>
      </c>
      <c r="G174" s="56">
        <v>2</v>
      </c>
      <c r="H174" s="56">
        <v>2</v>
      </c>
      <c r="I174" s="58">
        <v>1</v>
      </c>
      <c r="K174" s="56" t="s">
        <v>3207</v>
      </c>
      <c r="L174" s="56" t="s">
        <v>3775</v>
      </c>
      <c r="O174">
        <f>_xlfn.XLOOKUP(N174,'Error-codes'!$C$2:$C$130,'Error-codes'!$B$2:$B$130, "None")</f>
        <v>0</v>
      </c>
      <c r="U174" s="81">
        <f>DATEVALUE(LEFT(F174,10))</f>
        <v>44855</v>
      </c>
    </row>
    <row r="175" spans="1:22" ht="60.75" hidden="1">
      <c r="A175" s="72" t="s">
        <v>3816</v>
      </c>
      <c r="B175" s="56" t="s">
        <v>228</v>
      </c>
      <c r="C175" s="56" t="s">
        <v>3817</v>
      </c>
      <c r="D175" s="56" t="s">
        <v>37</v>
      </c>
      <c r="E175" s="56" t="s">
        <v>2939</v>
      </c>
      <c r="F175" s="56" t="s">
        <v>3818</v>
      </c>
      <c r="G175" s="56">
        <v>103</v>
      </c>
      <c r="H175" s="56">
        <v>15</v>
      </c>
      <c r="I175" s="58">
        <v>0.14563106796116504</v>
      </c>
      <c r="J175" s="56" t="s">
        <v>463</v>
      </c>
      <c r="K175" s="56" t="s">
        <v>2166</v>
      </c>
      <c r="L175" s="56" t="s">
        <v>2948</v>
      </c>
      <c r="M175" s="61" t="str">
        <f>HYPERLINK(CONCATENATE("https://dribble.octin.io/?mode=Single+log&amp;log_id=", $A175),"URL")</f>
        <v>URL</v>
      </c>
      <c r="N175" s="66" t="s">
        <v>3442</v>
      </c>
      <c r="O175" t="str">
        <f>_xlfn.XLOOKUP(N175,'Error-codes'!$C$2:$C$130,'Error-codes'!$B$2:$B$130, "None")</f>
        <v>vehicle diverged too far from trajectory</v>
      </c>
      <c r="P175" s="46" t="s">
        <v>3819</v>
      </c>
      <c r="Q175" s="45">
        <v>20221026</v>
      </c>
      <c r="R175" s="45"/>
      <c r="S175" s="46" t="s">
        <v>3820</v>
      </c>
      <c r="U175" s="81">
        <f>DATEVALUE(LEFT(F175,10))</f>
        <v>44855</v>
      </c>
      <c r="V175">
        <v>1</v>
      </c>
    </row>
    <row r="176" spans="1:22" ht="106.5" hidden="1">
      <c r="A176" s="56" t="s">
        <v>3821</v>
      </c>
      <c r="B176" s="56" t="s">
        <v>228</v>
      </c>
      <c r="C176" s="56" t="s">
        <v>3817</v>
      </c>
      <c r="D176" s="56" t="s">
        <v>37</v>
      </c>
      <c r="E176" s="56" t="s">
        <v>2939</v>
      </c>
      <c r="F176" s="56" t="s">
        <v>3822</v>
      </c>
      <c r="G176" s="56">
        <v>103</v>
      </c>
      <c r="H176" s="56">
        <v>14</v>
      </c>
      <c r="I176" s="58">
        <v>0.13592233009708737</v>
      </c>
      <c r="J176" s="56" t="s">
        <v>463</v>
      </c>
      <c r="K176" s="56" t="s">
        <v>2166</v>
      </c>
      <c r="L176" s="56" t="s">
        <v>2948</v>
      </c>
      <c r="M176" s="56" t="str">
        <f>HYPERLINK("https://dribble.octin.io/?mode=Single+log&amp;log_id=a5f30d44-33eb-462a-905f-c9d48d09b403","URL")</f>
        <v>URL</v>
      </c>
      <c r="N176" s="66" t="s">
        <v>3442</v>
      </c>
      <c r="O176" t="str">
        <f>_xlfn.XLOOKUP(N176,'Error-codes'!$C$2:$C$130,'Error-codes'!$B$2:$B$130, "None")</f>
        <v>vehicle diverged too far from trajectory</v>
      </c>
      <c r="P176" s="46" t="s">
        <v>3823</v>
      </c>
      <c r="U176" s="81">
        <f>DATEVALUE(LEFT(F176,10))</f>
        <v>44855</v>
      </c>
      <c r="V176">
        <v>1</v>
      </c>
    </row>
    <row r="177" spans="1:22" ht="91.5" hidden="1">
      <c r="A177" s="56" t="s">
        <v>3824</v>
      </c>
      <c r="B177" s="56" t="s">
        <v>228</v>
      </c>
      <c r="C177" s="56" t="s">
        <v>3817</v>
      </c>
      <c r="D177" s="56" t="s">
        <v>37</v>
      </c>
      <c r="E177" s="56" t="s">
        <v>2930</v>
      </c>
      <c r="F177" s="56" t="s">
        <v>3825</v>
      </c>
      <c r="G177" s="56">
        <v>103</v>
      </c>
      <c r="H177" s="56">
        <v>16</v>
      </c>
      <c r="I177" s="58">
        <v>0.1553398058252427</v>
      </c>
      <c r="J177" s="56" t="s">
        <v>463</v>
      </c>
      <c r="K177" s="56" t="s">
        <v>2166</v>
      </c>
      <c r="L177" s="56" t="s">
        <v>2948</v>
      </c>
      <c r="M177" s="56" t="str">
        <f>HYPERLINK("https://dribble.octin.io/?mode=Single+log&amp;log_id=066fee2c-658c-475e-a0a6-d356ffdd55c0","URL")</f>
        <v>URL</v>
      </c>
      <c r="N177" s="66" t="s">
        <v>3442</v>
      </c>
      <c r="O177" t="str">
        <f>_xlfn.XLOOKUP(N177,'Error-codes'!$C$2:$C$130,'Error-codes'!$B$2:$B$130, "None")</f>
        <v>vehicle diverged too far from trajectory</v>
      </c>
      <c r="P177" s="46" t="s">
        <v>3826</v>
      </c>
      <c r="Q177" s="45"/>
      <c r="R177" s="45"/>
      <c r="S177" s="46"/>
      <c r="U177" s="81">
        <f>DATEVALUE(LEFT(F177,10))</f>
        <v>44855</v>
      </c>
      <c r="V177">
        <v>1</v>
      </c>
    </row>
    <row r="178" spans="1:22" ht="91.5" hidden="1">
      <c r="A178" s="50" t="s">
        <v>2993</v>
      </c>
      <c r="B178" s="56" t="s">
        <v>2886</v>
      </c>
      <c r="C178" s="56" t="s">
        <v>2994</v>
      </c>
      <c r="D178" s="56" t="s">
        <v>37</v>
      </c>
      <c r="E178" s="56" t="s">
        <v>2930</v>
      </c>
      <c r="F178" s="56" t="s">
        <v>2995</v>
      </c>
      <c r="G178" s="56">
        <v>101</v>
      </c>
      <c r="H178" s="56">
        <v>49</v>
      </c>
      <c r="I178" s="58">
        <v>0.48514851485148514</v>
      </c>
      <c r="J178" s="56" t="s">
        <v>2996</v>
      </c>
      <c r="K178" s="56" t="s">
        <v>2166</v>
      </c>
      <c r="L178" s="56" t="s">
        <v>2948</v>
      </c>
      <c r="M178" s="61" t="str">
        <f>HYPERLINK(CONCATENATE("https://dribble.octin.io/?mode=Single+log&amp;log_id=", $A178),"URL")</f>
        <v>URL</v>
      </c>
      <c r="N178" s="56" t="s">
        <v>2933</v>
      </c>
      <c r="O178" t="str">
        <f>_xlfn.XLOOKUP(N178,'Error-codes'!$C$2:$C$130,'Error-codes'!$B$2:$B$130, "None")</f>
        <v>inductive sensor error</v>
      </c>
      <c r="P178" s="46" t="s">
        <v>2997</v>
      </c>
      <c r="Q178" s="45">
        <v>20221024</v>
      </c>
      <c r="R178" s="45"/>
      <c r="S178" t="s">
        <v>2998</v>
      </c>
      <c r="U178" s="81">
        <f>DATEVALUE(LEFT(F178,10))</f>
        <v>44855</v>
      </c>
      <c r="V178">
        <v>2</v>
      </c>
    </row>
    <row r="179" spans="1:22" hidden="1">
      <c r="B179" s="56" t="s">
        <v>228</v>
      </c>
      <c r="C179" s="56" t="s">
        <v>3817</v>
      </c>
      <c r="D179" s="56" t="s">
        <v>388</v>
      </c>
      <c r="F179" s="56" t="s">
        <v>3827</v>
      </c>
      <c r="G179" s="56">
        <v>104</v>
      </c>
      <c r="H179" s="56">
        <v>101</v>
      </c>
      <c r="I179" s="58">
        <v>0.97115384615384615</v>
      </c>
      <c r="K179" s="56" t="s">
        <v>2166</v>
      </c>
      <c r="L179" s="56" t="s">
        <v>2948</v>
      </c>
      <c r="O179">
        <f>_xlfn.XLOOKUP(N179,'Error-codes'!$C$2:$C$130,'Error-codes'!$B$2:$B$130, "None")</f>
        <v>0</v>
      </c>
      <c r="U179" s="81">
        <f>DATEVALUE(LEFT(F179,10))</f>
        <v>44856</v>
      </c>
    </row>
    <row r="180" spans="1:22" hidden="1">
      <c r="B180" s="56" t="s">
        <v>295</v>
      </c>
      <c r="C180" s="56" t="s">
        <v>3828</v>
      </c>
      <c r="D180" s="56" t="s">
        <v>22</v>
      </c>
      <c r="F180" s="56" t="s">
        <v>3829</v>
      </c>
      <c r="G180" s="56">
        <v>140</v>
      </c>
      <c r="H180" s="56">
        <v>0</v>
      </c>
      <c r="I180" s="58">
        <v>0</v>
      </c>
      <c r="K180" s="56" t="s">
        <v>1873</v>
      </c>
      <c r="L180" s="56" t="s">
        <v>2942</v>
      </c>
      <c r="O180">
        <f>_xlfn.XLOOKUP(N180,'Error-codes'!$C$2:$C$130,'Error-codes'!$B$2:$B$130, "None")</f>
        <v>0</v>
      </c>
      <c r="P180" t="s">
        <v>3379</v>
      </c>
      <c r="Q180" t="s">
        <v>3379</v>
      </c>
      <c r="S180" t="s">
        <v>3379</v>
      </c>
      <c r="T180" t="s">
        <v>3379</v>
      </c>
      <c r="U180" s="81">
        <f>DATEVALUE(LEFT(F180,10))</f>
        <v>44856</v>
      </c>
      <c r="V180" t="s">
        <v>3379</v>
      </c>
    </row>
    <row r="181" spans="1:22" ht="91.5" hidden="1">
      <c r="A181" s="50" t="s">
        <v>3004</v>
      </c>
      <c r="B181" s="56" t="s">
        <v>228</v>
      </c>
      <c r="C181" s="56" t="s">
        <v>3005</v>
      </c>
      <c r="D181" s="56" t="s">
        <v>37</v>
      </c>
      <c r="E181" s="56" t="s">
        <v>2930</v>
      </c>
      <c r="F181" s="56" t="s">
        <v>3006</v>
      </c>
      <c r="G181" s="56">
        <v>102</v>
      </c>
      <c r="H181" s="56">
        <v>8</v>
      </c>
      <c r="I181" s="58">
        <v>7.8431372549019607E-2</v>
      </c>
      <c r="J181" s="56" t="s">
        <v>3007</v>
      </c>
      <c r="K181" s="56" t="s">
        <v>2171</v>
      </c>
      <c r="L181" s="56" t="s">
        <v>2948</v>
      </c>
      <c r="M181" s="61" t="str">
        <f>HYPERLINK(CONCATENATE("https://dribble.octin.io/?mode=Single+log&amp;log_id=", $A181),"URL")</f>
        <v>URL</v>
      </c>
      <c r="N181" s="67" t="s">
        <v>2933</v>
      </c>
      <c r="O181" t="str">
        <f>_xlfn.XLOOKUP(N181,'Error-codes'!$C$2:$C$130,'Error-codes'!$B$2:$B$130, "None")</f>
        <v>inductive sensor error</v>
      </c>
      <c r="P181" s="46" t="s">
        <v>3008</v>
      </c>
      <c r="U181" s="81">
        <f>DATEVALUE(LEFT(F181,10))</f>
        <v>44856</v>
      </c>
      <c r="V181">
        <v>3.1</v>
      </c>
    </row>
    <row r="182" spans="1:22" ht="45.75" hidden="1">
      <c r="A182" s="56" t="s">
        <v>3830</v>
      </c>
      <c r="B182" s="56" t="s">
        <v>29</v>
      </c>
      <c r="C182" s="56" t="s">
        <v>3831</v>
      </c>
      <c r="D182" s="56" t="s">
        <v>37</v>
      </c>
      <c r="E182" s="56" t="s">
        <v>3512</v>
      </c>
      <c r="F182" s="56" t="s">
        <v>3832</v>
      </c>
      <c r="G182" s="56">
        <v>136</v>
      </c>
      <c r="H182" s="56">
        <v>44</v>
      </c>
      <c r="I182" s="58">
        <v>0.3235294117647059</v>
      </c>
      <c r="J182" s="56" t="s">
        <v>3762</v>
      </c>
      <c r="K182" s="56" t="s">
        <v>1893</v>
      </c>
      <c r="L182" s="56" t="s">
        <v>2942</v>
      </c>
      <c r="M182" s="56" t="str">
        <f>HYPERLINK("https://dribble.octin.io/?mode=Single+log&amp;log_id=a3341f36-ee94-428f-bc92-06499856a539","URL")</f>
        <v>URL</v>
      </c>
      <c r="N182" s="56" t="s">
        <v>3458</v>
      </c>
      <c r="O182" t="str">
        <f>_xlfn.XLOOKUP(N182,'Error-codes'!$C$2:$C$130,'Error-codes'!$B$2:$B$130, "None")</f>
        <v>motor drive: UNDER VOLTAGE</v>
      </c>
      <c r="P182" s="46" t="s">
        <v>3833</v>
      </c>
      <c r="Q182" t="s">
        <v>3379</v>
      </c>
      <c r="S182" t="s">
        <v>3379</v>
      </c>
      <c r="T182" t="s">
        <v>3379</v>
      </c>
      <c r="U182" s="81">
        <f>DATEVALUE(LEFT(F182,10))</f>
        <v>44856</v>
      </c>
      <c r="V182">
        <v>3.2</v>
      </c>
    </row>
    <row r="183" spans="1:22" ht="60.75" hidden="1">
      <c r="A183" t="s">
        <v>2999</v>
      </c>
      <c r="B183" s="56" t="s">
        <v>2886</v>
      </c>
      <c r="C183" s="56" t="s">
        <v>3000</v>
      </c>
      <c r="D183" s="56" t="s">
        <v>37</v>
      </c>
      <c r="E183" s="56" t="s">
        <v>2930</v>
      </c>
      <c r="F183" s="56" t="s">
        <v>3001</v>
      </c>
      <c r="G183" s="56">
        <v>53</v>
      </c>
      <c r="H183" s="56">
        <v>2</v>
      </c>
      <c r="I183" s="58">
        <v>3.7735849056603772E-2</v>
      </c>
      <c r="J183" s="56" t="s">
        <v>2968</v>
      </c>
      <c r="K183" s="56" t="s">
        <v>2166</v>
      </c>
      <c r="L183" s="56" t="s">
        <v>2948</v>
      </c>
      <c r="M183" s="61" t="str">
        <f>HYPERLINK(CONCATENATE("https://dribble.octin.io/?mode=Single+log&amp;log_id=", $A183),"URL")</f>
        <v>URL</v>
      </c>
      <c r="N183" s="67" t="s">
        <v>2933</v>
      </c>
      <c r="O183" t="str">
        <f>_xlfn.XLOOKUP(N183,'Error-codes'!$C$2:$C$130,'Error-codes'!$B$2:$B$130, "None")</f>
        <v>inductive sensor error</v>
      </c>
      <c r="P183" s="46" t="s">
        <v>3002</v>
      </c>
      <c r="S183" s="46" t="s">
        <v>3003</v>
      </c>
      <c r="U183" s="81">
        <f>DATEVALUE(LEFT(F183,10))</f>
        <v>44856</v>
      </c>
      <c r="V183">
        <v>1</v>
      </c>
    </row>
    <row r="184" spans="1:22" ht="30.75" hidden="1">
      <c r="A184" s="63" t="s">
        <v>3834</v>
      </c>
      <c r="B184" s="56" t="s">
        <v>295</v>
      </c>
      <c r="C184" s="56" t="s">
        <v>3835</v>
      </c>
      <c r="D184" s="56" t="s">
        <v>37</v>
      </c>
      <c r="E184" s="56" t="s">
        <v>3512</v>
      </c>
      <c r="F184" s="56" t="s">
        <v>3836</v>
      </c>
      <c r="G184" s="56">
        <v>140</v>
      </c>
      <c r="H184" s="56">
        <v>46</v>
      </c>
      <c r="I184" s="58">
        <v>0.32857142857142857</v>
      </c>
      <c r="J184" s="56" t="s">
        <v>299</v>
      </c>
      <c r="K184" s="56" t="s">
        <v>1873</v>
      </c>
      <c r="L184" s="56" t="s">
        <v>2942</v>
      </c>
      <c r="M184" s="56" t="str">
        <f>HYPERLINK("https://dribble.octin.io/?mode=Single+log&amp;log_id=3ab5794a-9506-4f7f-ab21-f5bfa1b9c90a","URL")</f>
        <v>URL</v>
      </c>
      <c r="N184" s="56" t="s">
        <v>3458</v>
      </c>
      <c r="O184" t="str">
        <f>_xlfn.XLOOKUP(N184,'Error-codes'!$C$2:$C$130,'Error-codes'!$B$2:$B$130, "None")</f>
        <v>motor drive: UNDER VOLTAGE</v>
      </c>
      <c r="P184" s="46" t="s">
        <v>3837</v>
      </c>
      <c r="Q184" t="s">
        <v>3379</v>
      </c>
      <c r="S184" t="s">
        <v>3379</v>
      </c>
      <c r="T184" t="s">
        <v>3379</v>
      </c>
      <c r="U184" s="81">
        <f>DATEVALUE(LEFT(F184,10))</f>
        <v>44856</v>
      </c>
      <c r="V184">
        <v>3.2</v>
      </c>
    </row>
    <row r="185" spans="1:22" hidden="1">
      <c r="A185" s="7"/>
      <c r="B185" s="56" t="s">
        <v>29</v>
      </c>
      <c r="C185" s="56" t="s">
        <v>3838</v>
      </c>
      <c r="D185" s="56" t="s">
        <v>22</v>
      </c>
      <c r="F185" s="56" t="s">
        <v>3839</v>
      </c>
      <c r="G185" s="56">
        <v>58</v>
      </c>
      <c r="H185" s="56">
        <v>35</v>
      </c>
      <c r="I185" s="58">
        <v>0.60344827586206895</v>
      </c>
      <c r="K185" s="56" t="s">
        <v>1893</v>
      </c>
      <c r="L185" s="56" t="s">
        <v>2942</v>
      </c>
      <c r="O185">
        <f>_xlfn.XLOOKUP(N185,'Error-codes'!$C$2:$C$130,'Error-codes'!$B$2:$B$130, "None")</f>
        <v>0</v>
      </c>
      <c r="P185" t="s">
        <v>3379</v>
      </c>
      <c r="Q185" t="s">
        <v>3379</v>
      </c>
      <c r="S185" t="s">
        <v>3379</v>
      </c>
      <c r="T185" t="s">
        <v>3379</v>
      </c>
      <c r="U185" s="81">
        <f>DATEVALUE(LEFT(F185,10))</f>
        <v>44857</v>
      </c>
      <c r="V185" t="s">
        <v>3379</v>
      </c>
    </row>
    <row r="186" spans="1:22" hidden="1">
      <c r="A186" s="7"/>
      <c r="B186" s="56" t="s">
        <v>295</v>
      </c>
      <c r="C186" s="56" t="s">
        <v>3840</v>
      </c>
      <c r="D186" s="56" t="s">
        <v>388</v>
      </c>
      <c r="F186" s="56" t="s">
        <v>3841</v>
      </c>
      <c r="G186" s="56">
        <v>94</v>
      </c>
      <c r="H186" s="56">
        <v>94</v>
      </c>
      <c r="I186" s="58">
        <v>1</v>
      </c>
      <c r="K186" s="56" t="s">
        <v>1873</v>
      </c>
      <c r="L186" s="56" t="s">
        <v>2942</v>
      </c>
      <c r="O186">
        <f>_xlfn.XLOOKUP(N186,'Error-codes'!$C$2:$C$130,'Error-codes'!$B$2:$B$130, "None")</f>
        <v>0</v>
      </c>
      <c r="P186" t="s">
        <v>3379</v>
      </c>
      <c r="Q186" t="s">
        <v>3379</v>
      </c>
      <c r="S186" t="s">
        <v>3379</v>
      </c>
      <c r="T186" t="s">
        <v>3379</v>
      </c>
      <c r="U186" s="81">
        <f>DATEVALUE(LEFT(F186,10))</f>
        <v>44857</v>
      </c>
      <c r="V186" t="s">
        <v>3379</v>
      </c>
    </row>
    <row r="187" spans="1:22" ht="106.5" hidden="1">
      <c r="A187" s="63" t="s">
        <v>3842</v>
      </c>
      <c r="B187" s="56" t="s">
        <v>29</v>
      </c>
      <c r="C187" s="56" t="s">
        <v>3843</v>
      </c>
      <c r="D187" s="56" t="s">
        <v>37</v>
      </c>
      <c r="E187" s="56" t="s">
        <v>3514</v>
      </c>
      <c r="F187" s="56" t="s">
        <v>3844</v>
      </c>
      <c r="G187" s="56">
        <v>89</v>
      </c>
      <c r="H187" s="56">
        <v>68</v>
      </c>
      <c r="I187" s="58">
        <v>0.7640449438202247</v>
      </c>
      <c r="J187" s="56" t="s">
        <v>3845</v>
      </c>
      <c r="K187" s="56" t="s">
        <v>1893</v>
      </c>
      <c r="L187" s="56" t="s">
        <v>2942</v>
      </c>
      <c r="M187" s="56" t="str">
        <f>HYPERLINK("https://dribble.octin.io/?mode=Single+log&amp;log_id=a9f110cc-5445-4dbe-86a6-6354f27de516","URL")</f>
        <v>URL</v>
      </c>
      <c r="N187" s="56" t="s">
        <v>3428</v>
      </c>
      <c r="O187" t="str">
        <f>_xlfn.XLOOKUP(N187,'Error-codes'!$C$2:$C$130,'Error-codes'!$B$2:$B$130, "None")</f>
        <v>received error from global planner while in {} state</v>
      </c>
      <c r="P187" s="46" t="s">
        <v>3846</v>
      </c>
      <c r="S187" t="s">
        <v>3847</v>
      </c>
      <c r="U187" s="81">
        <f>DATEVALUE(LEFT(F187,10))</f>
        <v>44857</v>
      </c>
      <c r="V187">
        <v>3.1</v>
      </c>
    </row>
    <row r="188" spans="1:22" ht="30.75" hidden="1">
      <c r="A188" s="63" t="s">
        <v>3848</v>
      </c>
      <c r="B188" s="56" t="s">
        <v>295</v>
      </c>
      <c r="C188" s="56" t="s">
        <v>3849</v>
      </c>
      <c r="D188" s="56" t="s">
        <v>37</v>
      </c>
      <c r="E188" s="56" t="s">
        <v>3512</v>
      </c>
      <c r="F188" s="56" t="s">
        <v>3850</v>
      </c>
      <c r="G188" s="56">
        <v>139</v>
      </c>
      <c r="H188" s="56">
        <v>137</v>
      </c>
      <c r="I188" s="58">
        <v>0.98561151079136688</v>
      </c>
      <c r="J188" s="56" t="s">
        <v>3851</v>
      </c>
      <c r="K188" s="56" t="s">
        <v>3763</v>
      </c>
      <c r="L188" s="56" t="s">
        <v>2942</v>
      </c>
      <c r="M188" s="56" t="str">
        <f>HYPERLINK("https://dribble.octin.io/?mode=Single+log&amp;log_id=9e49965d-995d-4b1b-9944-5f34ce6b2152","URL")</f>
        <v>URL</v>
      </c>
      <c r="N188" s="56" t="s">
        <v>3458</v>
      </c>
      <c r="O188" t="str">
        <f>_xlfn.XLOOKUP(N188,'Error-codes'!$C$2:$C$130,'Error-codes'!$B$2:$B$130, "None")</f>
        <v>motor drive: UNDER VOLTAGE</v>
      </c>
      <c r="P188" s="46" t="s">
        <v>3852</v>
      </c>
      <c r="Q188" t="s">
        <v>3379</v>
      </c>
      <c r="S188" t="s">
        <v>3379</v>
      </c>
      <c r="T188" t="s">
        <v>3379</v>
      </c>
      <c r="U188" s="81">
        <f>DATEVALUE(LEFT(F188,10))</f>
        <v>44858</v>
      </c>
      <c r="V188">
        <v>3.2</v>
      </c>
    </row>
    <row r="189" spans="1:22" ht="76.5" hidden="1">
      <c r="A189" s="7" t="s">
        <v>3853</v>
      </c>
      <c r="B189" s="56" t="s">
        <v>2886</v>
      </c>
      <c r="C189" s="56" t="s">
        <v>3854</v>
      </c>
      <c r="D189" s="56" t="s">
        <v>37</v>
      </c>
      <c r="E189" s="56" t="s">
        <v>2930</v>
      </c>
      <c r="F189" s="56" t="s">
        <v>3855</v>
      </c>
      <c r="G189" s="56">
        <v>102</v>
      </c>
      <c r="H189" s="56">
        <v>53</v>
      </c>
      <c r="I189" s="58">
        <v>0.51960784313725494</v>
      </c>
      <c r="J189" s="56" t="s">
        <v>3856</v>
      </c>
      <c r="K189" s="56" t="s">
        <v>2171</v>
      </c>
      <c r="L189" s="56" t="s">
        <v>2948</v>
      </c>
      <c r="M189" s="61" t="str">
        <f>HYPERLINK(CONCATENATE("https://dribble.octin.io/?mode=Single+log&amp;log_id=", $A189),"URL")</f>
        <v>URL</v>
      </c>
      <c r="N189" s="56" t="s">
        <v>3458</v>
      </c>
      <c r="O189" t="str">
        <f>_xlfn.XLOOKUP(N189,'Error-codes'!$C$2:$C$130,'Error-codes'!$B$2:$B$130, "None")</f>
        <v>motor drive: UNDER VOLTAGE</v>
      </c>
      <c r="P189" s="46" t="s">
        <v>3857</v>
      </c>
      <c r="Q189" s="51" t="s">
        <v>3026</v>
      </c>
      <c r="R189" s="51"/>
      <c r="S189" s="46" t="s">
        <v>3858</v>
      </c>
      <c r="U189" s="81">
        <f>DATEVALUE(LEFT(F189,10))</f>
        <v>44858</v>
      </c>
      <c r="V189">
        <v>6</v>
      </c>
    </row>
    <row r="190" spans="1:22" ht="60.75" hidden="1">
      <c r="A190" s="50" t="s">
        <v>3021</v>
      </c>
      <c r="B190" s="56" t="s">
        <v>228</v>
      </c>
      <c r="C190" s="56" t="s">
        <v>3010</v>
      </c>
      <c r="D190" s="56" t="s">
        <v>37</v>
      </c>
      <c r="E190" s="56" t="s">
        <v>2939</v>
      </c>
      <c r="F190" s="56" t="s">
        <v>3011</v>
      </c>
      <c r="G190" s="56">
        <v>78</v>
      </c>
      <c r="H190" s="56">
        <v>26</v>
      </c>
      <c r="I190" s="58">
        <v>0.33333333333333331</v>
      </c>
      <c r="J190" s="56" t="s">
        <v>2968</v>
      </c>
      <c r="K190" s="56" t="s">
        <v>2166</v>
      </c>
      <c r="L190" s="56" t="s">
        <v>2948</v>
      </c>
      <c r="M190" s="61" t="str">
        <f>HYPERLINK(CONCATENATE("https://dribble.octin.io/?mode=Single+log&amp;log_id=", $A190),"URL")</f>
        <v>URL</v>
      </c>
      <c r="N190" s="56" t="s">
        <v>2933</v>
      </c>
      <c r="O190" t="str">
        <f>_xlfn.XLOOKUP(N190,'Error-codes'!$C$2:$C$130,'Error-codes'!$B$2:$B$130, "None")</f>
        <v>inductive sensor error</v>
      </c>
      <c r="P190" s="46" t="s">
        <v>3016</v>
      </c>
      <c r="Q190" s="51" t="s">
        <v>3013</v>
      </c>
      <c r="R190" s="51"/>
      <c r="S190" t="s">
        <v>3017</v>
      </c>
      <c r="U190" s="81">
        <f>DATEVALUE(LEFT(F190,10))</f>
        <v>44858</v>
      </c>
      <c r="V190">
        <v>0</v>
      </c>
    </row>
    <row r="191" spans="1:22" ht="45.75" hidden="1">
      <c r="A191" t="s">
        <v>3018</v>
      </c>
      <c r="B191" s="56" t="s">
        <v>228</v>
      </c>
      <c r="C191" s="56" t="s">
        <v>3010</v>
      </c>
      <c r="D191" s="56" t="s">
        <v>37</v>
      </c>
      <c r="E191" s="56" t="s">
        <v>2939</v>
      </c>
      <c r="F191" s="56" t="s">
        <v>3011</v>
      </c>
      <c r="G191" s="56">
        <v>78</v>
      </c>
      <c r="H191" s="56">
        <v>27</v>
      </c>
      <c r="I191" s="58">
        <v>0.34615384615384615</v>
      </c>
      <c r="J191" s="56" t="s">
        <v>2968</v>
      </c>
      <c r="K191" s="56" t="s">
        <v>2166</v>
      </c>
      <c r="L191" s="56" t="s">
        <v>2948</v>
      </c>
      <c r="M191" s="61" t="str">
        <f>HYPERLINK(CONCATENATE("https://dribble.octin.io/?mode=Single+log&amp;log_id=", $A191),"URL")</f>
        <v>URL</v>
      </c>
      <c r="N191" s="56" t="s">
        <v>2933</v>
      </c>
      <c r="O191" t="str">
        <f>_xlfn.XLOOKUP(N191,'Error-codes'!$C$2:$C$130,'Error-codes'!$B$2:$B$130, "None")</f>
        <v>inductive sensor error</v>
      </c>
      <c r="P191" s="46" t="s">
        <v>3019</v>
      </c>
      <c r="S191" t="s">
        <v>3020</v>
      </c>
      <c r="U191" s="81">
        <f>DATEVALUE(LEFT(F191,10))</f>
        <v>44858</v>
      </c>
      <c r="V191">
        <v>4</v>
      </c>
    </row>
    <row r="192" spans="1:22" ht="60.75" hidden="1">
      <c r="A192" s="50" t="s">
        <v>3015</v>
      </c>
      <c r="B192" s="56" t="s">
        <v>228</v>
      </c>
      <c r="C192" s="56" t="s">
        <v>3010</v>
      </c>
      <c r="D192" s="56" t="s">
        <v>37</v>
      </c>
      <c r="E192" s="56" t="s">
        <v>2939</v>
      </c>
      <c r="F192" s="56" t="s">
        <v>3011</v>
      </c>
      <c r="G192" s="56">
        <v>78</v>
      </c>
      <c r="H192" s="56">
        <v>28</v>
      </c>
      <c r="I192" s="58">
        <v>0.35897435897435898</v>
      </c>
      <c r="J192" s="56" t="s">
        <v>2968</v>
      </c>
      <c r="K192" s="56" t="s">
        <v>2166</v>
      </c>
      <c r="L192" s="56" t="s">
        <v>2948</v>
      </c>
      <c r="M192" s="61" t="str">
        <f>HYPERLINK(CONCATENATE("https://dribble.octin.io/?mode=Single+log&amp;log_id=", $A192),"URL")</f>
        <v>URL</v>
      </c>
      <c r="N192" s="56" t="s">
        <v>2933</v>
      </c>
      <c r="O192" t="str">
        <f>_xlfn.XLOOKUP(N192,'Error-codes'!$C$2:$C$130,'Error-codes'!$B$2:$B$130, "None")</f>
        <v>inductive sensor error</v>
      </c>
      <c r="P192" s="46" t="s">
        <v>3016</v>
      </c>
      <c r="Q192" s="51" t="s">
        <v>3013</v>
      </c>
      <c r="R192" s="51"/>
      <c r="S192" t="s">
        <v>3017</v>
      </c>
      <c r="U192" s="81">
        <f>DATEVALUE(LEFT(F192,10))</f>
        <v>44858</v>
      </c>
      <c r="V192">
        <v>0</v>
      </c>
    </row>
    <row r="193" spans="1:22" ht="76.5" hidden="1">
      <c r="A193" s="50" t="s">
        <v>3009</v>
      </c>
      <c r="B193" s="56" t="s">
        <v>228</v>
      </c>
      <c r="C193" s="56" t="s">
        <v>3010</v>
      </c>
      <c r="D193" s="56" t="s">
        <v>37</v>
      </c>
      <c r="E193" s="56" t="s">
        <v>2930</v>
      </c>
      <c r="F193" s="56" t="s">
        <v>3011</v>
      </c>
      <c r="G193" s="56">
        <v>78</v>
      </c>
      <c r="H193" s="56">
        <v>53</v>
      </c>
      <c r="I193" s="58">
        <v>0.67948717948717952</v>
      </c>
      <c r="J193" s="56" t="s">
        <v>2984</v>
      </c>
      <c r="K193" s="56" t="s">
        <v>2166</v>
      </c>
      <c r="L193" s="56" t="s">
        <v>2948</v>
      </c>
      <c r="M193" s="61" t="str">
        <f>HYPERLINK(CONCATENATE("https://dribble.octin.io/?mode=Single+log&amp;log_id=", $A193),"URL")</f>
        <v>URL</v>
      </c>
      <c r="N193" s="56" t="s">
        <v>2933</v>
      </c>
      <c r="O193" t="str">
        <f>_xlfn.XLOOKUP(N193,'Error-codes'!$C$2:$C$130,'Error-codes'!$B$2:$B$130, "None")</f>
        <v>inductive sensor error</v>
      </c>
      <c r="P193" s="46" t="s">
        <v>3012</v>
      </c>
      <c r="Q193" s="51" t="s">
        <v>3013</v>
      </c>
      <c r="R193" s="51"/>
      <c r="S193" s="46" t="s">
        <v>3014</v>
      </c>
      <c r="U193" s="81">
        <f>DATEVALUE(LEFT(F193,10))</f>
        <v>44858</v>
      </c>
      <c r="V193">
        <v>0</v>
      </c>
    </row>
    <row r="194" spans="1:22" hidden="1">
      <c r="B194" s="56" t="s">
        <v>29</v>
      </c>
      <c r="C194" s="56" t="s">
        <v>3859</v>
      </c>
      <c r="D194" s="56" t="s">
        <v>388</v>
      </c>
      <c r="F194" s="56" t="s">
        <v>3860</v>
      </c>
      <c r="G194" s="56">
        <v>136</v>
      </c>
      <c r="H194" s="56">
        <v>136</v>
      </c>
      <c r="I194" s="58">
        <v>1</v>
      </c>
      <c r="K194" s="56" t="s">
        <v>1893</v>
      </c>
      <c r="L194" s="56" t="s">
        <v>2942</v>
      </c>
      <c r="O194">
        <f>_xlfn.XLOOKUP(N194,'Error-codes'!$C$2:$C$130,'Error-codes'!$B$2:$B$130, "None")</f>
        <v>0</v>
      </c>
      <c r="P194" t="s">
        <v>3379</v>
      </c>
      <c r="Q194" t="s">
        <v>3379</v>
      </c>
      <c r="S194" t="s">
        <v>3379</v>
      </c>
      <c r="T194" t="s">
        <v>3379</v>
      </c>
      <c r="U194" s="81">
        <f>DATEVALUE(LEFT(F194,10))</f>
        <v>44859</v>
      </c>
      <c r="V194" t="s">
        <v>3379</v>
      </c>
    </row>
    <row r="195" spans="1:22" hidden="1">
      <c r="B195" s="56" t="s">
        <v>295</v>
      </c>
      <c r="C195" s="56" t="s">
        <v>3861</v>
      </c>
      <c r="D195" s="56" t="s">
        <v>388</v>
      </c>
      <c r="F195" s="56" t="s">
        <v>3862</v>
      </c>
      <c r="G195" s="56">
        <v>139</v>
      </c>
      <c r="H195" s="56">
        <v>139</v>
      </c>
      <c r="I195" s="58">
        <v>1</v>
      </c>
      <c r="K195" s="56" t="s">
        <v>1873</v>
      </c>
      <c r="L195" s="56" t="s">
        <v>2942</v>
      </c>
      <c r="O195">
        <f>_xlfn.XLOOKUP(N195,'Error-codes'!$C$2:$C$130,'Error-codes'!$B$2:$B$130, "None")</f>
        <v>0</v>
      </c>
      <c r="P195" t="s">
        <v>3379</v>
      </c>
      <c r="Q195" t="s">
        <v>3379</v>
      </c>
      <c r="S195" t="s">
        <v>3379</v>
      </c>
      <c r="T195" t="s">
        <v>3379</v>
      </c>
      <c r="U195" s="81">
        <f>DATEVALUE(LEFT(F195,10))</f>
        <v>44859</v>
      </c>
      <c r="V195" t="s">
        <v>3379</v>
      </c>
    </row>
    <row r="196" spans="1:22" hidden="1">
      <c r="A196" s="56"/>
      <c r="B196" s="56" t="s">
        <v>3771</v>
      </c>
      <c r="C196" s="56" t="s">
        <v>3863</v>
      </c>
      <c r="D196" s="56" t="s">
        <v>37</v>
      </c>
      <c r="E196" s="56" t="s">
        <v>2939</v>
      </c>
      <c r="F196" s="56" t="s">
        <v>3864</v>
      </c>
      <c r="G196" s="56">
        <v>58</v>
      </c>
      <c r="H196" s="56">
        <v>0</v>
      </c>
      <c r="I196" s="58">
        <v>0</v>
      </c>
      <c r="J196" s="56" t="s">
        <v>3865</v>
      </c>
      <c r="K196" s="56" t="s">
        <v>3207</v>
      </c>
      <c r="L196" s="56" t="s">
        <v>3775</v>
      </c>
      <c r="N196" s="56" t="s">
        <v>3450</v>
      </c>
      <c r="O196" t="str">
        <f>_xlfn.XLOOKUP(N196,'Error-codes'!$C$2:$C$130,'Error-codes'!$B$2:$B$130, "None")</f>
        <v>xtheta sensor error</v>
      </c>
      <c r="U196" s="81">
        <f>DATEVALUE(LEFT(F196,10))</f>
        <v>44859</v>
      </c>
    </row>
    <row r="197" spans="1:22" hidden="1">
      <c r="A197" s="56"/>
      <c r="B197" s="56" t="s">
        <v>3771</v>
      </c>
      <c r="C197" s="56" t="s">
        <v>3863</v>
      </c>
      <c r="D197" s="56" t="s">
        <v>37</v>
      </c>
      <c r="E197" s="56" t="s">
        <v>3776</v>
      </c>
      <c r="F197" s="56" t="s">
        <v>3866</v>
      </c>
      <c r="G197" s="56">
        <v>58</v>
      </c>
      <c r="H197" s="56">
        <v>1</v>
      </c>
      <c r="I197" s="58">
        <v>1.7241379310344827E-2</v>
      </c>
      <c r="J197" s="56" t="s">
        <v>3865</v>
      </c>
      <c r="K197" s="56" t="s">
        <v>3207</v>
      </c>
      <c r="L197" s="56" t="s">
        <v>3775</v>
      </c>
      <c r="N197" s="56" t="s">
        <v>3450</v>
      </c>
      <c r="O197" t="str">
        <f>_xlfn.XLOOKUP(N197,'Error-codes'!$C$2:$C$130,'Error-codes'!$B$2:$B$130, "None")</f>
        <v>xtheta sensor error</v>
      </c>
      <c r="U197" s="81">
        <f>DATEVALUE(LEFT(F197,10))</f>
        <v>44859</v>
      </c>
    </row>
    <row r="198" spans="1:22" hidden="1">
      <c r="A198" s="56"/>
      <c r="B198" s="56" t="s">
        <v>3771</v>
      </c>
      <c r="C198" s="56" t="s">
        <v>3867</v>
      </c>
      <c r="D198" s="56" t="s">
        <v>37</v>
      </c>
      <c r="E198" s="56" t="s">
        <v>3776</v>
      </c>
      <c r="F198" s="56" t="s">
        <v>3868</v>
      </c>
      <c r="G198" s="56">
        <v>104</v>
      </c>
      <c r="H198" s="56">
        <v>0</v>
      </c>
      <c r="I198" s="58">
        <v>0</v>
      </c>
      <c r="J198" s="56" t="s">
        <v>3869</v>
      </c>
      <c r="K198" s="56" t="s">
        <v>3207</v>
      </c>
      <c r="L198" s="56" t="s">
        <v>3775</v>
      </c>
      <c r="N198" s="56" t="s">
        <v>3452</v>
      </c>
      <c r="O198" t="str">
        <f>_xlfn.XLOOKUP(N198,'Error-codes'!$C$2:$C$130,'Error-codes'!$B$2:$B$130, "None")</f>
        <v>ytheta sensor error</v>
      </c>
      <c r="U198" s="81">
        <f>DATEVALUE(LEFT(F198,10))</f>
        <v>44859</v>
      </c>
    </row>
    <row r="199" spans="1:22" hidden="1">
      <c r="A199" s="56" t="s">
        <v>3870</v>
      </c>
      <c r="B199" s="56" t="s">
        <v>3771</v>
      </c>
      <c r="C199" s="56" t="s">
        <v>3871</v>
      </c>
      <c r="D199" s="56" t="s">
        <v>37</v>
      </c>
      <c r="E199" s="56" t="s">
        <v>3776</v>
      </c>
      <c r="F199" s="56" t="s">
        <v>3872</v>
      </c>
      <c r="G199" s="56">
        <v>18</v>
      </c>
      <c r="H199" s="56">
        <v>2</v>
      </c>
      <c r="I199" s="58">
        <v>0.1111111111111111</v>
      </c>
      <c r="J199" s="56" t="s">
        <v>3873</v>
      </c>
      <c r="K199" s="56" t="s">
        <v>3207</v>
      </c>
      <c r="L199" s="56" t="s">
        <v>3775</v>
      </c>
      <c r="M199" s="56" t="str">
        <f>HYPERLINK("https://dribble.octin.io/?mode=Single+log&amp;log_id=c366891f-15df-4ef0-acbf-b578166b2179","URL")</f>
        <v>URL</v>
      </c>
      <c r="N199" s="56" t="s">
        <v>3460</v>
      </c>
      <c r="O199" t="str">
        <f>_xlfn.XLOOKUP(N199,'Error-codes'!$C$2:$C$130,'Error-codes'!$B$2:$B$130, "None")</f>
        <v>motor drive: DRV8353 FAULT</v>
      </c>
      <c r="U199" s="81">
        <f>DATEVALUE(LEFT(F199,10))</f>
        <v>44859</v>
      </c>
    </row>
    <row r="200" spans="1:22" hidden="1">
      <c r="B200" s="56" t="s">
        <v>3771</v>
      </c>
      <c r="C200" s="56" t="s">
        <v>3874</v>
      </c>
      <c r="D200" s="56" t="s">
        <v>22</v>
      </c>
      <c r="F200" s="56" t="s">
        <v>3875</v>
      </c>
      <c r="G200" s="56">
        <v>69</v>
      </c>
      <c r="H200" s="56">
        <v>0</v>
      </c>
      <c r="I200" s="58">
        <v>0</v>
      </c>
      <c r="K200" s="56" t="s">
        <v>3207</v>
      </c>
      <c r="L200" s="56" t="s">
        <v>3775</v>
      </c>
      <c r="O200">
        <f>_xlfn.XLOOKUP(N200,'Error-codes'!$C$2:$C$130,'Error-codes'!$B$2:$B$130, "None")</f>
        <v>0</v>
      </c>
      <c r="U200" s="81">
        <f>DATEVALUE(LEFT(F200,10))</f>
        <v>44859</v>
      </c>
    </row>
    <row r="201" spans="1:22" hidden="1">
      <c r="A201" s="56" t="s">
        <v>3876</v>
      </c>
      <c r="B201" s="56" t="s">
        <v>3771</v>
      </c>
      <c r="C201" s="56" t="s">
        <v>3877</v>
      </c>
      <c r="D201" s="56" t="s">
        <v>37</v>
      </c>
      <c r="E201" s="56" t="s">
        <v>3776</v>
      </c>
      <c r="F201" s="56" t="s">
        <v>3878</v>
      </c>
      <c r="G201" s="56">
        <v>76</v>
      </c>
      <c r="H201" s="56">
        <v>16</v>
      </c>
      <c r="I201" s="58">
        <v>0.21052631578947367</v>
      </c>
      <c r="J201" s="56" t="s">
        <v>3879</v>
      </c>
      <c r="K201" s="56" t="s">
        <v>3207</v>
      </c>
      <c r="L201" s="56" t="s">
        <v>3775</v>
      </c>
      <c r="M201" s="56" t="str">
        <f>HYPERLINK("https://dribble.octin.io/?mode=Single+log&amp;log_id=44a73250-2efc-4ebe-b6ae-d753fb3d72e5","URL")</f>
        <v>URL</v>
      </c>
      <c r="N201" s="56" t="s">
        <v>3458</v>
      </c>
      <c r="O201" t="str">
        <f>_xlfn.XLOOKUP(N201,'Error-codes'!$C$2:$C$130,'Error-codes'!$B$2:$B$130, "None")</f>
        <v>motor drive: UNDER VOLTAGE</v>
      </c>
      <c r="U201" s="81">
        <f>DATEVALUE(LEFT(F201,10))</f>
        <v>44859</v>
      </c>
    </row>
    <row r="202" spans="1:22" ht="30.75" hidden="1">
      <c r="B202" s="56" t="s">
        <v>295</v>
      </c>
      <c r="C202" s="56" t="s">
        <v>3880</v>
      </c>
      <c r="D202" s="56"/>
      <c r="F202" s="56" t="s">
        <v>3881</v>
      </c>
      <c r="G202" s="56">
        <v>140</v>
      </c>
      <c r="H202" s="56">
        <v>0</v>
      </c>
      <c r="I202" s="58">
        <v>0</v>
      </c>
      <c r="K202" s="56" t="s">
        <v>1873</v>
      </c>
      <c r="L202" s="56" t="s">
        <v>2942</v>
      </c>
      <c r="O202">
        <f>_xlfn.XLOOKUP(N202,'Error-codes'!$C$2:$C$130,'Error-codes'!$B$2:$B$130, "None")</f>
        <v>0</v>
      </c>
      <c r="P202" s="46" t="s">
        <v>3882</v>
      </c>
      <c r="U202" s="81">
        <f>DATEVALUE(LEFT(F202,10))</f>
        <v>44859</v>
      </c>
    </row>
    <row r="203" spans="1:22" ht="30.75" hidden="1">
      <c r="A203" s="56" t="s">
        <v>3883</v>
      </c>
      <c r="B203" s="56" t="s">
        <v>29</v>
      </c>
      <c r="C203" s="56" t="s">
        <v>3884</v>
      </c>
      <c r="D203" s="56" t="s">
        <v>37</v>
      </c>
      <c r="E203" s="56" t="s">
        <v>3497</v>
      </c>
      <c r="F203" s="56" t="s">
        <v>3885</v>
      </c>
      <c r="G203" s="56">
        <v>171</v>
      </c>
      <c r="H203" s="56">
        <v>1</v>
      </c>
      <c r="I203" s="58">
        <v>5.8479532163742687E-3</v>
      </c>
      <c r="J203" s="56" t="s">
        <v>3886</v>
      </c>
      <c r="K203" s="56" t="s">
        <v>1893</v>
      </c>
      <c r="L203" s="56" t="s">
        <v>2942</v>
      </c>
      <c r="M203" s="56" t="str">
        <f>HYPERLINK("https://dribble.octin.io/?mode=Single+log&amp;log_id=30ef5f88-cb85-4e36-b6dc-52d9e5d9013c","URL")</f>
        <v>URL</v>
      </c>
      <c r="N203" s="56" t="s">
        <v>3466</v>
      </c>
      <c r="O203" t="str">
        <f>_xlfn.XLOOKUP(N203,'Error-codes'!$C$2:$C$130,'Error-codes'!$B$2:$B$130, "None")</f>
        <v>vision error</v>
      </c>
      <c r="P203" s="46" t="s">
        <v>3887</v>
      </c>
      <c r="S203" t="s">
        <v>3888</v>
      </c>
      <c r="T203" t="s">
        <v>3379</v>
      </c>
      <c r="U203" s="81">
        <f>DATEVALUE(LEFT(F203,10))</f>
        <v>44859</v>
      </c>
      <c r="V203">
        <v>1</v>
      </c>
    </row>
    <row r="204" spans="1:22" ht="91.5" hidden="1">
      <c r="A204" s="56" t="s">
        <v>3889</v>
      </c>
      <c r="B204" s="56" t="s">
        <v>295</v>
      </c>
      <c r="C204" s="56" t="s">
        <v>3890</v>
      </c>
      <c r="D204" s="56" t="s">
        <v>37</v>
      </c>
      <c r="E204" s="56" t="s">
        <v>3493</v>
      </c>
      <c r="F204" s="56" t="s">
        <v>3891</v>
      </c>
      <c r="G204" s="56">
        <v>140</v>
      </c>
      <c r="H204" s="56">
        <v>23</v>
      </c>
      <c r="I204" s="58">
        <v>0.16428571428571428</v>
      </c>
      <c r="J204" s="56" t="s">
        <v>3732</v>
      </c>
      <c r="K204" s="56" t="s">
        <v>1873</v>
      </c>
      <c r="L204" s="56" t="s">
        <v>2942</v>
      </c>
      <c r="M204" s="56" t="str">
        <f>HYPERLINK("https://dribble.octin.io/?mode=Single+log&amp;log_id=e99ad4d5-fdcf-4be6-9a5c-3518b5231464","URL")</f>
        <v>URL</v>
      </c>
      <c r="N204" s="56" t="s">
        <v>3446</v>
      </c>
      <c r="O204" t="str">
        <f>_xlfn.XLOOKUP(N204,'Error-codes'!$C$2:$C$130,'Error-codes'!$B$2:$B$130, "None")</f>
        <v>end of lane wall sensor error</v>
      </c>
      <c r="P204" s="46" t="s">
        <v>3892</v>
      </c>
      <c r="Q204" s="51" t="s">
        <v>3893</v>
      </c>
      <c r="R204" s="51"/>
      <c r="S204" s="46" t="s">
        <v>3894</v>
      </c>
      <c r="T204" s="46" t="s">
        <v>3895</v>
      </c>
      <c r="U204" s="81">
        <f>DATEVALUE(LEFT(F204,10))</f>
        <v>44859</v>
      </c>
      <c r="V204">
        <v>1</v>
      </c>
    </row>
    <row r="205" spans="1:22" hidden="1">
      <c r="B205" s="56" t="s">
        <v>29</v>
      </c>
      <c r="C205" s="56" t="s">
        <v>3896</v>
      </c>
      <c r="D205" s="56" t="s">
        <v>37</v>
      </c>
      <c r="F205" s="56" t="s">
        <v>3897</v>
      </c>
      <c r="G205" s="56">
        <v>2</v>
      </c>
      <c r="H205" s="56">
        <v>0</v>
      </c>
      <c r="I205" s="58">
        <v>0</v>
      </c>
      <c r="K205" s="56" t="s">
        <v>1893</v>
      </c>
      <c r="L205" s="56" t="s">
        <v>2942</v>
      </c>
      <c r="O205">
        <f>_xlfn.XLOOKUP(N205,'Error-codes'!$C$2:$C$130,'Error-codes'!$B$2:$B$130, "None")</f>
        <v>0</v>
      </c>
      <c r="P205" t="s">
        <v>3379</v>
      </c>
      <c r="Q205" t="s">
        <v>3379</v>
      </c>
      <c r="S205" t="s">
        <v>3379</v>
      </c>
      <c r="T205" t="s">
        <v>3379</v>
      </c>
      <c r="U205" s="81">
        <f>DATEVALUE(LEFT(F205,10))</f>
        <v>44860</v>
      </c>
      <c r="V205" t="s">
        <v>3379</v>
      </c>
    </row>
    <row r="206" spans="1:22" hidden="1">
      <c r="A206" s="63" t="s">
        <v>3898</v>
      </c>
      <c r="B206" s="56" t="s">
        <v>29</v>
      </c>
      <c r="C206" s="56" t="s">
        <v>3899</v>
      </c>
      <c r="D206" s="56" t="s">
        <v>37</v>
      </c>
      <c r="E206" s="56" t="s">
        <v>2988</v>
      </c>
      <c r="F206" s="56" t="s">
        <v>3900</v>
      </c>
      <c r="G206" s="56">
        <v>11</v>
      </c>
      <c r="H206" s="56">
        <v>0</v>
      </c>
      <c r="I206" s="58">
        <v>0</v>
      </c>
      <c r="J206" s="56" t="s">
        <v>3886</v>
      </c>
      <c r="K206" s="56" t="s">
        <v>1893</v>
      </c>
      <c r="L206" s="56" t="s">
        <v>2942</v>
      </c>
      <c r="M206" s="56" t="str">
        <f>HYPERLINK("https://dribble.octin.io/?mode=Single+log&amp;log_id=46f18c8b-3fdb-40a4-8869-83af0cdfd5df","URL")</f>
        <v>URL</v>
      </c>
      <c r="N206" s="56" t="s">
        <v>3466</v>
      </c>
      <c r="O206" t="str">
        <f>_xlfn.XLOOKUP(N206,'Error-codes'!$C$2:$C$130,'Error-codes'!$B$2:$B$130, "None")</f>
        <v>vision error</v>
      </c>
      <c r="P206" t="s">
        <v>3901</v>
      </c>
      <c r="S206" t="s">
        <v>3902</v>
      </c>
      <c r="U206" s="81">
        <f>DATEVALUE(LEFT(F206,10))</f>
        <v>44860</v>
      </c>
      <c r="V206">
        <v>1</v>
      </c>
    </row>
    <row r="207" spans="1:22" hidden="1">
      <c r="A207" s="1" t="s">
        <v>3903</v>
      </c>
      <c r="B207" s="56" t="s">
        <v>29</v>
      </c>
      <c r="C207" s="56" t="s">
        <v>3904</v>
      </c>
      <c r="D207" s="56" t="s">
        <v>37</v>
      </c>
      <c r="E207" s="56" t="s">
        <v>2988</v>
      </c>
      <c r="F207" s="56" t="s">
        <v>3905</v>
      </c>
      <c r="G207" s="56">
        <v>7</v>
      </c>
      <c r="H207" s="56">
        <v>0</v>
      </c>
      <c r="I207" s="58">
        <v>0</v>
      </c>
      <c r="J207" s="56" t="s">
        <v>3906</v>
      </c>
      <c r="K207" s="56" t="s">
        <v>1893</v>
      </c>
      <c r="L207" s="56" t="s">
        <v>2942</v>
      </c>
      <c r="M207" s="61" t="str">
        <f>HYPERLINK(CONCATENATE("https://dribble.octin.io/?mode=Single+log&amp;log_id=", $A207),"URL")</f>
        <v>URL</v>
      </c>
      <c r="N207" s="56" t="s">
        <v>3466</v>
      </c>
      <c r="O207" t="str">
        <f>_xlfn.XLOOKUP(N207,'Error-codes'!$C$2:$C$130,'Error-codes'!$B$2:$B$130, "None")</f>
        <v>vision error</v>
      </c>
      <c r="P207" t="s">
        <v>3907</v>
      </c>
      <c r="S207" t="s">
        <v>3902</v>
      </c>
      <c r="U207" s="81">
        <f>DATEVALUE(LEFT(F207,10))</f>
        <v>44860</v>
      </c>
      <c r="V207">
        <v>1</v>
      </c>
    </row>
    <row r="208" spans="1:22" hidden="1">
      <c r="A208" s="7"/>
      <c r="B208" s="56" t="s">
        <v>295</v>
      </c>
      <c r="C208" s="56" t="s">
        <v>3908</v>
      </c>
      <c r="D208" s="56" t="s">
        <v>388</v>
      </c>
      <c r="F208" s="56" t="s">
        <v>3909</v>
      </c>
      <c r="G208" s="56">
        <v>5</v>
      </c>
      <c r="H208" s="56">
        <v>5</v>
      </c>
      <c r="I208" s="58">
        <v>1</v>
      </c>
      <c r="K208" s="56" t="s">
        <v>1873</v>
      </c>
      <c r="L208" s="56" t="s">
        <v>2942</v>
      </c>
      <c r="O208">
        <f>_xlfn.XLOOKUP(N208,'Error-codes'!$C$2:$C$130,'Error-codes'!$B$2:$B$130, "None")</f>
        <v>0</v>
      </c>
      <c r="P208" t="s">
        <v>3379</v>
      </c>
      <c r="Q208" t="s">
        <v>3379</v>
      </c>
      <c r="S208" t="s">
        <v>3379</v>
      </c>
      <c r="T208" t="s">
        <v>3379</v>
      </c>
      <c r="U208" s="81">
        <f>DATEVALUE(LEFT(F208,10))</f>
        <v>44860</v>
      </c>
      <c r="V208" t="s">
        <v>3379</v>
      </c>
    </row>
    <row r="209" spans="1:22" ht="106.5" hidden="1">
      <c r="A209" s="63" t="s">
        <v>3910</v>
      </c>
      <c r="B209" s="56" t="s">
        <v>295</v>
      </c>
      <c r="C209" s="56" t="s">
        <v>3911</v>
      </c>
      <c r="D209" s="56" t="s">
        <v>37</v>
      </c>
      <c r="E209" s="56" t="s">
        <v>3493</v>
      </c>
      <c r="F209" s="56" t="s">
        <v>3912</v>
      </c>
      <c r="G209" s="56">
        <v>116</v>
      </c>
      <c r="H209" s="56">
        <v>3</v>
      </c>
      <c r="I209" s="58">
        <v>2.5862068965517241E-2</v>
      </c>
      <c r="J209" s="56" t="s">
        <v>3913</v>
      </c>
      <c r="K209" s="56" t="s">
        <v>1873</v>
      </c>
      <c r="L209" s="56" t="s">
        <v>2942</v>
      </c>
      <c r="M209" s="56" t="str">
        <f>HYPERLINK("https://dribble.octin.io/?mode=Single+log&amp;log_id=4620d037-462c-4779-a2bb-d808c075f27c","URL")</f>
        <v>URL</v>
      </c>
      <c r="N209" s="56" t="s">
        <v>3446</v>
      </c>
      <c r="O209" t="str">
        <f>_xlfn.XLOOKUP(N209,'Error-codes'!$C$2:$C$130,'Error-codes'!$B$2:$B$130, "None")</f>
        <v>end of lane wall sensor error</v>
      </c>
      <c r="P209" s="46" t="s">
        <v>3892</v>
      </c>
      <c r="Q209" s="45" t="s">
        <v>3914</v>
      </c>
      <c r="R209" s="45"/>
      <c r="S209" s="46" t="s">
        <v>3915</v>
      </c>
      <c r="U209" s="81">
        <f>DATEVALUE(LEFT(F209,10))</f>
        <v>44860</v>
      </c>
      <c r="V209">
        <v>1</v>
      </c>
    </row>
    <row r="210" spans="1:22" hidden="1">
      <c r="A210" s="56"/>
      <c r="B210" s="56" t="s">
        <v>228</v>
      </c>
      <c r="C210" s="56" t="s">
        <v>3916</v>
      </c>
      <c r="D210" s="56" t="s">
        <v>37</v>
      </c>
      <c r="E210" s="56" t="s">
        <v>2930</v>
      </c>
      <c r="F210" s="56" t="s">
        <v>3917</v>
      </c>
      <c r="G210" s="56">
        <v>101</v>
      </c>
      <c r="H210" s="56">
        <v>7</v>
      </c>
      <c r="I210" s="58">
        <v>6.9306930693069313E-2</v>
      </c>
      <c r="J210" s="56" t="s">
        <v>358</v>
      </c>
      <c r="K210" s="56" t="s">
        <v>2166</v>
      </c>
      <c r="L210" s="56" t="s">
        <v>2932</v>
      </c>
      <c r="N210" s="56" t="s">
        <v>3446</v>
      </c>
      <c r="O210" t="str">
        <f>_xlfn.XLOOKUP(N210,'Error-codes'!$C$2:$C$130,'Error-codes'!$B$2:$B$130, "None")</f>
        <v>end of lane wall sensor error</v>
      </c>
      <c r="P210" t="s">
        <v>3046</v>
      </c>
      <c r="U210" s="81">
        <f>DATEVALUE(LEFT(F210,10))</f>
        <v>44860</v>
      </c>
      <c r="V210">
        <v>1</v>
      </c>
    </row>
    <row r="211" spans="1:22" ht="45.75" hidden="1">
      <c r="A211" s="7" t="s">
        <v>3022</v>
      </c>
      <c r="B211" s="56" t="s">
        <v>2886</v>
      </c>
      <c r="C211" s="56" t="s">
        <v>3023</v>
      </c>
      <c r="D211" s="56" t="s">
        <v>37</v>
      </c>
      <c r="E211" s="56" t="s">
        <v>2930</v>
      </c>
      <c r="F211" s="56" t="s">
        <v>3024</v>
      </c>
      <c r="G211" s="56">
        <v>101</v>
      </c>
      <c r="H211" s="56">
        <v>49</v>
      </c>
      <c r="I211" s="58">
        <v>0.48514851485148514</v>
      </c>
      <c r="J211" s="56" t="s">
        <v>2298</v>
      </c>
      <c r="K211" s="56" t="s">
        <v>2166</v>
      </c>
      <c r="L211" s="56" t="s">
        <v>2948</v>
      </c>
      <c r="M211" s="61" t="str">
        <f>HYPERLINK(CONCATENATE("https://dribble.octin.io/?mode=Single+log&amp;log_id=", $A211),"URL")</f>
        <v>URL</v>
      </c>
      <c r="N211" s="56" t="s">
        <v>2933</v>
      </c>
      <c r="O211" t="str">
        <f>_xlfn.XLOOKUP(N211,'Error-codes'!$C$2:$C$130,'Error-codes'!$B$2:$B$130, "None")</f>
        <v>inductive sensor error</v>
      </c>
      <c r="P211" s="46" t="s">
        <v>3025</v>
      </c>
      <c r="Q211" s="51" t="s">
        <v>3026</v>
      </c>
      <c r="R211" s="51"/>
      <c r="S211" s="46" t="s">
        <v>3027</v>
      </c>
      <c r="T211" s="46" t="s">
        <v>3028</v>
      </c>
      <c r="U211" s="81">
        <f>DATEVALUE(LEFT(F211,10))</f>
        <v>44860</v>
      </c>
      <c r="V211">
        <v>2</v>
      </c>
    </row>
    <row r="212" spans="1:22" hidden="1">
      <c r="B212" s="56" t="s">
        <v>295</v>
      </c>
      <c r="C212" s="56" t="s">
        <v>3918</v>
      </c>
      <c r="D212" s="56" t="s">
        <v>388</v>
      </c>
      <c r="F212" s="56" t="s">
        <v>3919</v>
      </c>
      <c r="G212" s="56">
        <v>9</v>
      </c>
      <c r="H212" s="56">
        <v>9</v>
      </c>
      <c r="I212" s="58">
        <v>1</v>
      </c>
      <c r="K212" s="56" t="s">
        <v>1873</v>
      </c>
      <c r="L212" s="56" t="s">
        <v>2942</v>
      </c>
      <c r="O212">
        <f>_xlfn.XLOOKUP(N212,'Error-codes'!$C$2:$C$130,'Error-codes'!$B$2:$B$130, "None")</f>
        <v>0</v>
      </c>
      <c r="P212" t="s">
        <v>3379</v>
      </c>
      <c r="Q212" t="s">
        <v>3379</v>
      </c>
      <c r="S212" t="s">
        <v>3379</v>
      </c>
      <c r="T212" t="s">
        <v>3379</v>
      </c>
      <c r="U212" s="81">
        <f>DATEVALUE(LEFT(F212,10))</f>
        <v>44861</v>
      </c>
      <c r="V212" t="s">
        <v>3379</v>
      </c>
    </row>
    <row r="213" spans="1:22" ht="45.75" hidden="1">
      <c r="A213" s="56" t="s">
        <v>3920</v>
      </c>
      <c r="B213" s="56" t="s">
        <v>29</v>
      </c>
      <c r="C213" s="56" t="s">
        <v>3921</v>
      </c>
      <c r="D213" s="56" t="s">
        <v>37</v>
      </c>
      <c r="E213" s="56" t="s">
        <v>3493</v>
      </c>
      <c r="F213" s="56" t="s">
        <v>3922</v>
      </c>
      <c r="G213" s="56">
        <v>211</v>
      </c>
      <c r="H213" s="56">
        <v>206</v>
      </c>
      <c r="I213" s="58">
        <v>0.976303317535545</v>
      </c>
      <c r="J213" s="56" t="s">
        <v>3551</v>
      </c>
      <c r="K213" s="56" t="s">
        <v>1893</v>
      </c>
      <c r="L213" s="56" t="s">
        <v>2942</v>
      </c>
      <c r="M213" s="56" t="str">
        <f>HYPERLINK("https://dribble.octin.io/?mode=Single+log&amp;log_id=e15c43a2-ed38-42d5-97c8-6e16a858b632","URL")</f>
        <v>URL</v>
      </c>
      <c r="N213" s="56" t="s">
        <v>3446</v>
      </c>
      <c r="O213" t="str">
        <f>_xlfn.XLOOKUP(N213,'Error-codes'!$C$2:$C$130,'Error-codes'!$B$2:$B$130, "None")</f>
        <v>end of lane wall sensor error</v>
      </c>
      <c r="P213" s="46" t="s">
        <v>3923</v>
      </c>
      <c r="Q213" s="45" t="s">
        <v>3914</v>
      </c>
      <c r="R213" s="45"/>
      <c r="S213" t="s">
        <v>3924</v>
      </c>
      <c r="U213" s="81">
        <f>DATEVALUE(LEFT(F213,10))</f>
        <v>44861</v>
      </c>
      <c r="V213">
        <v>1</v>
      </c>
    </row>
    <row r="214" spans="1:22" ht="45.75" hidden="1">
      <c r="A214" s="50" t="s">
        <v>3925</v>
      </c>
      <c r="B214" s="56" t="s">
        <v>2886</v>
      </c>
      <c r="C214" s="56" t="s">
        <v>3926</v>
      </c>
      <c r="D214" s="56" t="s">
        <v>37</v>
      </c>
      <c r="E214" s="56" t="s">
        <v>2930</v>
      </c>
      <c r="F214" s="56" t="s">
        <v>3927</v>
      </c>
      <c r="G214" s="56">
        <v>101</v>
      </c>
      <c r="H214" s="56">
        <v>26</v>
      </c>
      <c r="I214" s="58">
        <v>0.25742574257425743</v>
      </c>
      <c r="J214" s="56" t="s">
        <v>3928</v>
      </c>
      <c r="K214" s="56" t="s">
        <v>2166</v>
      </c>
      <c r="L214" s="56" t="s">
        <v>2948</v>
      </c>
      <c r="M214" s="61" t="str">
        <f>HYPERLINK(CONCATENATE("https://dribble.octin.io/?mode=Single+log&amp;log_id=", $A214),"URL")</f>
        <v>URL</v>
      </c>
      <c r="N214" s="56" t="s">
        <v>3446</v>
      </c>
      <c r="O214" t="str">
        <f>_xlfn.XLOOKUP(N214,'Error-codes'!$C$2:$C$130,'Error-codes'!$B$2:$B$130, "None")</f>
        <v>end of lane wall sensor error</v>
      </c>
      <c r="P214" s="46" t="s">
        <v>3929</v>
      </c>
      <c r="S214" t="s">
        <v>3930</v>
      </c>
      <c r="U214" s="81">
        <f>DATEVALUE(LEFT(F214,10))</f>
        <v>44862</v>
      </c>
    </row>
    <row r="215" spans="1:22" ht="30.75" hidden="1">
      <c r="A215" t="s">
        <v>3931</v>
      </c>
      <c r="B215" s="56" t="s">
        <v>228</v>
      </c>
      <c r="C215" s="56" t="s">
        <v>3932</v>
      </c>
      <c r="D215" s="56" t="s">
        <v>37</v>
      </c>
      <c r="E215" s="56" t="s">
        <v>2930</v>
      </c>
      <c r="F215" s="56" t="s">
        <v>3933</v>
      </c>
      <c r="G215" s="56">
        <v>101</v>
      </c>
      <c r="H215" s="56">
        <v>81</v>
      </c>
      <c r="I215" s="58">
        <v>0.80198019801980203</v>
      </c>
      <c r="J215" s="56" t="s">
        <v>3934</v>
      </c>
      <c r="K215" s="56" t="s">
        <v>2166</v>
      </c>
      <c r="L215" s="56" t="s">
        <v>2932</v>
      </c>
      <c r="M215" s="61" t="str">
        <f>HYPERLINK(CONCATENATE("https://dribble.octin.io/?mode=Single+log&amp;log_id=", $A215),"URL")</f>
        <v>URL</v>
      </c>
      <c r="N215" s="56" t="s">
        <v>3458</v>
      </c>
      <c r="O215" t="str">
        <f>_xlfn.XLOOKUP(N215,'Error-codes'!$C$2:$C$130,'Error-codes'!$B$2:$B$130, "None")</f>
        <v>motor drive: UNDER VOLTAGE</v>
      </c>
      <c r="P215" s="46" t="s">
        <v>3935</v>
      </c>
      <c r="U215" s="81">
        <f>DATEVALUE(LEFT(F215,10))</f>
        <v>44863</v>
      </c>
    </row>
    <row r="216" spans="1:22" ht="30.75" hidden="1">
      <c r="A216" s="56" t="s">
        <v>3936</v>
      </c>
      <c r="B216" s="56" t="s">
        <v>295</v>
      </c>
      <c r="C216" s="56" t="s">
        <v>3937</v>
      </c>
      <c r="D216" s="56" t="s">
        <v>37</v>
      </c>
      <c r="E216" s="56" t="s">
        <v>2939</v>
      </c>
      <c r="F216" s="56" t="s">
        <v>3938</v>
      </c>
      <c r="G216" s="56">
        <v>212</v>
      </c>
      <c r="H216" s="56">
        <v>140</v>
      </c>
      <c r="I216" s="58">
        <v>0.660377358490566</v>
      </c>
      <c r="J216" s="56" t="s">
        <v>3845</v>
      </c>
      <c r="K216" s="56" t="s">
        <v>1893</v>
      </c>
      <c r="L216" s="56" t="s">
        <v>2942</v>
      </c>
      <c r="M216" s="56" t="str">
        <f>HYPERLINK("https://dribble.octin.io/?mode=Single+log&amp;log_id=2d85f2c0-c53a-415c-989e-8df8b412d0df","URL")</f>
        <v>URL</v>
      </c>
      <c r="N216" s="56" t="s">
        <v>3442</v>
      </c>
      <c r="O216" t="str">
        <f>_xlfn.XLOOKUP(N216,'Error-codes'!$C$2:$C$130,'Error-codes'!$B$2:$B$130, "None")</f>
        <v>vehicle diverged too far from trajectory</v>
      </c>
      <c r="P216" s="46" t="s">
        <v>3939</v>
      </c>
      <c r="U216" s="81">
        <f>DATEVALUE(LEFT(F216,10))</f>
        <v>44863</v>
      </c>
    </row>
    <row r="217" spans="1:22" hidden="1">
      <c r="B217" s="56" t="s">
        <v>29</v>
      </c>
      <c r="C217" s="56" t="s">
        <v>3940</v>
      </c>
      <c r="D217" s="56" t="s">
        <v>388</v>
      </c>
      <c r="F217" s="56" t="s">
        <v>3941</v>
      </c>
      <c r="G217" s="56">
        <v>140</v>
      </c>
      <c r="H217" s="56">
        <v>140</v>
      </c>
      <c r="I217" s="58">
        <v>1</v>
      </c>
      <c r="K217" s="56" t="s">
        <v>1873</v>
      </c>
      <c r="L217" s="56" t="s">
        <v>2942</v>
      </c>
      <c r="O217">
        <f>_xlfn.XLOOKUP(N217,'Error-codes'!$C$2:$C$130,'Error-codes'!$B$2:$B$130, "None")</f>
        <v>0</v>
      </c>
      <c r="P217" t="s">
        <v>3379</v>
      </c>
      <c r="Q217" t="s">
        <v>3379</v>
      </c>
      <c r="S217" t="s">
        <v>3379</v>
      </c>
      <c r="T217" t="s">
        <v>3379</v>
      </c>
      <c r="U217" s="81">
        <f>DATEVALUE(LEFT(F217,10))</f>
        <v>44863</v>
      </c>
      <c r="V217" t="s">
        <v>3379</v>
      </c>
    </row>
    <row r="218" spans="1:22" ht="121.5" hidden="1">
      <c r="A218" s="56" t="s">
        <v>3942</v>
      </c>
      <c r="B218" s="56" t="s">
        <v>295</v>
      </c>
      <c r="C218" s="56" t="s">
        <v>3937</v>
      </c>
      <c r="D218" s="56" t="s">
        <v>37</v>
      </c>
      <c r="E218" s="56" t="s">
        <v>3512</v>
      </c>
      <c r="F218" s="56" t="s">
        <v>3943</v>
      </c>
      <c r="G218" s="56">
        <v>212</v>
      </c>
      <c r="H218" s="56">
        <v>142</v>
      </c>
      <c r="I218" s="58">
        <v>0.66981132075471694</v>
      </c>
      <c r="J218" s="56" t="s">
        <v>3944</v>
      </c>
      <c r="K218" s="56" t="s">
        <v>1893</v>
      </c>
      <c r="L218" s="56" t="s">
        <v>2942</v>
      </c>
      <c r="M218" s="56" t="str">
        <f>HYPERLINK("https://dribble.octin.io/?mode=Single+log&amp;log_id=71e98731-cabb-43e7-9039-1d49bf374431","URL")</f>
        <v>URL</v>
      </c>
      <c r="N218" s="56" t="s">
        <v>3458</v>
      </c>
      <c r="O218" t="str">
        <f>_xlfn.XLOOKUP(N218,'Error-codes'!$C$2:$C$130,'Error-codes'!$B$2:$B$130, "None")</f>
        <v>motor drive: UNDER VOLTAGE</v>
      </c>
      <c r="P218" s="46" t="s">
        <v>3945</v>
      </c>
      <c r="S218" t="s">
        <v>3946</v>
      </c>
      <c r="U218" s="81">
        <f>DATEVALUE(LEFT(F218,10))</f>
        <v>44863</v>
      </c>
      <c r="V218" t="s">
        <v>3947</v>
      </c>
    </row>
    <row r="219" spans="1:22" ht="30.75" hidden="1">
      <c r="A219" s="63" t="s">
        <v>3029</v>
      </c>
      <c r="B219" s="56" t="s">
        <v>295</v>
      </c>
      <c r="C219" s="56" t="s">
        <v>3030</v>
      </c>
      <c r="D219" s="56" t="s">
        <v>37</v>
      </c>
      <c r="E219" s="56" t="s">
        <v>2988</v>
      </c>
      <c r="F219" s="56" t="s">
        <v>3031</v>
      </c>
      <c r="G219" s="56">
        <v>78</v>
      </c>
      <c r="H219" s="56">
        <v>0</v>
      </c>
      <c r="I219" s="58">
        <v>0</v>
      </c>
      <c r="J219" s="56" t="s">
        <v>293</v>
      </c>
      <c r="K219" s="56" t="s">
        <v>1893</v>
      </c>
      <c r="L219" s="56" t="s">
        <v>2942</v>
      </c>
      <c r="M219" s="56" t="str">
        <f>HYPERLINK("https://dribble.octin.io/?mode=Single+log&amp;log_id=10c140b4-0b1f-445d-9ae7-6d944af4bd74","URL")</f>
        <v>URL</v>
      </c>
      <c r="N219" s="56" t="s">
        <v>2933</v>
      </c>
      <c r="O219" t="str">
        <f>_xlfn.XLOOKUP(N219,'Error-codes'!$C$2:$C$130,'Error-codes'!$B$2:$B$130, "None")</f>
        <v>inductive sensor error</v>
      </c>
      <c r="P219" s="46" t="s">
        <v>3032</v>
      </c>
      <c r="S219" s="46" t="s">
        <v>3033</v>
      </c>
      <c r="U219" s="81">
        <f>DATEVALUE(LEFT(F219,10))</f>
        <v>44863</v>
      </c>
    </row>
    <row r="220" spans="1:22" ht="60.75" hidden="1">
      <c r="A220" s="56" t="s">
        <v>3948</v>
      </c>
      <c r="B220" s="56" t="s">
        <v>295</v>
      </c>
      <c r="C220" s="56" t="s">
        <v>3949</v>
      </c>
      <c r="D220" s="56" t="s">
        <v>37</v>
      </c>
      <c r="E220" s="56" t="s">
        <v>2988</v>
      </c>
      <c r="F220" s="56" t="s">
        <v>3950</v>
      </c>
      <c r="G220" s="56">
        <v>77</v>
      </c>
      <c r="H220" s="56">
        <v>0</v>
      </c>
      <c r="I220" s="58">
        <v>0</v>
      </c>
      <c r="J220" s="56" t="s">
        <v>293</v>
      </c>
      <c r="K220" s="56" t="s">
        <v>1893</v>
      </c>
      <c r="L220" s="56" t="s">
        <v>2942</v>
      </c>
      <c r="M220" s="56" t="str">
        <f>HYPERLINK("https://dribble.octin.io/?mode=Single+log&amp;log_id=8e5af9df-466c-4e37-a084-a7696eb24768","URL")</f>
        <v>URL</v>
      </c>
      <c r="N220" s="56" t="s">
        <v>3428</v>
      </c>
      <c r="O220" t="str">
        <f>_xlfn.XLOOKUP(N220,'Error-codes'!$C$2:$C$130,'Error-codes'!$B$2:$B$130, "None")</f>
        <v>received error from global planner while in {} state</v>
      </c>
      <c r="P220" s="46" t="s">
        <v>3951</v>
      </c>
      <c r="S220" t="s">
        <v>3952</v>
      </c>
      <c r="U220" s="81">
        <f>DATEVALUE(LEFT(F220,10))</f>
        <v>44863</v>
      </c>
    </row>
    <row r="221" spans="1:22" hidden="1">
      <c r="B221" s="56" t="s">
        <v>29</v>
      </c>
      <c r="C221" s="56" t="s">
        <v>3953</v>
      </c>
      <c r="D221" s="56"/>
      <c r="F221" s="56" t="s">
        <v>3954</v>
      </c>
      <c r="G221" s="56">
        <v>78</v>
      </c>
      <c r="H221" s="56">
        <v>0</v>
      </c>
      <c r="I221" s="58">
        <v>0</v>
      </c>
      <c r="K221" s="56" t="s">
        <v>1893</v>
      </c>
      <c r="L221" s="56" t="s">
        <v>2942</v>
      </c>
      <c r="O221">
        <f>_xlfn.XLOOKUP(N221,'Error-codes'!$C$2:$C$130,'Error-codes'!$B$2:$B$130, "None")</f>
        <v>0</v>
      </c>
      <c r="P221" t="s">
        <v>3046</v>
      </c>
      <c r="U221" s="81">
        <f>DATEVALUE(LEFT(F221,10))</f>
        <v>44863</v>
      </c>
    </row>
    <row r="222" spans="1:22" hidden="1">
      <c r="B222" s="56" t="s">
        <v>29</v>
      </c>
      <c r="C222" s="56" t="s">
        <v>3955</v>
      </c>
      <c r="D222" s="56" t="s">
        <v>22</v>
      </c>
      <c r="F222" s="56" t="s">
        <v>3956</v>
      </c>
      <c r="G222" s="56">
        <v>78</v>
      </c>
      <c r="H222" s="56">
        <v>52</v>
      </c>
      <c r="I222" s="58">
        <v>0.66666666666666663</v>
      </c>
      <c r="K222" s="56" t="s">
        <v>1893</v>
      </c>
      <c r="L222" s="56" t="s">
        <v>2942</v>
      </c>
      <c r="O222">
        <f>_xlfn.XLOOKUP(N222,'Error-codes'!$C$2:$C$130,'Error-codes'!$B$2:$B$130, "None")</f>
        <v>0</v>
      </c>
      <c r="P222" t="s">
        <v>3379</v>
      </c>
      <c r="Q222" t="s">
        <v>3379</v>
      </c>
      <c r="S222" t="s">
        <v>3379</v>
      </c>
      <c r="T222" t="s">
        <v>3379</v>
      </c>
      <c r="U222" s="81">
        <f>DATEVALUE(LEFT(F222,10))</f>
        <v>44863</v>
      </c>
      <c r="V222" t="s">
        <v>3379</v>
      </c>
    </row>
    <row r="223" spans="1:22" ht="76.5" hidden="1">
      <c r="A223" s="56" t="s">
        <v>3957</v>
      </c>
      <c r="B223" s="56" t="s">
        <v>29</v>
      </c>
      <c r="C223" s="56" t="s">
        <v>3958</v>
      </c>
      <c r="D223" s="56" t="s">
        <v>37</v>
      </c>
      <c r="E223" s="56" t="s">
        <v>3493</v>
      </c>
      <c r="F223" s="56" t="s">
        <v>3959</v>
      </c>
      <c r="G223" s="56">
        <v>140</v>
      </c>
      <c r="H223" s="56">
        <v>68</v>
      </c>
      <c r="I223" s="58">
        <v>0.48571428571428571</v>
      </c>
      <c r="J223" s="56" t="s">
        <v>429</v>
      </c>
      <c r="K223" s="56" t="s">
        <v>1873</v>
      </c>
      <c r="L223" s="56" t="s">
        <v>2942</v>
      </c>
      <c r="M223" s="56" t="str">
        <f>HYPERLINK("https://dribble.octin.io/?mode=Single+log&amp;log_id=95e34354-8879-465e-99d4-89fd96e4eb83","URL")</f>
        <v>URL</v>
      </c>
      <c r="N223" s="56" t="s">
        <v>3446</v>
      </c>
      <c r="O223" t="str">
        <f>_xlfn.XLOOKUP(N223,'Error-codes'!$C$2:$C$130,'Error-codes'!$B$2:$B$130, "None")</f>
        <v>end of lane wall sensor error</v>
      </c>
      <c r="P223" s="46" t="s">
        <v>3960</v>
      </c>
      <c r="Q223" s="51" t="s">
        <v>3961</v>
      </c>
      <c r="R223" s="51"/>
      <c r="S223" s="46" t="s">
        <v>3962</v>
      </c>
      <c r="U223" s="81">
        <f>DATEVALUE(LEFT(F223,10))</f>
        <v>44863</v>
      </c>
    </row>
    <row r="224" spans="1:22" hidden="1">
      <c r="B224" s="56" t="s">
        <v>295</v>
      </c>
      <c r="C224" s="56" t="s">
        <v>3963</v>
      </c>
      <c r="D224" s="56" t="s">
        <v>388</v>
      </c>
      <c r="F224" s="56" t="s">
        <v>3964</v>
      </c>
      <c r="G224" s="56">
        <v>2</v>
      </c>
      <c r="H224" s="56">
        <v>2</v>
      </c>
      <c r="I224" s="58">
        <v>1</v>
      </c>
      <c r="K224" s="56" t="s">
        <v>1873</v>
      </c>
      <c r="L224" s="56" t="s">
        <v>2942</v>
      </c>
      <c r="O224">
        <f>_xlfn.XLOOKUP(N224,'Error-codes'!$C$2:$C$130,'Error-codes'!$B$2:$B$130, "None")</f>
        <v>0</v>
      </c>
      <c r="P224" t="s">
        <v>3379</v>
      </c>
      <c r="Q224" t="s">
        <v>3379</v>
      </c>
      <c r="S224" t="s">
        <v>3379</v>
      </c>
      <c r="T224" t="s">
        <v>3379</v>
      </c>
      <c r="U224" s="81">
        <f>DATEVALUE(LEFT(F224,10))</f>
        <v>44864</v>
      </c>
      <c r="V224" t="s">
        <v>3379</v>
      </c>
    </row>
    <row r="225" spans="1:22" ht="76.5" hidden="1">
      <c r="A225" s="56" t="s">
        <v>3965</v>
      </c>
      <c r="B225" s="56" t="s">
        <v>295</v>
      </c>
      <c r="C225" s="56" t="s">
        <v>3966</v>
      </c>
      <c r="D225" s="56" t="s">
        <v>37</v>
      </c>
      <c r="E225" s="56" t="s">
        <v>3514</v>
      </c>
      <c r="F225" s="56" t="s">
        <v>3967</v>
      </c>
      <c r="G225" s="56">
        <v>140</v>
      </c>
      <c r="H225" s="56">
        <v>70</v>
      </c>
      <c r="I225" s="58">
        <v>0.5</v>
      </c>
      <c r="J225" s="56" t="s">
        <v>3968</v>
      </c>
      <c r="K225" s="56" t="s">
        <v>1873</v>
      </c>
      <c r="L225" s="56" t="s">
        <v>2942</v>
      </c>
      <c r="M225" s="56" t="str">
        <f>HYPERLINK("https://dribble.octin.io/?mode=Single+log&amp;log_id=ae0e17ee-71e4-45af-9425-3c023f4728bc","URL")</f>
        <v>URL</v>
      </c>
      <c r="N225" s="56" t="s">
        <v>3428</v>
      </c>
      <c r="O225" t="str">
        <f>_xlfn.XLOOKUP(N225,'Error-codes'!$C$2:$C$130,'Error-codes'!$B$2:$B$130, "None")</f>
        <v>received error from global planner while in {} state</v>
      </c>
      <c r="P225" s="46" t="s">
        <v>3969</v>
      </c>
      <c r="Q225" s="51" t="s">
        <v>3893</v>
      </c>
      <c r="R225" s="51"/>
      <c r="S225" s="46" t="s">
        <v>3962</v>
      </c>
      <c r="U225" s="81">
        <f>DATEVALUE(LEFT(F225,10))</f>
        <v>44864</v>
      </c>
    </row>
    <row r="226" spans="1:22" hidden="1">
      <c r="B226" s="56" t="s">
        <v>29</v>
      </c>
      <c r="C226" s="56" t="s">
        <v>3970</v>
      </c>
      <c r="D226" s="56" t="s">
        <v>388</v>
      </c>
      <c r="F226" s="56" t="s">
        <v>3971</v>
      </c>
      <c r="G226" s="56">
        <v>211</v>
      </c>
      <c r="H226" s="56">
        <v>211</v>
      </c>
      <c r="I226" s="58">
        <v>1</v>
      </c>
      <c r="K226" s="56" t="s">
        <v>1893</v>
      </c>
      <c r="L226" s="56" t="s">
        <v>2942</v>
      </c>
      <c r="O226">
        <f>_xlfn.XLOOKUP(N226,'Error-codes'!$C$2:$C$130,'Error-codes'!$B$2:$B$130, "None")</f>
        <v>0</v>
      </c>
      <c r="P226" t="s">
        <v>3379</v>
      </c>
      <c r="Q226" t="s">
        <v>3379</v>
      </c>
      <c r="S226" t="s">
        <v>3379</v>
      </c>
      <c r="T226" t="s">
        <v>3379</v>
      </c>
      <c r="U226" s="81">
        <f>DATEVALUE(LEFT(F226,10))</f>
        <v>44865</v>
      </c>
      <c r="V226" t="s">
        <v>3379</v>
      </c>
    </row>
    <row r="227" spans="1:22" ht="45.75" hidden="1">
      <c r="A227" t="s">
        <v>3038</v>
      </c>
      <c r="B227" s="56" t="s">
        <v>2886</v>
      </c>
      <c r="C227" s="56" t="s">
        <v>3039</v>
      </c>
      <c r="D227" s="56" t="s">
        <v>37</v>
      </c>
      <c r="E227" s="56" t="s">
        <v>2930</v>
      </c>
      <c r="F227" s="56" t="s">
        <v>3040</v>
      </c>
      <c r="G227" s="56">
        <v>101</v>
      </c>
      <c r="H227" s="56">
        <v>49</v>
      </c>
      <c r="I227" s="58">
        <v>0.48514851485148514</v>
      </c>
      <c r="J227" s="56" t="s">
        <v>2996</v>
      </c>
      <c r="K227" s="56" t="s">
        <v>2166</v>
      </c>
      <c r="L227" s="56" t="s">
        <v>2948</v>
      </c>
      <c r="M227" s="61" t="str">
        <f>HYPERLINK(CONCATENATE("https://dribble.octin.io/?mode=Single+log&amp;log_id=", $A227),"URL")</f>
        <v>URL</v>
      </c>
      <c r="N227" s="56" t="s">
        <v>2933</v>
      </c>
      <c r="O227" t="str">
        <f>_xlfn.XLOOKUP(N227,'Error-codes'!$C$2:$C$130,'Error-codes'!$B$2:$B$130, "None")</f>
        <v>inductive sensor error</v>
      </c>
      <c r="P227" s="46" t="s">
        <v>3041</v>
      </c>
      <c r="Q227" s="51" t="s">
        <v>3026</v>
      </c>
      <c r="R227" s="51"/>
      <c r="S227" s="46" t="s">
        <v>3042</v>
      </c>
      <c r="U227" s="81">
        <f>DATEVALUE(LEFT(F227,10))</f>
        <v>44865</v>
      </c>
      <c r="V227">
        <v>2</v>
      </c>
    </row>
    <row r="228" spans="1:22" ht="45.75" hidden="1">
      <c r="A228" s="50" t="s">
        <v>3034</v>
      </c>
      <c r="B228" s="56" t="s">
        <v>228</v>
      </c>
      <c r="C228" s="56" t="s">
        <v>3035</v>
      </c>
      <c r="D228" s="56" t="s">
        <v>37</v>
      </c>
      <c r="E228" s="56" t="s">
        <v>2930</v>
      </c>
      <c r="F228" s="56" t="s">
        <v>3036</v>
      </c>
      <c r="G228" s="56">
        <v>100</v>
      </c>
      <c r="H228" s="56">
        <v>6</v>
      </c>
      <c r="I228" s="58">
        <v>0.06</v>
      </c>
      <c r="J228" s="56" t="s">
        <v>3007</v>
      </c>
      <c r="K228" s="56" t="s">
        <v>2171</v>
      </c>
      <c r="L228" s="56" t="s">
        <v>2948</v>
      </c>
      <c r="M228" s="61" t="str">
        <f>HYPERLINK(CONCATENATE("https://dribble.octin.io/?mode=Single+log&amp;log_id=", $A228),"URL")</f>
        <v>URL</v>
      </c>
      <c r="N228" s="56" t="s">
        <v>2933</v>
      </c>
      <c r="O228" t="str">
        <f>_xlfn.XLOOKUP(N228,'Error-codes'!$C$2:$C$130,'Error-codes'!$B$2:$B$130, "None")</f>
        <v>inductive sensor error</v>
      </c>
      <c r="P228" s="46" t="s">
        <v>3037</v>
      </c>
      <c r="U228" s="81">
        <f>DATEVALUE(LEFT(F228,10))</f>
        <v>44865</v>
      </c>
    </row>
    <row r="229" spans="1:22" hidden="1">
      <c r="B229" s="56" t="s">
        <v>295</v>
      </c>
      <c r="C229" s="56" t="s">
        <v>3972</v>
      </c>
      <c r="D229" s="56" t="s">
        <v>37</v>
      </c>
      <c r="F229" s="56" t="s">
        <v>3973</v>
      </c>
      <c r="G229" s="56">
        <v>209</v>
      </c>
      <c r="H229" s="56">
        <v>0</v>
      </c>
      <c r="I229" s="58">
        <v>0</v>
      </c>
      <c r="K229" s="56" t="s">
        <v>1893</v>
      </c>
      <c r="L229" s="56" t="s">
        <v>2942</v>
      </c>
      <c r="O229">
        <f>_xlfn.XLOOKUP(N229,'Error-codes'!$C$2:$C$130,'Error-codes'!$B$2:$B$130, "None")</f>
        <v>0</v>
      </c>
      <c r="P229" t="s">
        <v>3379</v>
      </c>
      <c r="Q229" t="s">
        <v>3379</v>
      </c>
      <c r="S229" t="s">
        <v>3379</v>
      </c>
      <c r="T229" t="s">
        <v>3379</v>
      </c>
      <c r="U229" s="81">
        <f>DATEVALUE(LEFT(F229,10))</f>
        <v>44866</v>
      </c>
      <c r="V229" t="s">
        <v>3379</v>
      </c>
    </row>
    <row r="230" spans="1:22" hidden="1">
      <c r="B230" s="56" t="s">
        <v>228</v>
      </c>
      <c r="C230" s="56" t="s">
        <v>3974</v>
      </c>
      <c r="D230" s="56" t="s">
        <v>388</v>
      </c>
      <c r="F230" s="56" t="s">
        <v>3975</v>
      </c>
      <c r="G230" s="56">
        <v>48</v>
      </c>
      <c r="H230" s="56">
        <v>48</v>
      </c>
      <c r="I230" s="58">
        <v>1</v>
      </c>
      <c r="K230" s="56" t="s">
        <v>2166</v>
      </c>
      <c r="L230" s="56" t="s">
        <v>2948</v>
      </c>
      <c r="O230">
        <f>_xlfn.XLOOKUP(N230,'Error-codes'!$C$2:$C$130,'Error-codes'!$B$2:$B$130, "None")</f>
        <v>0</v>
      </c>
      <c r="P230" t="s">
        <v>3379</v>
      </c>
      <c r="Q230" t="s">
        <v>3379</v>
      </c>
      <c r="S230" t="s">
        <v>3379</v>
      </c>
      <c r="T230" t="s">
        <v>3379</v>
      </c>
      <c r="U230" s="81">
        <f>DATEVALUE(LEFT(F230,10))</f>
        <v>44866</v>
      </c>
      <c r="V230" t="s">
        <v>3379</v>
      </c>
    </row>
    <row r="231" spans="1:22" ht="45.75" hidden="1">
      <c r="A231" s="56" t="s">
        <v>3976</v>
      </c>
      <c r="B231" s="56" t="s">
        <v>29</v>
      </c>
      <c r="C231" s="56" t="s">
        <v>3977</v>
      </c>
      <c r="D231" s="56" t="s">
        <v>37</v>
      </c>
      <c r="E231" s="56" t="s">
        <v>3493</v>
      </c>
      <c r="F231" s="56" t="s">
        <v>3978</v>
      </c>
      <c r="G231" s="56">
        <v>138</v>
      </c>
      <c r="H231" s="56">
        <v>98</v>
      </c>
      <c r="I231" s="58">
        <v>0.71014492753623193</v>
      </c>
      <c r="J231" s="56" t="s">
        <v>3979</v>
      </c>
      <c r="K231" s="56" t="s">
        <v>1873</v>
      </c>
      <c r="L231" s="56" t="s">
        <v>2942</v>
      </c>
      <c r="M231" s="56" t="str">
        <f>HYPERLINK("https://dribble.octin.io/?mode=Single+log&amp;log_id=650a59b9-4b8f-4293-a422-d26642a1da6d","URL")</f>
        <v>URL</v>
      </c>
      <c r="N231" s="56" t="s">
        <v>3446</v>
      </c>
      <c r="O231" t="str">
        <f>_xlfn.XLOOKUP(N231,'Error-codes'!$C$2:$C$130,'Error-codes'!$B$2:$B$130, "None")</f>
        <v>end of lane wall sensor error</v>
      </c>
      <c r="P231" s="46" t="s">
        <v>3980</v>
      </c>
      <c r="U231" s="81">
        <f>DATEVALUE(LEFT(F231,10))</f>
        <v>44866</v>
      </c>
    </row>
    <row r="232" spans="1:22" hidden="1">
      <c r="B232" s="56" t="s">
        <v>29</v>
      </c>
      <c r="C232" s="56" t="s">
        <v>3981</v>
      </c>
      <c r="D232" s="56" t="s">
        <v>388</v>
      </c>
      <c r="F232" s="56" t="s">
        <v>3982</v>
      </c>
      <c r="G232" s="56">
        <v>13</v>
      </c>
      <c r="H232" s="56">
        <v>13</v>
      </c>
      <c r="I232" s="58">
        <v>1</v>
      </c>
      <c r="K232" s="56" t="s">
        <v>1873</v>
      </c>
      <c r="L232" s="56" t="s">
        <v>2942</v>
      </c>
      <c r="O232">
        <f>_xlfn.XLOOKUP(N232,'Error-codes'!$C$2:$C$130,'Error-codes'!$B$2:$B$130, "None")</f>
        <v>0</v>
      </c>
      <c r="P232" t="s">
        <v>3379</v>
      </c>
      <c r="Q232" t="s">
        <v>3379</v>
      </c>
      <c r="S232" t="s">
        <v>3379</v>
      </c>
      <c r="T232" t="s">
        <v>3379</v>
      </c>
      <c r="U232" s="81">
        <f>DATEVALUE(LEFT(F232,10))</f>
        <v>44867</v>
      </c>
      <c r="V232" t="s">
        <v>3379</v>
      </c>
    </row>
    <row r="233" spans="1:22" hidden="1">
      <c r="B233" s="56" t="s">
        <v>295</v>
      </c>
      <c r="C233" s="56" t="s">
        <v>3983</v>
      </c>
      <c r="D233" s="56" t="s">
        <v>388</v>
      </c>
      <c r="F233" s="56" t="s">
        <v>3984</v>
      </c>
      <c r="G233" s="56">
        <v>21</v>
      </c>
      <c r="H233" s="56">
        <v>21</v>
      </c>
      <c r="I233" s="58">
        <v>1</v>
      </c>
      <c r="K233" s="56" t="s">
        <v>1893</v>
      </c>
      <c r="L233" s="56" t="s">
        <v>2942</v>
      </c>
      <c r="O233">
        <f>_xlfn.XLOOKUP(N233,'Error-codes'!$C$2:$C$130,'Error-codes'!$B$2:$B$130, "None")</f>
        <v>0</v>
      </c>
      <c r="P233" t="s">
        <v>3379</v>
      </c>
      <c r="Q233" t="s">
        <v>3379</v>
      </c>
      <c r="S233" t="s">
        <v>3379</v>
      </c>
      <c r="T233" t="s">
        <v>3379</v>
      </c>
      <c r="U233" s="81">
        <f>DATEVALUE(LEFT(F233,10))</f>
        <v>44867</v>
      </c>
      <c r="V233" t="s">
        <v>3379</v>
      </c>
    </row>
    <row r="234" spans="1:22" ht="30.75" hidden="1">
      <c r="A234" s="50" t="s">
        <v>3985</v>
      </c>
      <c r="B234" s="56" t="s">
        <v>2886</v>
      </c>
      <c r="C234" s="56" t="s">
        <v>3986</v>
      </c>
      <c r="D234" s="56" t="s">
        <v>37</v>
      </c>
      <c r="E234" s="56" t="s">
        <v>2930</v>
      </c>
      <c r="F234" s="56" t="s">
        <v>3987</v>
      </c>
      <c r="G234" s="56">
        <v>100</v>
      </c>
      <c r="H234" s="56">
        <v>1</v>
      </c>
      <c r="I234" s="58">
        <v>0.01</v>
      </c>
      <c r="J234" s="56" t="s">
        <v>2202</v>
      </c>
      <c r="K234" s="56" t="s">
        <v>2166</v>
      </c>
      <c r="L234" s="56" t="s">
        <v>2948</v>
      </c>
      <c r="M234" s="61" t="str">
        <f>HYPERLINK(CONCATENATE("https://dribble.octin.io/?mode=Single+log&amp;log_id=", $A234),"URL")</f>
        <v>URL</v>
      </c>
      <c r="N234" s="56" t="s">
        <v>3458</v>
      </c>
      <c r="O234" t="str">
        <f>_xlfn.XLOOKUP(N234,'Error-codes'!$C$2:$C$130,'Error-codes'!$B$2:$B$130, "None")</f>
        <v>motor drive: UNDER VOLTAGE</v>
      </c>
      <c r="P234" s="46" t="s">
        <v>3988</v>
      </c>
      <c r="S234" s="46" t="s">
        <v>3989</v>
      </c>
      <c r="U234" s="81">
        <f>DATEVALUE(LEFT(F234,10))</f>
        <v>44867</v>
      </c>
    </row>
    <row r="235" spans="1:22" hidden="1">
      <c r="A235" s="56"/>
      <c r="B235" s="56" t="s">
        <v>228</v>
      </c>
      <c r="C235" s="56" t="s">
        <v>3990</v>
      </c>
      <c r="D235" s="56" t="s">
        <v>37</v>
      </c>
      <c r="E235" s="56" t="s">
        <v>2930</v>
      </c>
      <c r="F235" s="56" t="s">
        <v>3991</v>
      </c>
      <c r="G235" s="56">
        <v>86</v>
      </c>
      <c r="H235" s="56">
        <v>16</v>
      </c>
      <c r="I235" s="58">
        <v>0.18604651162790697</v>
      </c>
      <c r="J235" s="56" t="s">
        <v>3045</v>
      </c>
      <c r="K235" s="56" t="s">
        <v>2171</v>
      </c>
      <c r="L235" s="56" t="s">
        <v>2948</v>
      </c>
      <c r="M235" s="61"/>
      <c r="N235" s="56" t="s">
        <v>3448</v>
      </c>
      <c r="O235" t="str">
        <f>_xlfn.XLOOKUP(N235,'Error-codes'!$C$2:$C$130,'Error-codes'!$B$2:$B$130, "None")</f>
        <v>end of lane open sensor error</v>
      </c>
      <c r="P235" t="s">
        <v>3992</v>
      </c>
      <c r="U235" s="81">
        <f>DATEVALUE(LEFT(F235,10))</f>
        <v>44867</v>
      </c>
    </row>
    <row r="236" spans="1:22" hidden="1">
      <c r="B236" s="56" t="s">
        <v>295</v>
      </c>
      <c r="C236" s="56" t="s">
        <v>3993</v>
      </c>
      <c r="D236" s="56" t="s">
        <v>388</v>
      </c>
      <c r="F236" s="56" t="s">
        <v>3994</v>
      </c>
      <c r="G236" s="56">
        <v>3</v>
      </c>
      <c r="H236" s="56">
        <v>3</v>
      </c>
      <c r="I236" s="58">
        <v>1</v>
      </c>
      <c r="K236" s="56" t="s">
        <v>1893</v>
      </c>
      <c r="L236" s="56" t="s">
        <v>2942</v>
      </c>
      <c r="O236">
        <f>_xlfn.XLOOKUP(N236,'Error-codes'!$C$2:$C$130,'Error-codes'!$B$2:$B$130, "None")</f>
        <v>0</v>
      </c>
      <c r="U236" s="81">
        <f>DATEVALUE(LEFT(F236,10))</f>
        <v>44868</v>
      </c>
    </row>
    <row r="237" spans="1:22" hidden="1">
      <c r="B237" s="56" t="s">
        <v>3771</v>
      </c>
      <c r="C237" s="56" t="s">
        <v>3995</v>
      </c>
      <c r="D237" s="56" t="s">
        <v>388</v>
      </c>
      <c r="F237" s="56" t="s">
        <v>3996</v>
      </c>
      <c r="G237" s="56">
        <v>1</v>
      </c>
      <c r="H237" s="56">
        <v>1</v>
      </c>
      <c r="I237" s="58">
        <v>1</v>
      </c>
      <c r="K237" s="56" t="s">
        <v>3207</v>
      </c>
      <c r="L237" s="56" t="s">
        <v>3775</v>
      </c>
      <c r="O237">
        <f>_xlfn.XLOOKUP(N237,'Error-codes'!$C$2:$C$130,'Error-codes'!$B$2:$B$130, "None")</f>
        <v>0</v>
      </c>
      <c r="U237" s="81">
        <f>DATEVALUE(LEFT(F237,10))</f>
        <v>44868</v>
      </c>
    </row>
    <row r="238" spans="1:22" hidden="1">
      <c r="B238" s="56" t="s">
        <v>3771</v>
      </c>
      <c r="C238" s="56" t="s">
        <v>3997</v>
      </c>
      <c r="D238" s="56" t="s">
        <v>22</v>
      </c>
      <c r="F238" s="56" t="s">
        <v>3998</v>
      </c>
      <c r="G238" s="56">
        <v>2</v>
      </c>
      <c r="H238" s="56">
        <v>0</v>
      </c>
      <c r="I238" s="58">
        <v>0</v>
      </c>
      <c r="K238" s="56" t="s">
        <v>3207</v>
      </c>
      <c r="L238" s="56" t="s">
        <v>3775</v>
      </c>
      <c r="O238">
        <f>_xlfn.XLOOKUP(N238,'Error-codes'!$C$2:$C$130,'Error-codes'!$B$2:$B$130, "None")</f>
        <v>0</v>
      </c>
      <c r="U238" s="81">
        <f>DATEVALUE(LEFT(F238,10))</f>
        <v>44868</v>
      </c>
    </row>
    <row r="239" spans="1:22" hidden="1">
      <c r="B239" s="56" t="s">
        <v>3771</v>
      </c>
      <c r="C239" s="56" t="s">
        <v>3999</v>
      </c>
      <c r="D239" s="56" t="s">
        <v>388</v>
      </c>
      <c r="F239" s="56" t="s">
        <v>4000</v>
      </c>
      <c r="G239" s="56">
        <v>2</v>
      </c>
      <c r="H239" s="56">
        <v>2</v>
      </c>
      <c r="I239" s="58">
        <v>1</v>
      </c>
      <c r="K239" s="56" t="s">
        <v>3207</v>
      </c>
      <c r="L239" s="56" t="s">
        <v>3775</v>
      </c>
      <c r="O239">
        <f>_xlfn.XLOOKUP(N239,'Error-codes'!$C$2:$C$130,'Error-codes'!$B$2:$B$130, "None")</f>
        <v>0</v>
      </c>
      <c r="U239" s="81">
        <f>DATEVALUE(LEFT(F239,10))</f>
        <v>44868</v>
      </c>
    </row>
    <row r="240" spans="1:22" hidden="1">
      <c r="A240" s="56"/>
      <c r="B240" s="56" t="s">
        <v>3771</v>
      </c>
      <c r="C240" s="56" t="s">
        <v>4001</v>
      </c>
      <c r="D240" s="56" t="s">
        <v>37</v>
      </c>
      <c r="E240" s="56" t="s">
        <v>3776</v>
      </c>
      <c r="F240" s="56" t="s">
        <v>4002</v>
      </c>
      <c r="G240" s="56">
        <v>4</v>
      </c>
      <c r="H240" s="56">
        <v>2</v>
      </c>
      <c r="I240" s="58">
        <v>0.5</v>
      </c>
      <c r="J240" s="56" t="s">
        <v>4003</v>
      </c>
      <c r="K240" s="56" t="s">
        <v>3207</v>
      </c>
      <c r="L240" s="56" t="s">
        <v>3775</v>
      </c>
      <c r="N240" s="56" t="s">
        <v>3458</v>
      </c>
      <c r="O240" t="str">
        <f>_xlfn.XLOOKUP(N240,'Error-codes'!$C$2:$C$130,'Error-codes'!$B$2:$B$130, "None")</f>
        <v>motor drive: UNDER VOLTAGE</v>
      </c>
      <c r="U240" s="81">
        <f>DATEVALUE(LEFT(F240,10))</f>
        <v>44868</v>
      </c>
    </row>
    <row r="241" spans="1:21" hidden="1">
      <c r="B241" s="56" t="s">
        <v>2886</v>
      </c>
      <c r="C241" s="56" t="s">
        <v>4004</v>
      </c>
      <c r="D241" s="56" t="s">
        <v>22</v>
      </c>
      <c r="F241" s="56" t="s">
        <v>4005</v>
      </c>
      <c r="G241" s="56">
        <v>86</v>
      </c>
      <c r="H241" s="56">
        <v>0</v>
      </c>
      <c r="I241" s="58">
        <v>0</v>
      </c>
      <c r="K241" s="56" t="s">
        <v>2171</v>
      </c>
      <c r="L241" s="56" t="s">
        <v>2948</v>
      </c>
      <c r="M241" s="61"/>
      <c r="O241">
        <f>_xlfn.XLOOKUP(N241,'Error-codes'!$C$2:$C$130,'Error-codes'!$B$2:$B$130, "None")</f>
        <v>0</v>
      </c>
      <c r="U241" s="81">
        <f>DATEVALUE(LEFT(F241,10))</f>
        <v>44868</v>
      </c>
    </row>
    <row r="242" spans="1:21" ht="45.75" hidden="1">
      <c r="A242" s="69" t="s">
        <v>4006</v>
      </c>
      <c r="B242" s="56" t="s">
        <v>2886</v>
      </c>
      <c r="C242" s="56" t="s">
        <v>4007</v>
      </c>
      <c r="D242" s="56" t="s">
        <v>37</v>
      </c>
      <c r="E242" s="56" t="s">
        <v>2930</v>
      </c>
      <c r="F242" s="56" t="s">
        <v>4008</v>
      </c>
      <c r="G242" s="56">
        <v>86</v>
      </c>
      <c r="H242" s="56">
        <v>37</v>
      </c>
      <c r="I242" s="58">
        <v>0.43023255813953487</v>
      </c>
      <c r="J242" s="56" t="s">
        <v>3856</v>
      </c>
      <c r="K242" s="56" t="s">
        <v>2171</v>
      </c>
      <c r="L242" s="56" t="s">
        <v>2948</v>
      </c>
      <c r="M242" s="61" t="str">
        <f>HYPERLINK(CONCATENATE("https://dribble.octin.io/?mode=Single+log&amp;log_id=", $A242),"URL")</f>
        <v>URL</v>
      </c>
      <c r="N242" s="56" t="s">
        <v>3458</v>
      </c>
      <c r="O242" t="str">
        <f>_xlfn.XLOOKUP(N242,'Error-codes'!$C$2:$C$130,'Error-codes'!$B$2:$B$130, "None")</f>
        <v>motor drive: UNDER VOLTAGE</v>
      </c>
      <c r="P242" s="46" t="s">
        <v>4009</v>
      </c>
      <c r="U242" s="81">
        <f>DATEVALUE(LEFT(F242,10))</f>
        <v>44868</v>
      </c>
    </row>
    <row r="243" spans="1:21" hidden="1">
      <c r="A243" s="56"/>
      <c r="B243" s="56" t="s">
        <v>228</v>
      </c>
      <c r="C243" s="56" t="s">
        <v>4010</v>
      </c>
      <c r="D243" s="56" t="s">
        <v>37</v>
      </c>
      <c r="E243" s="56" t="s">
        <v>2930</v>
      </c>
      <c r="F243" s="56" t="s">
        <v>4011</v>
      </c>
      <c r="G243" s="56">
        <v>101</v>
      </c>
      <c r="H243" s="56">
        <v>51</v>
      </c>
      <c r="I243" s="58">
        <v>0.50495049504950495</v>
      </c>
      <c r="J243" s="56" t="s">
        <v>4012</v>
      </c>
      <c r="K243" s="56" t="s">
        <v>2166</v>
      </c>
      <c r="L243" s="56" t="s">
        <v>2948</v>
      </c>
      <c r="M243" s="61"/>
      <c r="N243" s="56" t="s">
        <v>3458</v>
      </c>
      <c r="O243" t="str">
        <f>_xlfn.XLOOKUP(N243,'Error-codes'!$C$2:$C$130,'Error-codes'!$B$2:$B$130, "None")</f>
        <v>motor drive: UNDER VOLTAGE</v>
      </c>
      <c r="P243" t="s">
        <v>3046</v>
      </c>
      <c r="U243" s="81">
        <f>DATEVALUE(LEFT(F243,10))</f>
        <v>44868</v>
      </c>
    </row>
    <row r="244" spans="1:21" ht="30.75" hidden="1">
      <c r="A244" s="56" t="s">
        <v>3047</v>
      </c>
      <c r="B244" s="56" t="s">
        <v>2886</v>
      </c>
      <c r="C244" s="56" t="s">
        <v>3048</v>
      </c>
      <c r="D244" s="56" t="s">
        <v>37</v>
      </c>
      <c r="E244" s="56" t="s">
        <v>2930</v>
      </c>
      <c r="F244" s="56" t="s">
        <v>3049</v>
      </c>
      <c r="G244" s="56">
        <v>100</v>
      </c>
      <c r="H244" s="56">
        <v>0</v>
      </c>
      <c r="I244" s="58">
        <v>0</v>
      </c>
      <c r="J244" s="56" t="s">
        <v>3050</v>
      </c>
      <c r="K244" s="56" t="s">
        <v>2171</v>
      </c>
      <c r="L244" s="56" t="s">
        <v>2948</v>
      </c>
      <c r="M244" s="56" t="str">
        <f>HYPERLINK("https://dribble.octin.io/?mode=Single+log&amp;log_id=0ecbc239-6539-46a5-ab52-6b43e38895e4","URL")</f>
        <v>URL</v>
      </c>
      <c r="N244" s="56" t="s">
        <v>2933</v>
      </c>
      <c r="O244" t="str">
        <f>_xlfn.XLOOKUP(N244,'Error-codes'!$C$2:$C$130,'Error-codes'!$B$2:$B$130, "None")</f>
        <v>inductive sensor error</v>
      </c>
      <c r="P244" s="46" t="s">
        <v>3051</v>
      </c>
      <c r="U244" s="81">
        <f>DATEVALUE(LEFT(F244,10))</f>
        <v>44869</v>
      </c>
    </row>
    <row r="245" spans="1:21" hidden="1">
      <c r="A245" s="56"/>
      <c r="B245" s="56" t="s">
        <v>228</v>
      </c>
      <c r="C245" s="56" t="s">
        <v>3043</v>
      </c>
      <c r="D245" s="56" t="s">
        <v>37</v>
      </c>
      <c r="E245" s="56" t="s">
        <v>2930</v>
      </c>
      <c r="F245" s="56" t="s">
        <v>3044</v>
      </c>
      <c r="G245" s="56">
        <v>81</v>
      </c>
      <c r="H245" s="56">
        <v>11</v>
      </c>
      <c r="I245" s="58">
        <v>0.13580246913580246</v>
      </c>
      <c r="J245" s="56" t="s">
        <v>3045</v>
      </c>
      <c r="K245" s="56" t="s">
        <v>2171</v>
      </c>
      <c r="L245" s="56" t="s">
        <v>2948</v>
      </c>
      <c r="N245" s="56" t="s">
        <v>2933</v>
      </c>
      <c r="O245" t="str">
        <f>_xlfn.XLOOKUP(N245,'Error-codes'!$C$2:$C$130,'Error-codes'!$B$2:$B$130, "None")</f>
        <v>inductive sensor error</v>
      </c>
      <c r="P245" t="s">
        <v>3046</v>
      </c>
      <c r="U245" s="81">
        <f>DATEVALUE(LEFT(F245,10))</f>
        <v>44869</v>
      </c>
    </row>
    <row r="246" spans="1:21" ht="45.75" hidden="1">
      <c r="A246" t="s">
        <v>4013</v>
      </c>
      <c r="B246" s="56" t="s">
        <v>2886</v>
      </c>
      <c r="C246" s="56" t="s">
        <v>4014</v>
      </c>
      <c r="D246" s="56" t="s">
        <v>37</v>
      </c>
      <c r="E246" s="56" t="s">
        <v>2930</v>
      </c>
      <c r="F246" s="56" t="s">
        <v>4015</v>
      </c>
      <c r="G246" s="56">
        <v>99</v>
      </c>
      <c r="H246" s="56">
        <v>98</v>
      </c>
      <c r="I246" s="58">
        <v>0.98989898989898994</v>
      </c>
      <c r="J246" s="56" t="s">
        <v>4016</v>
      </c>
      <c r="K246" s="56" t="s">
        <v>2166</v>
      </c>
      <c r="L246" s="56" t="s">
        <v>2948</v>
      </c>
      <c r="M246" s="61" t="str">
        <f>HYPERLINK(CONCATENATE("https://dribble.octin.io/?mode=Single+log&amp;log_id=", $A246),"URL")</f>
        <v>URL</v>
      </c>
      <c r="N246" s="56" t="s">
        <v>3460</v>
      </c>
      <c r="O246" t="str">
        <f>_xlfn.XLOOKUP(N246,'Error-codes'!$C$2:$C$130,'Error-codes'!$B$2:$B$130, "None")</f>
        <v>motor drive: DRV8353 FAULT</v>
      </c>
      <c r="P246" s="46" t="s">
        <v>4017</v>
      </c>
      <c r="U246" s="81">
        <f>DATEVALUE(LEFT(F246,10))</f>
        <v>44870</v>
      </c>
    </row>
    <row r="247" spans="1:21" hidden="1">
      <c r="B247" s="56" t="s">
        <v>2886</v>
      </c>
      <c r="C247" s="56" t="s">
        <v>4018</v>
      </c>
      <c r="D247" s="56"/>
      <c r="F247" s="56" t="s">
        <v>4019</v>
      </c>
      <c r="G247" s="56">
        <v>201</v>
      </c>
      <c r="H247" s="56">
        <v>0</v>
      </c>
      <c r="I247" s="58">
        <v>0</v>
      </c>
      <c r="K247" s="56" t="s">
        <v>2166</v>
      </c>
      <c r="L247" s="56" t="s">
        <v>2932</v>
      </c>
      <c r="O247">
        <f>_xlfn.XLOOKUP(N247,'Error-codes'!$C$2:$C$130,'Error-codes'!$B$2:$B$130, "None")</f>
        <v>0</v>
      </c>
      <c r="U247" s="81">
        <f>DATEVALUE(LEFT(F247,10))</f>
        <v>44870</v>
      </c>
    </row>
    <row r="248" spans="1:21" hidden="1">
      <c r="B248" s="56" t="s">
        <v>29</v>
      </c>
      <c r="C248" s="56" t="s">
        <v>4020</v>
      </c>
      <c r="D248" s="56"/>
      <c r="F248" s="56" t="s">
        <v>4021</v>
      </c>
      <c r="G248" s="56">
        <v>205</v>
      </c>
      <c r="H248" s="56">
        <v>93</v>
      </c>
      <c r="I248" s="58">
        <v>0.45365853658536587</v>
      </c>
      <c r="K248" s="56" t="s">
        <v>1893</v>
      </c>
      <c r="L248" s="56" t="s">
        <v>2942</v>
      </c>
      <c r="O248">
        <f>_xlfn.XLOOKUP(N248,'Error-codes'!$C$2:$C$130,'Error-codes'!$B$2:$B$130, "None")</f>
        <v>0</v>
      </c>
      <c r="U248" s="81">
        <f>DATEVALUE(LEFT(F248,10))</f>
        <v>44870</v>
      </c>
    </row>
    <row r="249" spans="1:21" ht="45.75" hidden="1">
      <c r="A249" s="56" t="s">
        <v>3052</v>
      </c>
      <c r="B249" s="56" t="s">
        <v>228</v>
      </c>
      <c r="C249" s="56" t="s">
        <v>3053</v>
      </c>
      <c r="D249" s="56" t="s">
        <v>37</v>
      </c>
      <c r="E249" s="56" t="s">
        <v>2930</v>
      </c>
      <c r="F249" s="56" t="s">
        <v>3054</v>
      </c>
      <c r="G249" s="56">
        <v>179</v>
      </c>
      <c r="H249" s="56">
        <v>16</v>
      </c>
      <c r="I249" s="58">
        <v>8.9385474860335198E-2</v>
      </c>
      <c r="J249" s="56" t="s">
        <v>3055</v>
      </c>
      <c r="K249" s="56" t="s">
        <v>2171</v>
      </c>
      <c r="L249" s="56" t="s">
        <v>2932</v>
      </c>
      <c r="M249" s="56" t="str">
        <f>HYPERLINK("https://dribble.octin.io/?mode=Single+log&amp;log_id=a5286539-9c77-4108-8963-9ef7e86bd3e7","URL")</f>
        <v>URL</v>
      </c>
      <c r="N249" s="56" t="s">
        <v>2933</v>
      </c>
      <c r="O249" t="str">
        <f>_xlfn.XLOOKUP(N249,'Error-codes'!$C$2:$C$130,'Error-codes'!$B$2:$B$130, "None")</f>
        <v>inductive sensor error</v>
      </c>
      <c r="P249" s="46" t="s">
        <v>3037</v>
      </c>
      <c r="U249" s="81">
        <f>DATEVALUE(LEFT(F249,10))</f>
        <v>44870</v>
      </c>
    </row>
    <row r="250" spans="1:21" hidden="1">
      <c r="A250" s="56" t="s">
        <v>3052</v>
      </c>
      <c r="B250" s="56" t="s">
        <v>228</v>
      </c>
      <c r="C250" s="56" t="s">
        <v>3990</v>
      </c>
      <c r="D250" s="56" t="s">
        <v>37</v>
      </c>
      <c r="E250" s="56" t="s">
        <v>2930</v>
      </c>
      <c r="F250" s="56" t="s">
        <v>3054</v>
      </c>
      <c r="G250" s="56">
        <v>86</v>
      </c>
      <c r="H250" s="56">
        <v>16</v>
      </c>
      <c r="I250" s="58">
        <v>0.18604651162790697</v>
      </c>
      <c r="J250" s="56" t="s">
        <v>3045</v>
      </c>
      <c r="K250" s="56" t="s">
        <v>2171</v>
      </c>
      <c r="L250" s="56" t="s">
        <v>2948</v>
      </c>
      <c r="M250" s="56" t="str">
        <f>HYPERLINK("https://dribble.octin.io/?mode=Single+log&amp;log_id=a5286539-9c77-4108-8963-9ef7e86bd3e7","URL")</f>
        <v>URL</v>
      </c>
      <c r="N250" s="56" t="s">
        <v>3448</v>
      </c>
      <c r="O250" t="str">
        <f>_xlfn.XLOOKUP(N250,'Error-codes'!$C$2:$C$130,'Error-codes'!$B$2:$B$130, "None")</f>
        <v>end of lane open sensor error</v>
      </c>
      <c r="P250" t="s">
        <v>4022</v>
      </c>
      <c r="U250" s="81">
        <f>DATEVALUE(LEFT(F250,10))</f>
        <v>44870</v>
      </c>
    </row>
    <row r="251" spans="1:21" hidden="1">
      <c r="A251" s="56" t="s">
        <v>4023</v>
      </c>
      <c r="B251" s="56" t="s">
        <v>2886</v>
      </c>
      <c r="C251" s="56" t="s">
        <v>4024</v>
      </c>
      <c r="D251" s="56" t="s">
        <v>37</v>
      </c>
      <c r="E251" s="56" t="s">
        <v>2930</v>
      </c>
      <c r="F251" s="56" t="s">
        <v>4025</v>
      </c>
      <c r="G251" s="56">
        <v>201</v>
      </c>
      <c r="H251" s="56">
        <v>51</v>
      </c>
      <c r="I251" s="58">
        <v>0.2537313432835821</v>
      </c>
      <c r="J251" s="56" t="s">
        <v>4026</v>
      </c>
      <c r="K251" s="56" t="s">
        <v>2166</v>
      </c>
      <c r="L251" s="56" t="s">
        <v>2932</v>
      </c>
      <c r="M251" s="56" t="str">
        <f>HYPERLINK("https://dribble.octin.io/?mode=Single+log&amp;log_id=77d97b75-47a2-4571-8879-bfd112ce5915","URL")</f>
        <v>URL</v>
      </c>
      <c r="N251" s="56" t="s">
        <v>3458</v>
      </c>
      <c r="O251" t="str">
        <f>_xlfn.XLOOKUP(N251,'Error-codes'!$C$2:$C$130,'Error-codes'!$B$2:$B$130, "None")</f>
        <v>motor drive: UNDER VOLTAGE</v>
      </c>
      <c r="P251" t="s">
        <v>4027</v>
      </c>
      <c r="U251" s="81">
        <f>DATEVALUE(LEFT(F251,10))</f>
        <v>44870</v>
      </c>
    </row>
    <row r="252" spans="1:21" ht="45.75" hidden="1">
      <c r="A252" s="56" t="s">
        <v>4028</v>
      </c>
      <c r="B252" s="56" t="s">
        <v>295</v>
      </c>
      <c r="C252" s="56" t="s">
        <v>4029</v>
      </c>
      <c r="D252" s="56" t="s">
        <v>37</v>
      </c>
      <c r="E252" s="56" t="s">
        <v>3493</v>
      </c>
      <c r="F252" s="56" t="s">
        <v>4030</v>
      </c>
      <c r="G252" s="56">
        <v>138</v>
      </c>
      <c r="H252" s="56">
        <v>119</v>
      </c>
      <c r="I252" s="58">
        <v>0.8623188405797102</v>
      </c>
      <c r="J252" s="56" t="s">
        <v>466</v>
      </c>
      <c r="K252" s="56" t="s">
        <v>1873</v>
      </c>
      <c r="L252" s="56" t="s">
        <v>2942</v>
      </c>
      <c r="M252" s="56" t="str">
        <f>HYPERLINK("https://dribble.octin.io/?mode=Single+log&amp;log_id=fc12c2ed-bcf0-4d12-87bb-09ad07cc658a","URL")</f>
        <v>URL</v>
      </c>
      <c r="N252" s="56" t="s">
        <v>3446</v>
      </c>
      <c r="O252" t="str">
        <f>_xlfn.XLOOKUP(N252,'Error-codes'!$C$2:$C$130,'Error-codes'!$B$2:$B$130, "None")</f>
        <v>end of lane wall sensor error</v>
      </c>
      <c r="P252" s="46" t="s">
        <v>3980</v>
      </c>
      <c r="U252" s="81">
        <f>DATEVALUE(LEFT(F252,10))</f>
        <v>44871</v>
      </c>
    </row>
    <row r="253" spans="1:21" hidden="1">
      <c r="B253" s="56" t="s">
        <v>29</v>
      </c>
      <c r="C253" s="56" t="s">
        <v>4031</v>
      </c>
      <c r="D253" s="56" t="s">
        <v>37</v>
      </c>
      <c r="F253" s="56" t="s">
        <v>4032</v>
      </c>
      <c r="G253" s="56">
        <v>111</v>
      </c>
      <c r="H253" s="56">
        <v>0</v>
      </c>
      <c r="I253" s="58">
        <v>0</v>
      </c>
      <c r="K253" s="56" t="s">
        <v>1893</v>
      </c>
      <c r="L253" s="56" t="s">
        <v>2942</v>
      </c>
      <c r="O253">
        <f>_xlfn.XLOOKUP(N253,'Error-codes'!$C$2:$C$130,'Error-codes'!$B$2:$B$130, "None")</f>
        <v>0</v>
      </c>
      <c r="U253" s="81">
        <f>DATEVALUE(LEFT(F253,10))</f>
        <v>44871</v>
      </c>
    </row>
    <row r="254" spans="1:21" hidden="1">
      <c r="B254" s="56" t="s">
        <v>295</v>
      </c>
      <c r="C254" s="56" t="s">
        <v>4033</v>
      </c>
      <c r="D254" s="56" t="s">
        <v>388</v>
      </c>
      <c r="F254" s="56" t="s">
        <v>4034</v>
      </c>
      <c r="G254" s="56">
        <v>19</v>
      </c>
      <c r="H254" s="56">
        <v>19</v>
      </c>
      <c r="I254" s="58">
        <v>1</v>
      </c>
      <c r="K254" s="56" t="s">
        <v>1873</v>
      </c>
      <c r="L254" s="56" t="s">
        <v>2942</v>
      </c>
      <c r="O254">
        <f>_xlfn.XLOOKUP(N254,'Error-codes'!$C$2:$C$130,'Error-codes'!$B$2:$B$130, "None")</f>
        <v>0</v>
      </c>
      <c r="U254" s="81">
        <f>DATEVALUE(LEFT(F254,10))</f>
        <v>44871</v>
      </c>
    </row>
    <row r="255" spans="1:21" ht="45.75" hidden="1">
      <c r="A255" s="56" t="s">
        <v>3056</v>
      </c>
      <c r="B255" s="56" t="s">
        <v>228</v>
      </c>
      <c r="C255" s="56" t="s">
        <v>3057</v>
      </c>
      <c r="D255" s="56" t="s">
        <v>37</v>
      </c>
      <c r="E255" s="56" t="s">
        <v>2930</v>
      </c>
      <c r="F255" s="56" t="s">
        <v>3058</v>
      </c>
      <c r="G255" s="56">
        <v>102</v>
      </c>
      <c r="H255" s="56">
        <v>40</v>
      </c>
      <c r="I255" s="58">
        <v>0.39215686274509803</v>
      </c>
      <c r="J255" s="56" t="s">
        <v>3055</v>
      </c>
      <c r="K255" s="56" t="s">
        <v>2171</v>
      </c>
      <c r="L255" s="56" t="s">
        <v>2932</v>
      </c>
      <c r="M255" s="56" t="str">
        <f>HYPERLINK("https://dribble.octin.io/?mode=Single+log&amp;log_id=83fe28cb-f872-484f-8076-bb783fbd7807","URL")</f>
        <v>URL</v>
      </c>
      <c r="N255" s="56" t="s">
        <v>2933</v>
      </c>
      <c r="O255" t="str">
        <f>_xlfn.XLOOKUP(N255,'Error-codes'!$C$2:$C$130,'Error-codes'!$B$2:$B$130, "None")</f>
        <v>inductive sensor error</v>
      </c>
      <c r="P255" s="47" t="s">
        <v>3037</v>
      </c>
      <c r="U255" s="81">
        <f>DATEVALUE(LEFT(F255,10))</f>
        <v>44871</v>
      </c>
    </row>
    <row r="256" spans="1:21" hidden="1">
      <c r="B256" s="56" t="s">
        <v>29</v>
      </c>
      <c r="C256" s="56" t="s">
        <v>4035</v>
      </c>
      <c r="D256" s="56" t="s">
        <v>388</v>
      </c>
      <c r="F256" s="56" t="s">
        <v>4036</v>
      </c>
      <c r="G256" s="56">
        <v>110</v>
      </c>
      <c r="H256" s="56">
        <v>110</v>
      </c>
      <c r="I256" s="58">
        <v>1</v>
      </c>
      <c r="K256" s="56" t="s">
        <v>1893</v>
      </c>
      <c r="L256" s="56" t="s">
        <v>2942</v>
      </c>
      <c r="O256">
        <f>_xlfn.XLOOKUP(N256,'Error-codes'!$C$2:$C$130,'Error-codes'!$B$2:$B$130, "None")</f>
        <v>0</v>
      </c>
      <c r="U256" s="81">
        <f>DATEVALUE(LEFT(F256,10))</f>
        <v>44872</v>
      </c>
    </row>
    <row r="257" spans="1:21" ht="60.75" hidden="1">
      <c r="A257" s="56" t="s">
        <v>4037</v>
      </c>
      <c r="B257" s="56" t="s">
        <v>2886</v>
      </c>
      <c r="C257" s="56" t="s">
        <v>4038</v>
      </c>
      <c r="D257" s="56" t="s">
        <v>37</v>
      </c>
      <c r="E257" s="56" t="s">
        <v>2930</v>
      </c>
      <c r="F257" s="56" t="s">
        <v>4039</v>
      </c>
      <c r="G257" s="56">
        <v>102</v>
      </c>
      <c r="H257" s="56">
        <v>101</v>
      </c>
      <c r="I257" s="58">
        <v>0.99019607843137258</v>
      </c>
      <c r="J257" s="56" t="s">
        <v>4040</v>
      </c>
      <c r="K257" s="56" t="s">
        <v>2171</v>
      </c>
      <c r="L257" s="56" t="s">
        <v>2948</v>
      </c>
      <c r="M257" s="61" t="str">
        <f>HYPERLINK(CONCATENATE("https://dribble.octin.io/?mode=Single+log&amp;log_id=", $A257),"URL")</f>
        <v>URL</v>
      </c>
      <c r="N257" s="56" t="s">
        <v>3458</v>
      </c>
      <c r="O257" t="str">
        <f>_xlfn.XLOOKUP(N257,'Error-codes'!$C$2:$C$130,'Error-codes'!$B$2:$B$130, "None")</f>
        <v>motor drive: UNDER VOLTAGE</v>
      </c>
      <c r="P257" s="46" t="s">
        <v>4041</v>
      </c>
      <c r="U257" s="81">
        <f>DATEVALUE(LEFT(F257,10))</f>
        <v>44872</v>
      </c>
    </row>
    <row r="258" spans="1:21" hidden="1">
      <c r="B258" s="56" t="s">
        <v>29</v>
      </c>
      <c r="C258" s="56" t="s">
        <v>4042</v>
      </c>
      <c r="D258" s="56"/>
      <c r="F258" s="56" t="s">
        <v>4043</v>
      </c>
      <c r="G258" s="56">
        <v>205</v>
      </c>
      <c r="H258" s="56">
        <v>190</v>
      </c>
      <c r="I258" s="58">
        <v>0.92682926829268297</v>
      </c>
      <c r="K258" s="56" t="s">
        <v>1893</v>
      </c>
      <c r="L258" s="56" t="s">
        <v>2942</v>
      </c>
      <c r="O258">
        <f>_xlfn.XLOOKUP(N258,'Error-codes'!$C$2:$C$130,'Error-codes'!$B$2:$B$130, "None")</f>
        <v>0</v>
      </c>
      <c r="U258" s="81">
        <f>DATEVALUE(LEFT(F258,10))</f>
        <v>44872</v>
      </c>
    </row>
    <row r="259" spans="1:21" hidden="1">
      <c r="B259" s="56" t="s">
        <v>295</v>
      </c>
      <c r="C259" s="56" t="s">
        <v>4044</v>
      </c>
      <c r="D259" s="56" t="s">
        <v>388</v>
      </c>
      <c r="F259" s="56" t="s">
        <v>4045</v>
      </c>
      <c r="G259" s="56">
        <v>138</v>
      </c>
      <c r="H259" s="56">
        <v>138</v>
      </c>
      <c r="I259" s="58">
        <v>1</v>
      </c>
      <c r="K259" s="56" t="s">
        <v>1873</v>
      </c>
      <c r="L259" s="56" t="s">
        <v>2942</v>
      </c>
      <c r="O259">
        <f>_xlfn.XLOOKUP(N259,'Error-codes'!$C$2:$C$130,'Error-codes'!$B$2:$B$130, "None")</f>
        <v>0</v>
      </c>
      <c r="U259" s="81">
        <f>DATEVALUE(LEFT(F259,10))</f>
        <v>44873</v>
      </c>
    </row>
    <row r="260" spans="1:21" hidden="1">
      <c r="B260" s="56" t="s">
        <v>295</v>
      </c>
      <c r="C260" s="56" t="s">
        <v>4046</v>
      </c>
      <c r="D260" s="56" t="s">
        <v>388</v>
      </c>
      <c r="F260" s="56" t="s">
        <v>4047</v>
      </c>
      <c r="G260" s="56">
        <v>8</v>
      </c>
      <c r="H260" s="56">
        <v>8</v>
      </c>
      <c r="I260" s="58">
        <v>1</v>
      </c>
      <c r="K260" s="56" t="s">
        <v>1873</v>
      </c>
      <c r="L260" s="56" t="s">
        <v>2942</v>
      </c>
      <c r="O260">
        <f>_xlfn.XLOOKUP(N260,'Error-codes'!$C$2:$C$130,'Error-codes'!$B$2:$B$130, "None")</f>
        <v>0</v>
      </c>
      <c r="U260" s="81">
        <f>DATEVALUE(LEFT(F260,10))</f>
        <v>44873</v>
      </c>
    </row>
    <row r="261" spans="1:21" hidden="1">
      <c r="B261" s="56" t="s">
        <v>29</v>
      </c>
      <c r="C261" s="56" t="s">
        <v>4048</v>
      </c>
      <c r="D261" s="56" t="s">
        <v>388</v>
      </c>
      <c r="F261" s="56" t="s">
        <v>4049</v>
      </c>
      <c r="G261" s="56">
        <v>6</v>
      </c>
      <c r="H261" s="56">
        <v>6</v>
      </c>
      <c r="I261" s="58">
        <v>1</v>
      </c>
      <c r="K261" s="56" t="s">
        <v>1893</v>
      </c>
      <c r="L261" s="56" t="s">
        <v>2942</v>
      </c>
      <c r="O261">
        <f>_xlfn.XLOOKUP(N261,'Error-codes'!$C$2:$C$130,'Error-codes'!$B$2:$B$130, "None")</f>
        <v>0</v>
      </c>
      <c r="U261" s="81">
        <f>DATEVALUE(LEFT(F261,10))</f>
        <v>44873</v>
      </c>
    </row>
    <row r="262" spans="1:21" hidden="1">
      <c r="B262" s="56" t="s">
        <v>29</v>
      </c>
      <c r="C262" s="56" t="s">
        <v>4050</v>
      </c>
      <c r="D262" s="56" t="s">
        <v>388</v>
      </c>
      <c r="F262" s="56" t="s">
        <v>4051</v>
      </c>
      <c r="G262" s="56">
        <v>8</v>
      </c>
      <c r="H262" s="56">
        <v>8</v>
      </c>
      <c r="I262" s="58">
        <v>1</v>
      </c>
      <c r="K262" s="56" t="s">
        <v>1893</v>
      </c>
      <c r="L262" s="56" t="s">
        <v>2942</v>
      </c>
      <c r="O262">
        <f>_xlfn.XLOOKUP(N262,'Error-codes'!$C$2:$C$130,'Error-codes'!$B$2:$B$130, "None")</f>
        <v>0</v>
      </c>
      <c r="U262" s="81">
        <f>DATEVALUE(LEFT(F262,10))</f>
        <v>44873</v>
      </c>
    </row>
    <row r="263" spans="1:21" hidden="1">
      <c r="B263" s="56" t="s">
        <v>29</v>
      </c>
      <c r="C263" s="56" t="s">
        <v>4052</v>
      </c>
      <c r="D263" s="56" t="s">
        <v>388</v>
      </c>
      <c r="F263" s="56" t="s">
        <v>4053</v>
      </c>
      <c r="G263" s="56">
        <v>9</v>
      </c>
      <c r="H263" s="56">
        <v>9</v>
      </c>
      <c r="I263" s="58">
        <v>1</v>
      </c>
      <c r="K263" s="56" t="s">
        <v>1893</v>
      </c>
      <c r="L263" s="56" t="s">
        <v>2942</v>
      </c>
      <c r="O263">
        <f>_xlfn.XLOOKUP(N263,'Error-codes'!$C$2:$C$130,'Error-codes'!$B$2:$B$130, "None")</f>
        <v>0</v>
      </c>
      <c r="U263" s="81">
        <f>DATEVALUE(LEFT(F263,10))</f>
        <v>44873</v>
      </c>
    </row>
    <row r="264" spans="1:21" ht="91.5" hidden="1">
      <c r="A264" s="56" t="s">
        <v>4054</v>
      </c>
      <c r="B264" s="56" t="s">
        <v>29</v>
      </c>
      <c r="C264" s="56" t="s">
        <v>4055</v>
      </c>
      <c r="D264" s="56" t="s">
        <v>37</v>
      </c>
      <c r="E264" s="56" t="s">
        <v>3501</v>
      </c>
      <c r="F264" s="56" t="s">
        <v>4056</v>
      </c>
      <c r="G264" s="56">
        <v>77</v>
      </c>
      <c r="H264" s="56">
        <v>13</v>
      </c>
      <c r="I264" s="58">
        <v>0.16883116883116883</v>
      </c>
      <c r="J264" s="56" t="s">
        <v>4057</v>
      </c>
      <c r="K264" s="56" t="s">
        <v>1873</v>
      </c>
      <c r="L264" s="56" t="s">
        <v>2942</v>
      </c>
      <c r="M264" s="56" t="str">
        <f>HYPERLINK("https://dribble.octin.io/?mode=Single+log&amp;log_id=ba023877-727a-4db2-a6af-742664337034","URL")</f>
        <v>URL</v>
      </c>
      <c r="N264" s="56" t="s">
        <v>3460</v>
      </c>
      <c r="O264" t="str">
        <f>_xlfn.XLOOKUP(N264,'Error-codes'!$C$2:$C$130,'Error-codes'!$B$2:$B$130, "None")</f>
        <v>motor drive: DRV8353 FAULT</v>
      </c>
      <c r="P264" s="46" t="s">
        <v>4058</v>
      </c>
      <c r="U264" s="81">
        <f>DATEVALUE(LEFT(F264,10))</f>
        <v>44873</v>
      </c>
    </row>
    <row r="265" spans="1:21" ht="45.75" hidden="1">
      <c r="A265" s="56" t="s">
        <v>3059</v>
      </c>
      <c r="B265" s="56" t="s">
        <v>228</v>
      </c>
      <c r="C265" s="56" t="s">
        <v>3060</v>
      </c>
      <c r="D265" s="56" t="s">
        <v>37</v>
      </c>
      <c r="E265" s="56" t="s">
        <v>2930</v>
      </c>
      <c r="F265" s="56" t="s">
        <v>3061</v>
      </c>
      <c r="G265" s="56">
        <v>101</v>
      </c>
      <c r="H265" s="56">
        <v>15</v>
      </c>
      <c r="I265" s="58">
        <v>0.14851485148514851</v>
      </c>
      <c r="J265" s="56" t="s">
        <v>3062</v>
      </c>
      <c r="K265" s="56" t="s">
        <v>2171</v>
      </c>
      <c r="L265" s="56" t="s">
        <v>2932</v>
      </c>
      <c r="M265" s="56" t="str">
        <f>HYPERLINK("https://dribble.octin.io/?mode=Single+log&amp;log_id=31be13af-9825-40c0-8909-fe8a82d3dca7","URL")</f>
        <v>URL</v>
      </c>
      <c r="N265" s="56" t="s">
        <v>2933</v>
      </c>
      <c r="O265" t="str">
        <f>_xlfn.XLOOKUP(N265,'Error-codes'!$C$2:$C$130,'Error-codes'!$B$2:$B$130, "None")</f>
        <v>inductive sensor error</v>
      </c>
      <c r="P265" s="46" t="s">
        <v>3037</v>
      </c>
      <c r="U265" s="81">
        <f>DATEVALUE(LEFT(F265,10))</f>
        <v>44873</v>
      </c>
    </row>
    <row r="266" spans="1:21" hidden="1">
      <c r="B266" s="56" t="s">
        <v>29</v>
      </c>
      <c r="C266" s="56" t="s">
        <v>4059</v>
      </c>
      <c r="D266" s="56" t="s">
        <v>388</v>
      </c>
      <c r="F266" s="56" t="s">
        <v>4060</v>
      </c>
      <c r="G266" s="56">
        <v>47</v>
      </c>
      <c r="H266" s="56">
        <v>47</v>
      </c>
      <c r="I266" s="58">
        <v>1</v>
      </c>
      <c r="K266" s="56" t="s">
        <v>1893</v>
      </c>
      <c r="L266" s="56" t="s">
        <v>2942</v>
      </c>
      <c r="O266">
        <f>_xlfn.XLOOKUP(N266,'Error-codes'!$C$2:$C$130,'Error-codes'!$B$2:$B$130, "None")</f>
        <v>0</v>
      </c>
      <c r="U266" s="81">
        <f>DATEVALUE(LEFT(F266,10))</f>
        <v>44873</v>
      </c>
    </row>
    <row r="267" spans="1:21" hidden="1">
      <c r="B267" s="56" t="s">
        <v>2886</v>
      </c>
      <c r="C267" s="56" t="s">
        <v>4061</v>
      </c>
      <c r="D267" s="56" t="s">
        <v>37</v>
      </c>
      <c r="F267" s="56" t="s">
        <v>4062</v>
      </c>
      <c r="G267" s="56">
        <v>102</v>
      </c>
      <c r="H267" s="56">
        <v>70</v>
      </c>
      <c r="I267" s="58">
        <v>0.68627450980392157</v>
      </c>
      <c r="K267" s="56" t="s">
        <v>2171</v>
      </c>
      <c r="L267" s="56" t="s">
        <v>2932</v>
      </c>
      <c r="O267">
        <f>_xlfn.XLOOKUP(N267,'Error-codes'!$C$2:$C$130,'Error-codes'!$B$2:$B$130, "None")</f>
        <v>0</v>
      </c>
      <c r="P267" t="s">
        <v>3046</v>
      </c>
      <c r="U267" s="81">
        <f>DATEVALUE(LEFT(F267,10))</f>
        <v>44873</v>
      </c>
    </row>
    <row r="268" spans="1:21" hidden="1">
      <c r="B268" s="56" t="s">
        <v>228</v>
      </c>
      <c r="C268" s="56" t="s">
        <v>4063</v>
      </c>
      <c r="D268" s="56" t="s">
        <v>388</v>
      </c>
      <c r="F268" s="56" t="s">
        <v>4064</v>
      </c>
      <c r="G268" s="56">
        <v>85</v>
      </c>
      <c r="H268" s="56">
        <v>84</v>
      </c>
      <c r="I268" s="58">
        <v>0.9882352941176471</v>
      </c>
      <c r="K268" s="56" t="s">
        <v>2171</v>
      </c>
      <c r="L268" s="56" t="s">
        <v>2932</v>
      </c>
      <c r="O268">
        <f>_xlfn.XLOOKUP(N268,'Error-codes'!$C$2:$C$130,'Error-codes'!$B$2:$B$130, "None")</f>
        <v>0</v>
      </c>
      <c r="P268" t="s">
        <v>3379</v>
      </c>
      <c r="U268" s="81">
        <f>DATEVALUE(LEFT(F268,10))</f>
        <v>44874</v>
      </c>
    </row>
    <row r="269" spans="1:21" hidden="1">
      <c r="B269" s="56" t="s">
        <v>3771</v>
      </c>
      <c r="C269" s="56" t="s">
        <v>4065</v>
      </c>
      <c r="D269" s="56" t="s">
        <v>22</v>
      </c>
      <c r="F269" s="56" t="s">
        <v>4066</v>
      </c>
      <c r="G269" s="56">
        <v>128</v>
      </c>
      <c r="H269" s="56">
        <v>68</v>
      </c>
      <c r="I269" s="58">
        <v>0.53125</v>
      </c>
      <c r="K269" s="56" t="s">
        <v>3207</v>
      </c>
      <c r="L269" s="56" t="s">
        <v>3775</v>
      </c>
      <c r="O269">
        <f>_xlfn.XLOOKUP(N269,'Error-codes'!$C$2:$C$130,'Error-codes'!$B$2:$B$130, "None")</f>
        <v>0</v>
      </c>
      <c r="U269" s="81">
        <f>DATEVALUE(LEFT(F269,10))</f>
        <v>44874</v>
      </c>
    </row>
    <row r="270" spans="1:21" hidden="1">
      <c r="B270" s="56" t="s">
        <v>3771</v>
      </c>
      <c r="C270" s="56" t="s">
        <v>4067</v>
      </c>
      <c r="D270" s="56"/>
      <c r="F270" s="56" t="s">
        <v>4068</v>
      </c>
      <c r="G270" s="56">
        <v>3</v>
      </c>
      <c r="H270" s="56">
        <v>3</v>
      </c>
      <c r="I270" s="58">
        <v>1</v>
      </c>
      <c r="K270" s="56" t="s">
        <v>3207</v>
      </c>
      <c r="L270" s="56" t="s">
        <v>3775</v>
      </c>
      <c r="O270">
        <f>_xlfn.XLOOKUP(N270,'Error-codes'!$C$2:$C$130,'Error-codes'!$B$2:$B$130, "None")</f>
        <v>0</v>
      </c>
      <c r="U270" s="81">
        <f>DATEVALUE(LEFT(F270,10))</f>
        <v>44874</v>
      </c>
    </row>
    <row r="271" spans="1:21" hidden="1">
      <c r="A271" s="56"/>
      <c r="B271" s="56" t="s">
        <v>3771</v>
      </c>
      <c r="C271" s="56" t="s">
        <v>4069</v>
      </c>
      <c r="D271" s="56" t="s">
        <v>37</v>
      </c>
      <c r="E271" s="56" t="s">
        <v>3776</v>
      </c>
      <c r="F271" s="56" t="s">
        <v>4070</v>
      </c>
      <c r="G271" s="56">
        <v>133</v>
      </c>
      <c r="H271" s="56">
        <v>2</v>
      </c>
      <c r="I271" s="58">
        <v>1.5037593984962405E-2</v>
      </c>
      <c r="J271" s="56" t="s">
        <v>4071</v>
      </c>
      <c r="K271" s="56" t="s">
        <v>3207</v>
      </c>
      <c r="L271" s="56" t="s">
        <v>3775</v>
      </c>
      <c r="N271" s="56" t="s">
        <v>3460</v>
      </c>
      <c r="O271" t="str">
        <f>_xlfn.XLOOKUP(N271,'Error-codes'!$C$2:$C$130,'Error-codes'!$B$2:$B$130, "None")</f>
        <v>motor drive: DRV8353 FAULT</v>
      </c>
      <c r="U271" s="81">
        <f>DATEVALUE(LEFT(F271,10))</f>
        <v>44874</v>
      </c>
    </row>
    <row r="272" spans="1:21" hidden="1">
      <c r="B272" s="56" t="s">
        <v>3771</v>
      </c>
      <c r="C272" s="56" t="s">
        <v>4072</v>
      </c>
      <c r="D272" s="56" t="s">
        <v>22</v>
      </c>
      <c r="F272" s="56" t="s">
        <v>4073</v>
      </c>
      <c r="G272" s="56">
        <v>7</v>
      </c>
      <c r="H272" s="56">
        <v>2</v>
      </c>
      <c r="I272" s="58">
        <v>0.2857142857142857</v>
      </c>
      <c r="K272" s="56" t="s">
        <v>3207</v>
      </c>
      <c r="L272" s="56" t="s">
        <v>3775</v>
      </c>
      <c r="O272">
        <f>_xlfn.XLOOKUP(N272,'Error-codes'!$C$2:$C$130,'Error-codes'!$B$2:$B$130, "None")</f>
        <v>0</v>
      </c>
      <c r="U272" s="81">
        <f>DATEVALUE(LEFT(F272,10))</f>
        <v>44874</v>
      </c>
    </row>
    <row r="273" spans="1:21" hidden="1">
      <c r="B273" s="56" t="s">
        <v>3771</v>
      </c>
      <c r="C273" s="56" t="s">
        <v>4074</v>
      </c>
      <c r="D273" s="56"/>
      <c r="F273" s="56" t="s">
        <v>4075</v>
      </c>
      <c r="G273" s="56">
        <v>133</v>
      </c>
      <c r="H273" s="56">
        <v>8</v>
      </c>
      <c r="I273" s="58">
        <v>6.0150375939849621E-2</v>
      </c>
      <c r="K273" s="56" t="s">
        <v>3207</v>
      </c>
      <c r="L273" s="56" t="s">
        <v>3775</v>
      </c>
      <c r="O273">
        <f>_xlfn.XLOOKUP(N273,'Error-codes'!$C$2:$C$130,'Error-codes'!$B$2:$B$130, "None")</f>
        <v>0</v>
      </c>
      <c r="U273" s="81">
        <f>DATEVALUE(LEFT(F273,10))</f>
        <v>44874</v>
      </c>
    </row>
    <row r="274" spans="1:21" hidden="1">
      <c r="B274" s="56" t="s">
        <v>3771</v>
      </c>
      <c r="C274" s="56" t="s">
        <v>4076</v>
      </c>
      <c r="D274" s="56" t="s">
        <v>22</v>
      </c>
      <c r="F274" s="56" t="s">
        <v>4077</v>
      </c>
      <c r="G274" s="56">
        <v>134</v>
      </c>
      <c r="H274" s="56">
        <v>0</v>
      </c>
      <c r="I274" s="58">
        <v>0</v>
      </c>
      <c r="K274" s="56" t="s">
        <v>3207</v>
      </c>
      <c r="L274" s="56" t="s">
        <v>3775</v>
      </c>
      <c r="O274">
        <f>_xlfn.XLOOKUP(N274,'Error-codes'!$C$2:$C$130,'Error-codes'!$B$2:$B$130, "None")</f>
        <v>0</v>
      </c>
      <c r="U274" s="81">
        <f>DATEVALUE(LEFT(F274,10))</f>
        <v>44874</v>
      </c>
    </row>
    <row r="275" spans="1:21" hidden="1">
      <c r="B275" s="56" t="s">
        <v>3771</v>
      </c>
      <c r="C275" s="56" t="s">
        <v>4078</v>
      </c>
      <c r="D275" s="56" t="s">
        <v>22</v>
      </c>
      <c r="F275" s="56" t="s">
        <v>4079</v>
      </c>
      <c r="G275" s="56">
        <v>134</v>
      </c>
      <c r="H275" s="56">
        <v>0</v>
      </c>
      <c r="I275" s="58">
        <v>0</v>
      </c>
      <c r="K275" s="56" t="s">
        <v>3207</v>
      </c>
      <c r="L275" s="56" t="s">
        <v>3775</v>
      </c>
      <c r="O275">
        <f>_xlfn.XLOOKUP(N275,'Error-codes'!$C$2:$C$130,'Error-codes'!$B$2:$B$130, "None")</f>
        <v>0</v>
      </c>
      <c r="U275" s="81">
        <f>DATEVALUE(LEFT(F275,10))</f>
        <v>44874</v>
      </c>
    </row>
    <row r="276" spans="1:21" hidden="1">
      <c r="B276" s="56" t="s">
        <v>2886</v>
      </c>
      <c r="C276" s="56" t="s">
        <v>4080</v>
      </c>
      <c r="D276" s="56"/>
      <c r="F276" s="56" t="s">
        <v>4081</v>
      </c>
      <c r="G276" s="56">
        <v>70</v>
      </c>
      <c r="H276" s="56">
        <v>68</v>
      </c>
      <c r="I276" s="58">
        <v>0.97142857142857142</v>
      </c>
      <c r="K276" s="56" t="s">
        <v>2171</v>
      </c>
      <c r="L276" s="56" t="s">
        <v>2932</v>
      </c>
      <c r="O276">
        <f>_xlfn.XLOOKUP(N276,'Error-codes'!$C$2:$C$130,'Error-codes'!$B$2:$B$130, "None")</f>
        <v>0</v>
      </c>
      <c r="P276" t="s">
        <v>3046</v>
      </c>
      <c r="U276" s="81">
        <f>DATEVALUE(LEFT(F276,10))</f>
        <v>44874</v>
      </c>
    </row>
    <row r="277" spans="1:21" hidden="1">
      <c r="B277" s="56" t="s">
        <v>295</v>
      </c>
      <c r="C277" s="56" t="s">
        <v>4082</v>
      </c>
      <c r="D277" s="56" t="s">
        <v>388</v>
      </c>
      <c r="F277" s="56" t="s">
        <v>4083</v>
      </c>
      <c r="G277" s="56">
        <v>4</v>
      </c>
      <c r="H277" s="56">
        <v>4</v>
      </c>
      <c r="I277" s="58">
        <v>1</v>
      </c>
      <c r="K277" s="56" t="s">
        <v>1893</v>
      </c>
      <c r="L277" s="56" t="s">
        <v>2942</v>
      </c>
      <c r="O277">
        <f>_xlfn.XLOOKUP(N277,'Error-codes'!$C$2:$C$130,'Error-codes'!$B$2:$B$130, "None")</f>
        <v>0</v>
      </c>
      <c r="P277" t="s">
        <v>3379</v>
      </c>
      <c r="U277" s="81">
        <f>DATEVALUE(LEFT(F277,10))</f>
        <v>44874</v>
      </c>
    </row>
    <row r="278" spans="1:21" ht="45.75" hidden="1">
      <c r="A278" s="56" t="s">
        <v>4084</v>
      </c>
      <c r="B278" s="56" t="s">
        <v>228</v>
      </c>
      <c r="C278" s="56" t="s">
        <v>4085</v>
      </c>
      <c r="D278" s="56" t="s">
        <v>37</v>
      </c>
      <c r="E278" s="56" t="s">
        <v>2939</v>
      </c>
      <c r="F278" s="56" t="s">
        <v>4086</v>
      </c>
      <c r="G278" s="56">
        <v>102</v>
      </c>
      <c r="H278" s="56">
        <v>6</v>
      </c>
      <c r="I278" s="58">
        <v>5.8823529411764705E-2</v>
      </c>
      <c r="J278" s="56" t="s">
        <v>331</v>
      </c>
      <c r="K278" s="56" t="s">
        <v>2166</v>
      </c>
      <c r="L278" s="56" t="s">
        <v>2932</v>
      </c>
      <c r="M278" s="56" t="str">
        <f>HYPERLINK("https://dribble.octin.io/?mode=Single+log&amp;log_id=d878c39c-bca5-4ebe-8de4-117b4cc677b4","URL")</f>
        <v>URL</v>
      </c>
      <c r="N278" s="56" t="s">
        <v>3442</v>
      </c>
      <c r="O278" t="str">
        <f>_xlfn.XLOOKUP(N278,'Error-codes'!$C$2:$C$130,'Error-codes'!$B$2:$B$130, "None")</f>
        <v>vehicle diverged too far from trajectory</v>
      </c>
      <c r="P278" s="46" t="s">
        <v>4087</v>
      </c>
      <c r="U278" s="81">
        <f>DATEVALUE(LEFT(F278,10))</f>
        <v>44874</v>
      </c>
    </row>
    <row r="279" spans="1:21" ht="45.75" hidden="1">
      <c r="A279" s="56" t="s">
        <v>4088</v>
      </c>
      <c r="B279" s="56" t="s">
        <v>295</v>
      </c>
      <c r="C279" s="56" t="s">
        <v>4089</v>
      </c>
      <c r="D279" s="56" t="s">
        <v>37</v>
      </c>
      <c r="E279" s="56" t="s">
        <v>2939</v>
      </c>
      <c r="F279" s="56" t="s">
        <v>4090</v>
      </c>
      <c r="G279" s="56">
        <v>140</v>
      </c>
      <c r="H279" s="56">
        <v>7</v>
      </c>
      <c r="I279" s="58">
        <v>0.05</v>
      </c>
      <c r="J279" s="56" t="s">
        <v>419</v>
      </c>
      <c r="K279" s="56" t="s">
        <v>1873</v>
      </c>
      <c r="L279" s="56" t="s">
        <v>2942</v>
      </c>
      <c r="M279" s="56" t="str">
        <f>HYPERLINK("https://dribble.octin.io/?mode=Single+log&amp;log_id=260abdf1-5df8-4807-991a-6e17261c7fa2","URL")</f>
        <v>URL</v>
      </c>
      <c r="N279" s="56" t="s">
        <v>3446</v>
      </c>
      <c r="O279" t="str">
        <f>_xlfn.XLOOKUP(N279,'Error-codes'!$C$2:$C$130,'Error-codes'!$B$2:$B$130, "None")</f>
        <v>end of lane wall sensor error</v>
      </c>
      <c r="Q279" s="51" t="s">
        <v>3893</v>
      </c>
      <c r="R279" s="51"/>
      <c r="S279" t="s">
        <v>4091</v>
      </c>
      <c r="U279" s="81">
        <f>DATEVALUE(LEFT(F279,10))</f>
        <v>44874</v>
      </c>
    </row>
    <row r="280" spans="1:21" ht="45.75" hidden="1">
      <c r="A280" s="56" t="s">
        <v>4092</v>
      </c>
      <c r="B280" s="56" t="s">
        <v>295</v>
      </c>
      <c r="C280" s="56" t="s">
        <v>4089</v>
      </c>
      <c r="D280" s="56" t="s">
        <v>37</v>
      </c>
      <c r="E280" s="56" t="s">
        <v>2939</v>
      </c>
      <c r="F280" s="56" t="s">
        <v>4093</v>
      </c>
      <c r="G280" s="56">
        <v>140</v>
      </c>
      <c r="H280" s="56">
        <v>8</v>
      </c>
      <c r="I280" s="58">
        <v>5.7142857142857141E-2</v>
      </c>
      <c r="J280" s="56" t="s">
        <v>393</v>
      </c>
      <c r="K280" s="56" t="s">
        <v>1873</v>
      </c>
      <c r="L280" s="56" t="s">
        <v>2942</v>
      </c>
      <c r="M280" s="56" t="str">
        <f>HYPERLINK("https://dribble.octin.io/?mode=Single+log&amp;log_id=63d55352-85a9-4a06-8ce1-333655619d3e","URL")</f>
        <v>URL</v>
      </c>
      <c r="N280" s="56" t="s">
        <v>3446</v>
      </c>
      <c r="O280" t="str">
        <f>_xlfn.XLOOKUP(N280,'Error-codes'!$C$2:$C$130,'Error-codes'!$B$2:$B$130, "None")</f>
        <v>end of lane wall sensor error</v>
      </c>
      <c r="Q280" s="51" t="s">
        <v>3893</v>
      </c>
      <c r="R280" s="51"/>
      <c r="S280" t="s">
        <v>4091</v>
      </c>
      <c r="U280" s="81">
        <f>DATEVALUE(LEFT(F280,10))</f>
        <v>44874</v>
      </c>
    </row>
    <row r="281" spans="1:21" hidden="1">
      <c r="A281" s="56" t="s">
        <v>4094</v>
      </c>
      <c r="B281" s="56" t="s">
        <v>295</v>
      </c>
      <c r="C281" s="56" t="s">
        <v>4089</v>
      </c>
      <c r="D281" s="56" t="s">
        <v>37</v>
      </c>
      <c r="E281" s="56" t="s">
        <v>2939</v>
      </c>
      <c r="F281" s="56" t="s">
        <v>4095</v>
      </c>
      <c r="G281" s="56">
        <v>140</v>
      </c>
      <c r="H281" s="56">
        <v>9</v>
      </c>
      <c r="I281" s="58">
        <v>6.4285714285714279E-2</v>
      </c>
      <c r="J281" s="56" t="s">
        <v>4096</v>
      </c>
      <c r="K281" s="56" t="s">
        <v>1873</v>
      </c>
      <c r="L281" s="56" t="s">
        <v>2942</v>
      </c>
      <c r="M281" s="56" t="str">
        <f>HYPERLINK("https://dribble.octin.io/?mode=Single+log&amp;log_id=3306be23-2d28-4961-b4ee-259c97ff5948","URL")</f>
        <v>URL</v>
      </c>
      <c r="N281" s="56" t="s">
        <v>3446</v>
      </c>
      <c r="O281" t="str">
        <f>_xlfn.XLOOKUP(N281,'Error-codes'!$C$2:$C$130,'Error-codes'!$B$2:$B$130, "None")</f>
        <v>end of lane wall sensor error</v>
      </c>
      <c r="U281" s="81">
        <f>DATEVALUE(LEFT(F281,10))</f>
        <v>44874</v>
      </c>
    </row>
    <row r="282" spans="1:21" hidden="1">
      <c r="A282" s="56" t="s">
        <v>4097</v>
      </c>
      <c r="B282" s="56" t="s">
        <v>295</v>
      </c>
      <c r="C282" s="56" t="s">
        <v>4089</v>
      </c>
      <c r="D282" s="56" t="s">
        <v>37</v>
      </c>
      <c r="E282" s="56" t="s">
        <v>2939</v>
      </c>
      <c r="F282" s="56" t="s">
        <v>4098</v>
      </c>
      <c r="G282" s="56">
        <v>140</v>
      </c>
      <c r="H282" s="56">
        <v>11</v>
      </c>
      <c r="I282" s="58">
        <v>7.857142857142857E-2</v>
      </c>
      <c r="J282" s="56" t="s">
        <v>4099</v>
      </c>
      <c r="K282" s="56" t="s">
        <v>1873</v>
      </c>
      <c r="L282" s="56" t="s">
        <v>2942</v>
      </c>
      <c r="M282" s="56" t="str">
        <f>HYPERLINK("https://dribble.octin.io/?mode=Single+log&amp;log_id=e0e7f5dc-1369-47f1-9e70-48d046661970","URL")</f>
        <v>URL</v>
      </c>
      <c r="N282" s="56" t="s">
        <v>3446</v>
      </c>
      <c r="O282" t="str">
        <f>_xlfn.XLOOKUP(N282,'Error-codes'!$C$2:$C$130,'Error-codes'!$B$2:$B$130, "None")</f>
        <v>end of lane wall sensor error</v>
      </c>
      <c r="U282" s="81">
        <f>DATEVALUE(LEFT(F282,10))</f>
        <v>44874</v>
      </c>
    </row>
    <row r="283" spans="1:21" hidden="1">
      <c r="A283" s="56" t="s">
        <v>4100</v>
      </c>
      <c r="B283" s="56" t="s">
        <v>295</v>
      </c>
      <c r="C283" s="56" t="s">
        <v>4089</v>
      </c>
      <c r="D283" s="56" t="s">
        <v>37</v>
      </c>
      <c r="E283" s="56" t="s">
        <v>2939</v>
      </c>
      <c r="F283" s="56" t="s">
        <v>4101</v>
      </c>
      <c r="G283" s="56">
        <v>140</v>
      </c>
      <c r="H283" s="56">
        <v>12</v>
      </c>
      <c r="I283" s="58">
        <v>8.5714285714285715E-2</v>
      </c>
      <c r="J283" s="56" t="s">
        <v>4102</v>
      </c>
      <c r="K283" s="56" t="s">
        <v>1873</v>
      </c>
      <c r="L283" s="56" t="s">
        <v>2942</v>
      </c>
      <c r="M283" s="56" t="str">
        <f>HYPERLINK("https://dribble.octin.io/?mode=Single+log&amp;log_id=bed6c2ba-af08-45d0-a28d-b43681ba0901","URL")</f>
        <v>URL</v>
      </c>
      <c r="N283" s="56" t="s">
        <v>3446</v>
      </c>
      <c r="O283" t="str">
        <f>_xlfn.XLOOKUP(N283,'Error-codes'!$C$2:$C$130,'Error-codes'!$B$2:$B$130, "None")</f>
        <v>end of lane wall sensor error</v>
      </c>
      <c r="U283" s="81">
        <f>DATEVALUE(LEFT(F283,10))</f>
        <v>44874</v>
      </c>
    </row>
    <row r="284" spans="1:21" hidden="1">
      <c r="A284" s="56" t="s">
        <v>4103</v>
      </c>
      <c r="B284" s="56" t="s">
        <v>295</v>
      </c>
      <c r="C284" s="56" t="s">
        <v>4089</v>
      </c>
      <c r="D284" s="56" t="s">
        <v>37</v>
      </c>
      <c r="E284" s="56" t="s">
        <v>2939</v>
      </c>
      <c r="F284" s="56" t="s">
        <v>4104</v>
      </c>
      <c r="G284" s="56">
        <v>140</v>
      </c>
      <c r="H284" s="56">
        <v>13</v>
      </c>
      <c r="I284" s="58">
        <v>9.285714285714286E-2</v>
      </c>
      <c r="J284" s="56" t="s">
        <v>4105</v>
      </c>
      <c r="K284" s="56" t="s">
        <v>1873</v>
      </c>
      <c r="L284" s="56" t="s">
        <v>2942</v>
      </c>
      <c r="M284" s="56" t="str">
        <f>HYPERLINK("https://dribble.octin.io/?mode=Single+log&amp;log_id=a68d7208-028e-47bc-b1fc-a1d55d8ff714","URL")</f>
        <v>URL</v>
      </c>
      <c r="N284" s="56" t="s">
        <v>3446</v>
      </c>
      <c r="O284" t="str">
        <f>_xlfn.XLOOKUP(N284,'Error-codes'!$C$2:$C$130,'Error-codes'!$B$2:$B$130, "None")</f>
        <v>end of lane wall sensor error</v>
      </c>
      <c r="U284" s="81">
        <f>DATEVALUE(LEFT(F284,10))</f>
        <v>44874</v>
      </c>
    </row>
    <row r="285" spans="1:21" hidden="1">
      <c r="A285" s="56" t="s">
        <v>4106</v>
      </c>
      <c r="B285" s="56" t="s">
        <v>295</v>
      </c>
      <c r="C285" s="56" t="s">
        <v>4089</v>
      </c>
      <c r="D285" s="56" t="s">
        <v>37</v>
      </c>
      <c r="E285" s="56" t="s">
        <v>2939</v>
      </c>
      <c r="F285" s="56" t="s">
        <v>4107</v>
      </c>
      <c r="G285" s="56">
        <v>140</v>
      </c>
      <c r="H285" s="56">
        <v>14</v>
      </c>
      <c r="I285" s="58">
        <v>0.1</v>
      </c>
      <c r="J285" s="56" t="s">
        <v>4108</v>
      </c>
      <c r="K285" s="56" t="s">
        <v>1873</v>
      </c>
      <c r="L285" s="56" t="s">
        <v>2942</v>
      </c>
      <c r="M285" s="56" t="str">
        <f>HYPERLINK("https://dribble.octin.io/?mode=Single+log&amp;log_id=9c531c19-3e7e-4ecb-ae8e-283efe924266","URL")</f>
        <v>URL</v>
      </c>
      <c r="N285" s="56" t="s">
        <v>3446</v>
      </c>
      <c r="O285" t="str">
        <f>_xlfn.XLOOKUP(N285,'Error-codes'!$C$2:$C$130,'Error-codes'!$B$2:$B$130, "None")</f>
        <v>end of lane wall sensor error</v>
      </c>
      <c r="U285" s="81">
        <f>DATEVALUE(LEFT(F285,10))</f>
        <v>44874</v>
      </c>
    </row>
    <row r="286" spans="1:21" hidden="1">
      <c r="A286" s="56" t="s">
        <v>4109</v>
      </c>
      <c r="B286" s="56" t="s">
        <v>295</v>
      </c>
      <c r="C286" s="56" t="s">
        <v>4089</v>
      </c>
      <c r="D286" s="56" t="s">
        <v>37</v>
      </c>
      <c r="E286" s="56" t="s">
        <v>2939</v>
      </c>
      <c r="F286" s="56" t="s">
        <v>4110</v>
      </c>
      <c r="G286" s="56">
        <v>140</v>
      </c>
      <c r="H286" s="56">
        <v>16</v>
      </c>
      <c r="I286" s="58">
        <v>0.11428571428571428</v>
      </c>
      <c r="J286" s="56" t="s">
        <v>4111</v>
      </c>
      <c r="K286" s="56" t="s">
        <v>1873</v>
      </c>
      <c r="L286" s="56" t="s">
        <v>2942</v>
      </c>
      <c r="M286" s="56" t="str">
        <f>HYPERLINK("https://dribble.octin.io/?mode=Single+log&amp;log_id=6266bee8-e8dc-4f25-bda5-2fd2825662e0","URL")</f>
        <v>URL</v>
      </c>
      <c r="N286" s="56" t="s">
        <v>3446</v>
      </c>
      <c r="O286" t="str">
        <f>_xlfn.XLOOKUP(N286,'Error-codes'!$C$2:$C$130,'Error-codes'!$B$2:$B$130, "None")</f>
        <v>end of lane wall sensor error</v>
      </c>
      <c r="U286" s="81">
        <f>DATEVALUE(LEFT(F286,10))</f>
        <v>44874</v>
      </c>
    </row>
    <row r="287" spans="1:21" hidden="1">
      <c r="A287" s="56" t="s">
        <v>4112</v>
      </c>
      <c r="B287" s="56" t="s">
        <v>295</v>
      </c>
      <c r="C287" s="56" t="s">
        <v>4089</v>
      </c>
      <c r="D287" s="56" t="s">
        <v>37</v>
      </c>
      <c r="E287" s="56" t="s">
        <v>2939</v>
      </c>
      <c r="F287" s="56" t="s">
        <v>4113</v>
      </c>
      <c r="G287" s="56">
        <v>140</v>
      </c>
      <c r="H287" s="56">
        <v>18</v>
      </c>
      <c r="I287" s="58">
        <v>0.12857142857142856</v>
      </c>
      <c r="J287" s="56" t="s">
        <v>4114</v>
      </c>
      <c r="K287" s="56" t="s">
        <v>1873</v>
      </c>
      <c r="L287" s="56" t="s">
        <v>2942</v>
      </c>
      <c r="M287" s="56" t="str">
        <f>HYPERLINK("https://dribble.octin.io/?mode=Single+log&amp;log_id=b3f7c30e-098e-40af-b58a-6fba25ec6864","URL")</f>
        <v>URL</v>
      </c>
      <c r="N287" s="56" t="s">
        <v>3446</v>
      </c>
      <c r="O287" t="str">
        <f>_xlfn.XLOOKUP(N287,'Error-codes'!$C$2:$C$130,'Error-codes'!$B$2:$B$130, "None")</f>
        <v>end of lane wall sensor error</v>
      </c>
      <c r="U287" s="81">
        <f>DATEVALUE(LEFT(F287,10))</f>
        <v>44874</v>
      </c>
    </row>
    <row r="288" spans="1:21" hidden="1">
      <c r="A288" s="56" t="s">
        <v>4115</v>
      </c>
      <c r="B288" s="56" t="s">
        <v>295</v>
      </c>
      <c r="C288" s="56" t="s">
        <v>4089</v>
      </c>
      <c r="D288" s="56" t="s">
        <v>37</v>
      </c>
      <c r="E288" s="56" t="s">
        <v>2939</v>
      </c>
      <c r="F288" s="56" t="s">
        <v>4116</v>
      </c>
      <c r="G288" s="56">
        <v>140</v>
      </c>
      <c r="H288" s="56">
        <v>21</v>
      </c>
      <c r="I288" s="58">
        <v>0.15</v>
      </c>
      <c r="J288" s="56" t="s">
        <v>4117</v>
      </c>
      <c r="K288" s="56" t="s">
        <v>1873</v>
      </c>
      <c r="L288" s="56" t="s">
        <v>2942</v>
      </c>
      <c r="M288" s="56" t="str">
        <f>HYPERLINK("https://dribble.octin.io/?mode=Single+log&amp;log_id=457f6930-50c0-485f-8064-0bb607cbb837","URL")</f>
        <v>URL</v>
      </c>
      <c r="N288" s="56" t="s">
        <v>3446</v>
      </c>
      <c r="O288" t="str">
        <f>_xlfn.XLOOKUP(N288,'Error-codes'!$C$2:$C$130,'Error-codes'!$B$2:$B$130, "None")</f>
        <v>end of lane wall sensor error</v>
      </c>
      <c r="U288" s="81">
        <f>DATEVALUE(LEFT(F288,10))</f>
        <v>44874</v>
      </c>
    </row>
    <row r="289" spans="1:22" hidden="1">
      <c r="A289" s="56" t="s">
        <v>4118</v>
      </c>
      <c r="B289" s="56" t="s">
        <v>295</v>
      </c>
      <c r="C289" s="56" t="s">
        <v>4089</v>
      </c>
      <c r="D289" s="56" t="s">
        <v>37</v>
      </c>
      <c r="E289" s="56" t="s">
        <v>2939</v>
      </c>
      <c r="F289" s="56" t="s">
        <v>4119</v>
      </c>
      <c r="G289" s="56">
        <v>140</v>
      </c>
      <c r="H289" s="56">
        <v>23</v>
      </c>
      <c r="I289" s="58">
        <v>0.16428571428571428</v>
      </c>
      <c r="J289" s="56" t="s">
        <v>3732</v>
      </c>
      <c r="K289" s="56" t="s">
        <v>1873</v>
      </c>
      <c r="L289" s="56" t="s">
        <v>2942</v>
      </c>
      <c r="M289" s="56" t="str">
        <f>HYPERLINK("https://dribble.octin.io/?mode=Single+log&amp;log_id=39f2bd60-6cb3-4177-ad09-e28348a91b21","URL")</f>
        <v>URL</v>
      </c>
      <c r="N289" s="56" t="s">
        <v>3446</v>
      </c>
      <c r="O289" t="str">
        <f>_xlfn.XLOOKUP(N289,'Error-codes'!$C$2:$C$130,'Error-codes'!$B$2:$B$130, "None")</f>
        <v>end of lane wall sensor error</v>
      </c>
      <c r="U289" s="81">
        <f>DATEVALUE(LEFT(F289,10))</f>
        <v>44874</v>
      </c>
    </row>
    <row r="290" spans="1:22" hidden="1">
      <c r="A290" s="56" t="s">
        <v>4120</v>
      </c>
      <c r="B290" s="56" t="s">
        <v>295</v>
      </c>
      <c r="C290" s="56" t="s">
        <v>4089</v>
      </c>
      <c r="D290" s="56" t="s">
        <v>37</v>
      </c>
      <c r="E290" s="56" t="s">
        <v>2939</v>
      </c>
      <c r="F290" s="56" t="s">
        <v>4121</v>
      </c>
      <c r="G290" s="56">
        <v>140</v>
      </c>
      <c r="H290" s="56">
        <v>25</v>
      </c>
      <c r="I290" s="58">
        <v>0.17857142857142858</v>
      </c>
      <c r="J290" s="56" t="s">
        <v>4122</v>
      </c>
      <c r="K290" s="56" t="s">
        <v>1873</v>
      </c>
      <c r="L290" s="56" t="s">
        <v>2942</v>
      </c>
      <c r="M290" s="56" t="str">
        <f>HYPERLINK("https://dribble.octin.io/?mode=Single+log&amp;log_id=5429dc75-ae19-4cf9-abdf-f7ff959d602f","URL")</f>
        <v>URL</v>
      </c>
      <c r="N290" s="56" t="s">
        <v>3446</v>
      </c>
      <c r="O290" t="str">
        <f>_xlfn.XLOOKUP(N290,'Error-codes'!$C$2:$C$130,'Error-codes'!$B$2:$B$130, "None")</f>
        <v>end of lane wall sensor error</v>
      </c>
      <c r="U290" s="81">
        <f>DATEVALUE(LEFT(F290,10))</f>
        <v>44874</v>
      </c>
    </row>
    <row r="291" spans="1:22" hidden="1">
      <c r="A291" s="56" t="s">
        <v>4123</v>
      </c>
      <c r="B291" s="56" t="s">
        <v>295</v>
      </c>
      <c r="C291" s="56" t="s">
        <v>4089</v>
      </c>
      <c r="D291" s="56" t="s">
        <v>37</v>
      </c>
      <c r="E291" s="56" t="s">
        <v>2939</v>
      </c>
      <c r="F291" s="56" t="s">
        <v>4124</v>
      </c>
      <c r="G291" s="56">
        <v>140</v>
      </c>
      <c r="H291" s="56">
        <v>28</v>
      </c>
      <c r="I291" s="58">
        <v>0.2</v>
      </c>
      <c r="J291" s="56" t="s">
        <v>4125</v>
      </c>
      <c r="K291" s="56" t="s">
        <v>1873</v>
      </c>
      <c r="L291" s="56" t="s">
        <v>2942</v>
      </c>
      <c r="M291" s="56" t="str">
        <f>HYPERLINK("https://dribble.octin.io/?mode=Single+log&amp;log_id=a57acdf0-c7a9-4949-baed-529cc987c04c","URL")</f>
        <v>URL</v>
      </c>
      <c r="N291" s="56" t="s">
        <v>3446</v>
      </c>
      <c r="O291" t="str">
        <f>_xlfn.XLOOKUP(N291,'Error-codes'!$C$2:$C$130,'Error-codes'!$B$2:$B$130, "None")</f>
        <v>end of lane wall sensor error</v>
      </c>
      <c r="U291" s="81">
        <f>DATEVALUE(LEFT(F291,10))</f>
        <v>44874</v>
      </c>
    </row>
    <row r="292" spans="1:22" hidden="1">
      <c r="A292" s="56" t="s">
        <v>4126</v>
      </c>
      <c r="B292" s="56" t="s">
        <v>295</v>
      </c>
      <c r="C292" s="56" t="s">
        <v>4089</v>
      </c>
      <c r="D292" s="56" t="s">
        <v>37</v>
      </c>
      <c r="E292" s="56" t="s">
        <v>2939</v>
      </c>
      <c r="F292" s="56" t="s">
        <v>4127</v>
      </c>
      <c r="G292" s="56">
        <v>140</v>
      </c>
      <c r="H292" s="56">
        <v>30</v>
      </c>
      <c r="I292" s="58">
        <v>0.21428571428571427</v>
      </c>
      <c r="J292" s="56" t="s">
        <v>4128</v>
      </c>
      <c r="K292" s="56" t="s">
        <v>1873</v>
      </c>
      <c r="L292" s="56" t="s">
        <v>2942</v>
      </c>
      <c r="M292" s="56" t="str">
        <f>HYPERLINK("https://dribble.octin.io/?mode=Single+log&amp;log_id=0afaf6cc-1e23-4309-9c58-db6d4c5b099a","URL")</f>
        <v>URL</v>
      </c>
      <c r="N292" s="56" t="s">
        <v>3446</v>
      </c>
      <c r="O292" t="str">
        <f>_xlfn.XLOOKUP(N292,'Error-codes'!$C$2:$C$130,'Error-codes'!$B$2:$B$130, "None")</f>
        <v>end of lane wall sensor error</v>
      </c>
      <c r="U292" s="81">
        <f>DATEVALUE(LEFT(F292,10))</f>
        <v>44874</v>
      </c>
    </row>
    <row r="293" spans="1:22" hidden="1">
      <c r="A293" s="56" t="s">
        <v>4129</v>
      </c>
      <c r="B293" s="56" t="s">
        <v>295</v>
      </c>
      <c r="C293" s="56" t="s">
        <v>4089</v>
      </c>
      <c r="D293" s="56" t="s">
        <v>37</v>
      </c>
      <c r="E293" s="56" t="s">
        <v>2939</v>
      </c>
      <c r="F293" s="56" t="s">
        <v>4130</v>
      </c>
      <c r="G293" s="56">
        <v>140</v>
      </c>
      <c r="H293" s="56">
        <v>37</v>
      </c>
      <c r="I293" s="58">
        <v>0.26428571428571429</v>
      </c>
      <c r="J293" s="56" t="s">
        <v>4131</v>
      </c>
      <c r="K293" s="56" t="s">
        <v>1873</v>
      </c>
      <c r="L293" s="56" t="s">
        <v>2942</v>
      </c>
      <c r="M293" s="56" t="str">
        <f>HYPERLINK("https://dribble.octin.io/?mode=Single+log&amp;log_id=ac57fa53-1989-48e2-afbe-aaf024f2e548","URL")</f>
        <v>URL</v>
      </c>
      <c r="N293" s="56" t="s">
        <v>3446</v>
      </c>
      <c r="O293" t="str">
        <f>_xlfn.XLOOKUP(N293,'Error-codes'!$C$2:$C$130,'Error-codes'!$B$2:$B$130, "None")</f>
        <v>end of lane wall sensor error</v>
      </c>
      <c r="U293" s="81">
        <f>DATEVALUE(LEFT(F293,10))</f>
        <v>44874</v>
      </c>
    </row>
    <row r="294" spans="1:22" ht="45.75" hidden="1">
      <c r="A294" s="56" t="s">
        <v>4132</v>
      </c>
      <c r="B294" s="56" t="s">
        <v>295</v>
      </c>
      <c r="C294" s="56" t="s">
        <v>4089</v>
      </c>
      <c r="D294" s="56" t="s">
        <v>37</v>
      </c>
      <c r="E294" s="56" t="s">
        <v>2939</v>
      </c>
      <c r="F294" s="56" t="s">
        <v>4133</v>
      </c>
      <c r="G294" s="56">
        <v>140</v>
      </c>
      <c r="H294" s="56">
        <v>42</v>
      </c>
      <c r="I294" s="58">
        <v>0.3</v>
      </c>
      <c r="J294" s="56" t="s">
        <v>4134</v>
      </c>
      <c r="K294" s="56" t="s">
        <v>1873</v>
      </c>
      <c r="L294" s="56" t="s">
        <v>2942</v>
      </c>
      <c r="M294" s="56" t="str">
        <f>HYPERLINK("https://dribble.octin.io/?mode=Single+log&amp;log_id=9fa99f01-8f52-4a68-b239-85e6f8a5e245","URL")</f>
        <v>URL</v>
      </c>
      <c r="N294" s="56" t="s">
        <v>3446</v>
      </c>
      <c r="O294" t="str">
        <f>_xlfn.XLOOKUP(N294,'Error-codes'!$C$2:$C$130,'Error-codes'!$B$2:$B$130, "None")</f>
        <v>end of lane wall sensor error</v>
      </c>
      <c r="T294" s="46" t="s">
        <v>4135</v>
      </c>
      <c r="U294" s="81">
        <f>DATEVALUE(LEFT(F294,10))</f>
        <v>44874</v>
      </c>
    </row>
    <row r="295" spans="1:22" hidden="1">
      <c r="B295" s="56" t="s">
        <v>3771</v>
      </c>
      <c r="C295" s="56" t="s">
        <v>4136</v>
      </c>
      <c r="D295" s="56" t="s">
        <v>388</v>
      </c>
      <c r="F295" s="56" t="s">
        <v>4137</v>
      </c>
      <c r="G295" s="56">
        <v>133</v>
      </c>
      <c r="H295" s="56">
        <v>133</v>
      </c>
      <c r="I295" s="58">
        <v>1</v>
      </c>
      <c r="K295" s="56" t="s">
        <v>3207</v>
      </c>
      <c r="L295" s="56" t="s">
        <v>3775</v>
      </c>
      <c r="O295">
        <f>_xlfn.XLOOKUP(N295,'Error-codes'!$C$2:$C$130,'Error-codes'!$B$2:$B$130, "None")</f>
        <v>0</v>
      </c>
      <c r="U295" s="81">
        <f>DATEVALUE(LEFT(F295,10))</f>
        <v>44874</v>
      </c>
    </row>
    <row r="296" spans="1:22" hidden="1">
      <c r="A296" s="56" t="s">
        <v>4138</v>
      </c>
      <c r="B296" s="56" t="s">
        <v>29</v>
      </c>
      <c r="C296" s="56" t="s">
        <v>4139</v>
      </c>
      <c r="D296" s="56" t="s">
        <v>37</v>
      </c>
      <c r="E296" s="56" t="s">
        <v>3512</v>
      </c>
      <c r="F296" s="56" t="s">
        <v>4140</v>
      </c>
      <c r="G296" s="56">
        <v>150</v>
      </c>
      <c r="H296" s="56">
        <v>83</v>
      </c>
      <c r="I296" s="58">
        <v>0.55333333333333334</v>
      </c>
      <c r="J296" s="56" t="s">
        <v>4141</v>
      </c>
      <c r="K296" s="56" t="s">
        <v>1893</v>
      </c>
      <c r="L296" s="56" t="s">
        <v>2942</v>
      </c>
      <c r="M296" s="56" t="str">
        <f>HYPERLINK("https://dribble.octin.io/?mode=Single+log&amp;log_id=669dc535-bf38-4348-b11a-5930b5c1b138","URL")</f>
        <v>URL</v>
      </c>
      <c r="N296" s="56" t="s">
        <v>3458</v>
      </c>
      <c r="O296" t="str">
        <f>_xlfn.XLOOKUP(N296,'Error-codes'!$C$2:$C$130,'Error-codes'!$B$2:$B$130, "None")</f>
        <v>motor drive: UNDER VOLTAGE</v>
      </c>
      <c r="P296" t="s">
        <v>4142</v>
      </c>
      <c r="Q296" t="s">
        <v>3379</v>
      </c>
      <c r="S296" t="s">
        <v>3379</v>
      </c>
      <c r="T296" t="s">
        <v>3379</v>
      </c>
      <c r="U296" s="81">
        <f>DATEVALUE(LEFT(F296,10))</f>
        <v>44875</v>
      </c>
      <c r="V296" t="s">
        <v>3379</v>
      </c>
    </row>
    <row r="297" spans="1:22" ht="36" hidden="1">
      <c r="A297" s="56" t="s">
        <v>4143</v>
      </c>
      <c r="B297" s="56" t="s">
        <v>295</v>
      </c>
      <c r="C297" s="56" t="s">
        <v>4089</v>
      </c>
      <c r="D297" s="56" t="s">
        <v>37</v>
      </c>
      <c r="E297" s="59" t="s">
        <v>3253</v>
      </c>
      <c r="F297" s="56" t="s">
        <v>4144</v>
      </c>
      <c r="G297" s="56">
        <v>140</v>
      </c>
      <c r="H297" s="56">
        <v>67</v>
      </c>
      <c r="I297" s="58">
        <v>0.47857142857142859</v>
      </c>
      <c r="J297" s="56" t="s">
        <v>4145</v>
      </c>
      <c r="K297" s="56" t="s">
        <v>1873</v>
      </c>
      <c r="L297" s="56" t="s">
        <v>2942</v>
      </c>
      <c r="M297" s="56" t="str">
        <f>HYPERLINK("https://dribble.octin.io/?mode=Single+log&amp;log_id=c817a3d8-a780-46dc-b417-a05c932b2f72","URL")</f>
        <v>URL</v>
      </c>
      <c r="N297" s="56" t="s">
        <v>3454</v>
      </c>
      <c r="O297" t="str">
        <f>_xlfn.XLOOKUP(N297,'Error-codes'!$C$2:$C$130,'Error-codes'!$B$2:$B$130, "None")</f>
        <v>Veh low level FSM: safety was triggered</v>
      </c>
      <c r="P297" t="s">
        <v>3584</v>
      </c>
      <c r="U297" s="81">
        <f>DATEVALUE(LEFT(F297,10))</f>
        <v>44875</v>
      </c>
    </row>
    <row r="298" spans="1:22" hidden="1">
      <c r="B298" s="56" t="s">
        <v>295</v>
      </c>
      <c r="C298" s="56" t="s">
        <v>4146</v>
      </c>
      <c r="D298" s="56" t="s">
        <v>388</v>
      </c>
      <c r="F298" s="56" t="s">
        <v>4147</v>
      </c>
      <c r="G298" s="56">
        <v>8</v>
      </c>
      <c r="H298" s="56">
        <v>8</v>
      </c>
      <c r="I298" s="58">
        <v>1</v>
      </c>
      <c r="K298" s="56" t="s">
        <v>1893</v>
      </c>
      <c r="L298" s="56" t="s">
        <v>2942</v>
      </c>
      <c r="O298">
        <f>_xlfn.XLOOKUP(N298,'Error-codes'!$C$2:$C$130,'Error-codes'!$B$2:$B$130, "None")</f>
        <v>0</v>
      </c>
      <c r="U298" s="81">
        <f>DATEVALUE(LEFT(F298,10))</f>
        <v>44875</v>
      </c>
    </row>
    <row r="299" spans="1:22" hidden="1">
      <c r="B299" s="56" t="s">
        <v>295</v>
      </c>
      <c r="C299" s="56" t="s">
        <v>4148</v>
      </c>
      <c r="D299" s="56" t="s">
        <v>4149</v>
      </c>
      <c r="F299" s="56" t="s">
        <v>4150</v>
      </c>
      <c r="G299" s="56">
        <v>1</v>
      </c>
      <c r="H299" s="56">
        <v>1</v>
      </c>
      <c r="I299" s="58">
        <v>1</v>
      </c>
      <c r="K299" s="56" t="s">
        <v>1893</v>
      </c>
      <c r="L299" s="56" t="s">
        <v>2942</v>
      </c>
      <c r="O299">
        <f>_xlfn.XLOOKUP(N299,'Error-codes'!$C$2:$C$130,'Error-codes'!$B$2:$B$130, "None")</f>
        <v>0</v>
      </c>
      <c r="U299" s="81">
        <f>DATEVALUE(LEFT(F299,10))</f>
        <v>44875</v>
      </c>
    </row>
    <row r="300" spans="1:22" hidden="1">
      <c r="B300" s="56" t="s">
        <v>295</v>
      </c>
      <c r="C300" s="56" t="s">
        <v>4151</v>
      </c>
      <c r="D300" s="56" t="s">
        <v>4149</v>
      </c>
      <c r="F300" s="56" t="s">
        <v>4152</v>
      </c>
      <c r="G300" s="56">
        <v>6</v>
      </c>
      <c r="H300" s="56">
        <v>5</v>
      </c>
      <c r="I300" s="58">
        <v>0.83333333333333337</v>
      </c>
      <c r="K300" s="56" t="s">
        <v>1893</v>
      </c>
      <c r="L300" s="56" t="s">
        <v>2942</v>
      </c>
      <c r="N300" s="56" t="s">
        <v>3446</v>
      </c>
      <c r="O300" t="str">
        <f>_xlfn.XLOOKUP(N300,'Error-codes'!$C$2:$C$130,'Error-codes'!$B$2:$B$130, "None")</f>
        <v>end of lane wall sensor error</v>
      </c>
      <c r="T300" t="s">
        <v>4153</v>
      </c>
      <c r="U300" s="81">
        <f>DATEVALUE(LEFT(F300,10))</f>
        <v>44875</v>
      </c>
    </row>
    <row r="301" spans="1:22" hidden="1">
      <c r="B301" s="56" t="s">
        <v>29</v>
      </c>
      <c r="C301" s="56" t="s">
        <v>4154</v>
      </c>
      <c r="D301" s="56" t="s">
        <v>388</v>
      </c>
      <c r="F301" s="56" t="s">
        <v>4155</v>
      </c>
      <c r="G301" s="56">
        <v>137</v>
      </c>
      <c r="H301" s="56">
        <v>137</v>
      </c>
      <c r="I301" s="58">
        <v>1</v>
      </c>
      <c r="K301" s="56" t="s">
        <v>1873</v>
      </c>
      <c r="L301" s="56" t="s">
        <v>2942</v>
      </c>
      <c r="O301">
        <f>_xlfn.XLOOKUP(N301,'Error-codes'!$C$2:$C$130,'Error-codes'!$B$2:$B$130, "None")</f>
        <v>0</v>
      </c>
      <c r="P301" t="s">
        <v>3379</v>
      </c>
      <c r="T301" t="s">
        <v>4153</v>
      </c>
      <c r="U301" s="81">
        <f>DATEVALUE(LEFT(F301,10))</f>
        <v>44876</v>
      </c>
    </row>
    <row r="302" spans="1:22" ht="30.75" hidden="1">
      <c r="A302" s="56" t="s">
        <v>4156</v>
      </c>
      <c r="B302" s="56" t="s">
        <v>295</v>
      </c>
      <c r="C302" s="56" t="s">
        <v>4157</v>
      </c>
      <c r="D302" s="56" t="s">
        <v>37</v>
      </c>
      <c r="E302" s="56" t="s">
        <v>2939</v>
      </c>
      <c r="F302" s="56" t="s">
        <v>4158</v>
      </c>
      <c r="G302" s="56">
        <v>386</v>
      </c>
      <c r="H302" s="56">
        <v>176</v>
      </c>
      <c r="I302" s="58">
        <v>0.45595854922279794</v>
      </c>
      <c r="J302" s="56" t="s">
        <v>4159</v>
      </c>
      <c r="K302" s="56" t="s">
        <v>1893</v>
      </c>
      <c r="L302" s="56" t="s">
        <v>2942</v>
      </c>
      <c r="M302" s="56" t="str">
        <f>HYPERLINK("https://dribble.octin.io/?mode=Single+log&amp;log_id=9d8d49c9-30ac-4d43-8bbf-b3cc2301887a","URL")</f>
        <v>URL</v>
      </c>
      <c r="N302" s="56" t="s">
        <v>3472</v>
      </c>
      <c r="O302" t="str">
        <f>_xlfn.XLOOKUP(N302,'Error-codes'!$C$2:$C$130,'Error-codes'!$B$2:$B$130, "None")</f>
        <v>Excessive slip detected</v>
      </c>
      <c r="P302" s="46" t="s">
        <v>4160</v>
      </c>
      <c r="U302" s="81">
        <f>DATEVALUE(LEFT(F302,10))</f>
        <v>44876</v>
      </c>
    </row>
    <row r="303" spans="1:22" hidden="1">
      <c r="A303" s="56" t="s">
        <v>4156</v>
      </c>
      <c r="B303" s="56" t="s">
        <v>295</v>
      </c>
      <c r="C303" s="56" t="s">
        <v>4157</v>
      </c>
      <c r="D303" s="56" t="s">
        <v>37</v>
      </c>
      <c r="E303" s="56" t="s">
        <v>3242</v>
      </c>
      <c r="F303" s="56" t="s">
        <v>4158</v>
      </c>
      <c r="G303" s="56">
        <v>386</v>
      </c>
      <c r="H303" s="56">
        <v>177</v>
      </c>
      <c r="I303" s="58">
        <v>0.45854922279792748</v>
      </c>
      <c r="J303" s="56" t="s">
        <v>3504</v>
      </c>
      <c r="K303" s="56" t="s">
        <v>1893</v>
      </c>
      <c r="L303" s="56" t="s">
        <v>2942</v>
      </c>
      <c r="M303" s="56" t="str">
        <f>HYPERLINK("https://dribble.octin.io/?mode=Single+log&amp;log_id=9d8d49c9-30ac-4d43-8bbf-b3cc2301887a","URL")</f>
        <v>URL</v>
      </c>
      <c r="N303" s="56" t="s">
        <v>3468</v>
      </c>
      <c r="O303" t="str">
        <f>_xlfn.XLOOKUP(N303,'Error-codes'!$C$2:$C$130,'Error-codes'!$B$2:$B$130, "None")</f>
        <v>no vision heartbeat</v>
      </c>
      <c r="P303" t="s">
        <v>4161</v>
      </c>
      <c r="U303" s="81">
        <f>DATEVALUE(LEFT(F303,10))</f>
        <v>44876</v>
      </c>
    </row>
    <row r="304" spans="1:22" hidden="1">
      <c r="A304" s="56"/>
      <c r="B304" s="56" t="s">
        <v>228</v>
      </c>
      <c r="C304" s="56" t="s">
        <v>4162</v>
      </c>
      <c r="D304" s="56" t="s">
        <v>37</v>
      </c>
      <c r="E304" s="56" t="s">
        <v>2930</v>
      </c>
      <c r="F304" s="56" t="s">
        <v>4163</v>
      </c>
      <c r="G304" s="56">
        <v>101</v>
      </c>
      <c r="H304" s="56">
        <v>85</v>
      </c>
      <c r="I304" s="58">
        <v>0.84158415841584155</v>
      </c>
      <c r="J304" s="56" t="s">
        <v>4164</v>
      </c>
      <c r="K304" s="56" t="s">
        <v>2166</v>
      </c>
      <c r="L304" s="56" t="s">
        <v>2948</v>
      </c>
      <c r="N304" s="56" t="s">
        <v>3446</v>
      </c>
      <c r="O304" t="str">
        <f>_xlfn.XLOOKUP(N304,'Error-codes'!$C$2:$C$130,'Error-codes'!$B$2:$B$130, "None")</f>
        <v>end of lane wall sensor error</v>
      </c>
      <c r="P304" t="s">
        <v>3046</v>
      </c>
      <c r="U304" s="81">
        <f>DATEVALUE(LEFT(F304,10))</f>
        <v>44877</v>
      </c>
    </row>
    <row r="305" spans="1:21" hidden="1">
      <c r="B305" s="56" t="s">
        <v>2886</v>
      </c>
      <c r="C305" s="56" t="s">
        <v>4165</v>
      </c>
      <c r="D305" s="56" t="s">
        <v>388</v>
      </c>
      <c r="F305" s="56" t="s">
        <v>4166</v>
      </c>
      <c r="G305" s="56">
        <v>101</v>
      </c>
      <c r="H305" s="56">
        <v>101</v>
      </c>
      <c r="I305" s="58">
        <v>1</v>
      </c>
      <c r="K305" s="56" t="s">
        <v>2166</v>
      </c>
      <c r="L305" s="56" t="s">
        <v>2948</v>
      </c>
      <c r="O305">
        <f>_xlfn.XLOOKUP(N305,'Error-codes'!$C$2:$C$130,'Error-codes'!$B$2:$B$130, "None")</f>
        <v>0</v>
      </c>
      <c r="U305" s="81">
        <f>DATEVALUE(LEFT(F305,10))</f>
        <v>44877</v>
      </c>
    </row>
    <row r="306" spans="1:21" hidden="1">
      <c r="B306" s="56" t="s">
        <v>2886</v>
      </c>
      <c r="C306" s="56" t="s">
        <v>4167</v>
      </c>
      <c r="D306" s="56"/>
      <c r="F306" s="56" t="s">
        <v>4168</v>
      </c>
      <c r="G306" s="56">
        <v>102</v>
      </c>
      <c r="H306" s="56">
        <v>32</v>
      </c>
      <c r="I306" s="58">
        <v>0.31372549019607843</v>
      </c>
      <c r="K306" s="56" t="s">
        <v>2171</v>
      </c>
      <c r="L306" s="56" t="s">
        <v>2948</v>
      </c>
      <c r="O306">
        <f>_xlfn.XLOOKUP(N306,'Error-codes'!$C$2:$C$130,'Error-codes'!$B$2:$B$130, "None")</f>
        <v>0</v>
      </c>
      <c r="U306" s="81">
        <f>DATEVALUE(LEFT(F306,10))</f>
        <v>44877</v>
      </c>
    </row>
    <row r="307" spans="1:21" hidden="1">
      <c r="A307" s="56"/>
      <c r="B307" s="56" t="s">
        <v>29</v>
      </c>
      <c r="C307" s="56" t="s">
        <v>4169</v>
      </c>
      <c r="D307" s="56" t="s">
        <v>22</v>
      </c>
      <c r="E307" s="56" t="s">
        <v>2939</v>
      </c>
      <c r="F307" s="56" t="s">
        <v>4170</v>
      </c>
      <c r="G307" s="56">
        <v>187</v>
      </c>
      <c r="H307" s="56">
        <v>1</v>
      </c>
      <c r="I307" s="56">
        <v>5.3475935828877002E-3</v>
      </c>
      <c r="J307" s="56" t="s">
        <v>3315</v>
      </c>
      <c r="K307" s="56" t="s">
        <v>1893</v>
      </c>
      <c r="L307" s="56" t="s">
        <v>2942</v>
      </c>
      <c r="N307" s="56" t="s">
        <v>3476</v>
      </c>
      <c r="O307" t="str">
        <f>_xlfn.XLOOKUP(N307,'Error-codes'!$C$2:$C$130,'Error-codes'!$B$2:$B$130, "None")</f>
        <v>failed to switch uv lamp state</v>
      </c>
      <c r="U307" s="81">
        <f>DATEVALUE(LEFT(F307,10))</f>
        <v>44877</v>
      </c>
    </row>
    <row r="308" spans="1:21" hidden="1">
      <c r="B308" s="56" t="s">
        <v>295</v>
      </c>
      <c r="C308" s="56" t="s">
        <v>4171</v>
      </c>
      <c r="D308" s="56"/>
      <c r="F308" s="56" t="s">
        <v>4172</v>
      </c>
      <c r="G308" s="56">
        <v>142</v>
      </c>
      <c r="H308" s="56">
        <v>1</v>
      </c>
      <c r="I308" s="58">
        <v>7.0422535211267607E-3</v>
      </c>
      <c r="K308" s="56" t="s">
        <v>1873</v>
      </c>
      <c r="L308" s="56" t="s">
        <v>2942</v>
      </c>
      <c r="N308" s="56" t="s">
        <v>3466</v>
      </c>
      <c r="O308" t="str">
        <f>_xlfn.XLOOKUP(N308,'Error-codes'!$C$2:$C$130,'Error-codes'!$B$2:$B$130, "None")</f>
        <v>vision error</v>
      </c>
      <c r="P308" t="s">
        <v>3046</v>
      </c>
      <c r="U308" s="81">
        <f>DATEVALUE(LEFT(F308,10))</f>
        <v>44877</v>
      </c>
    </row>
    <row r="309" spans="1:21" hidden="1">
      <c r="A309" s="56"/>
      <c r="B309" s="56" t="s">
        <v>29</v>
      </c>
      <c r="C309" s="56" t="s">
        <v>4169</v>
      </c>
      <c r="D309" s="56" t="s">
        <v>22</v>
      </c>
      <c r="E309" s="56" t="s">
        <v>2939</v>
      </c>
      <c r="F309" s="56" t="s">
        <v>4173</v>
      </c>
      <c r="G309" s="56">
        <v>187</v>
      </c>
      <c r="H309" s="56">
        <v>3</v>
      </c>
      <c r="I309" s="56">
        <v>1.6042780748663103E-2</v>
      </c>
      <c r="J309" s="56" t="s">
        <v>4174</v>
      </c>
      <c r="K309" s="56" t="s">
        <v>1893</v>
      </c>
      <c r="L309" s="56" t="s">
        <v>2942</v>
      </c>
      <c r="N309" s="56" t="s">
        <v>3476</v>
      </c>
      <c r="O309" t="str">
        <f>_xlfn.XLOOKUP(N309,'Error-codes'!$C$2:$C$130,'Error-codes'!$B$2:$B$130, "None")</f>
        <v>failed to switch uv lamp state</v>
      </c>
      <c r="U309" s="81">
        <f>DATEVALUE(LEFT(F309,10))</f>
        <v>44877</v>
      </c>
    </row>
    <row r="310" spans="1:21" hidden="1">
      <c r="A310" s="56"/>
      <c r="B310" s="56" t="s">
        <v>29</v>
      </c>
      <c r="C310" s="56" t="s">
        <v>4175</v>
      </c>
      <c r="D310" s="56" t="s">
        <v>37</v>
      </c>
      <c r="E310" s="56" t="s">
        <v>2939</v>
      </c>
      <c r="F310" s="56" t="s">
        <v>4176</v>
      </c>
      <c r="G310" s="56">
        <v>210</v>
      </c>
      <c r="H310" s="56">
        <v>0</v>
      </c>
      <c r="I310" s="56">
        <v>0</v>
      </c>
      <c r="J310" s="56" t="s">
        <v>353</v>
      </c>
      <c r="K310" s="56" t="s">
        <v>1893</v>
      </c>
      <c r="L310" s="56" t="s">
        <v>2942</v>
      </c>
      <c r="N310" s="56" t="s">
        <v>3476</v>
      </c>
      <c r="O310" t="str">
        <f>_xlfn.XLOOKUP(N310,'Error-codes'!$C$2:$C$130,'Error-codes'!$B$2:$B$130, "None")</f>
        <v>failed to switch uv lamp state</v>
      </c>
      <c r="U310" s="81">
        <f>DATEVALUE(LEFT(F310,10))</f>
        <v>44877</v>
      </c>
    </row>
    <row r="311" spans="1:21" hidden="1">
      <c r="A311" s="56"/>
      <c r="B311" s="56" t="s">
        <v>29</v>
      </c>
      <c r="C311" s="56" t="s">
        <v>4175</v>
      </c>
      <c r="D311" s="56" t="s">
        <v>37</v>
      </c>
      <c r="E311" s="56" t="s">
        <v>2939</v>
      </c>
      <c r="F311" s="56" t="s">
        <v>4177</v>
      </c>
      <c r="G311" s="56">
        <v>210</v>
      </c>
      <c r="H311" s="56">
        <v>1</v>
      </c>
      <c r="I311" s="56">
        <v>4.7619047619047623E-3</v>
      </c>
      <c r="J311" s="56" t="s">
        <v>3886</v>
      </c>
      <c r="K311" s="56" t="s">
        <v>1893</v>
      </c>
      <c r="L311" s="56" t="s">
        <v>2942</v>
      </c>
      <c r="N311" s="56" t="s">
        <v>3476</v>
      </c>
      <c r="O311" t="str">
        <f>_xlfn.XLOOKUP(N311,'Error-codes'!$C$2:$C$130,'Error-codes'!$B$2:$B$130, "None")</f>
        <v>failed to switch uv lamp state</v>
      </c>
      <c r="U311" s="81">
        <f>DATEVALUE(LEFT(F311,10))</f>
        <v>44877</v>
      </c>
    </row>
    <row r="312" spans="1:21" hidden="1">
      <c r="A312" s="56"/>
      <c r="B312" s="56" t="s">
        <v>29</v>
      </c>
      <c r="C312" s="56" t="s">
        <v>4175</v>
      </c>
      <c r="D312" s="56" t="s">
        <v>37</v>
      </c>
      <c r="E312" s="56" t="s">
        <v>3242</v>
      </c>
      <c r="F312" s="56" t="s">
        <v>4178</v>
      </c>
      <c r="G312" s="56">
        <v>210</v>
      </c>
      <c r="H312" s="56">
        <v>2</v>
      </c>
      <c r="I312" s="56">
        <v>9.5238095238095247E-3</v>
      </c>
      <c r="J312" s="56" t="s">
        <v>3504</v>
      </c>
      <c r="K312" s="56" t="s">
        <v>1893</v>
      </c>
      <c r="L312" s="56" t="s">
        <v>2942</v>
      </c>
      <c r="N312" s="56" t="s">
        <v>3436</v>
      </c>
      <c r="O312" t="str">
        <f>_xlfn.XLOOKUP(N312,'Error-codes'!$C$2:$C$130,'Error-codes'!$B$2:$B$130, "None")</f>
        <v>Obstacle avoidance (AStar) timeout</v>
      </c>
      <c r="U312" s="81">
        <f>DATEVALUE(LEFT(F312,10))</f>
        <v>44877</v>
      </c>
    </row>
    <row r="313" spans="1:21" hidden="1">
      <c r="A313" s="56"/>
      <c r="B313" s="56" t="s">
        <v>228</v>
      </c>
      <c r="C313" s="56" t="s">
        <v>3063</v>
      </c>
      <c r="D313" s="56" t="s">
        <v>37</v>
      </c>
      <c r="E313" s="56" t="s">
        <v>2930</v>
      </c>
      <c r="F313" s="56" t="s">
        <v>3064</v>
      </c>
      <c r="G313" s="56">
        <v>102</v>
      </c>
      <c r="H313" s="56">
        <v>40</v>
      </c>
      <c r="I313" s="58">
        <v>0.39215686274509803</v>
      </c>
      <c r="J313" s="56" t="s">
        <v>3065</v>
      </c>
      <c r="K313" s="56" t="s">
        <v>2171</v>
      </c>
      <c r="L313" s="56" t="s">
        <v>2948</v>
      </c>
      <c r="N313" s="56" t="s">
        <v>2933</v>
      </c>
      <c r="O313" t="str">
        <f>_xlfn.XLOOKUP(N313,'Error-codes'!$C$2:$C$130,'Error-codes'!$B$2:$B$130, "None")</f>
        <v>inductive sensor error</v>
      </c>
      <c r="P313" t="s">
        <v>3046</v>
      </c>
      <c r="U313" s="81">
        <f>DATEVALUE(LEFT(F313,10))</f>
        <v>44877</v>
      </c>
    </row>
    <row r="314" spans="1:21" hidden="1">
      <c r="A314" s="56"/>
      <c r="B314" s="56" t="s">
        <v>295</v>
      </c>
      <c r="C314" s="56" t="s">
        <v>4179</v>
      </c>
      <c r="D314" s="56" t="s">
        <v>37</v>
      </c>
      <c r="E314" s="56" t="s">
        <v>3242</v>
      </c>
      <c r="F314" s="56" t="s">
        <v>4180</v>
      </c>
      <c r="G314" s="56">
        <v>219</v>
      </c>
      <c r="H314" s="56">
        <v>80</v>
      </c>
      <c r="I314" s="58">
        <v>0.36529680365296802</v>
      </c>
      <c r="J314" s="56" t="s">
        <v>398</v>
      </c>
      <c r="K314" s="56" t="s">
        <v>1873</v>
      </c>
      <c r="L314" s="56" t="s">
        <v>2942</v>
      </c>
      <c r="N314" s="56" t="s">
        <v>3468</v>
      </c>
      <c r="O314" t="str">
        <f>_xlfn.XLOOKUP(N314,'Error-codes'!$C$2:$C$130,'Error-codes'!$B$2:$B$130, "None")</f>
        <v>no vision heartbeat</v>
      </c>
      <c r="U314" s="81">
        <f>DATEVALUE(LEFT(F314,10))</f>
        <v>44877</v>
      </c>
    </row>
    <row r="315" spans="1:21" hidden="1">
      <c r="B315" s="56" t="s">
        <v>295</v>
      </c>
      <c r="C315" s="56" t="s">
        <v>4179</v>
      </c>
      <c r="D315" s="56" t="s">
        <v>37</v>
      </c>
      <c r="F315" s="56" t="s">
        <v>4181</v>
      </c>
      <c r="G315" s="56">
        <v>219</v>
      </c>
      <c r="H315" s="56">
        <v>79</v>
      </c>
      <c r="I315" s="58">
        <v>0.36073059360730592</v>
      </c>
      <c r="K315" s="56" t="s">
        <v>1873</v>
      </c>
      <c r="L315" s="56" t="s">
        <v>2942</v>
      </c>
      <c r="N315" s="56" t="s">
        <v>3444</v>
      </c>
      <c r="O315" t="str">
        <f>_xlfn.XLOOKUP(N315,'Error-codes'!$C$2:$C$130,'Error-codes'!$B$2:$B$130, "None")</f>
        <v>collision detected in operational state for the 4th time in a row</v>
      </c>
      <c r="P315" t="s">
        <v>3046</v>
      </c>
      <c r="U315" s="81">
        <f>DATEVALUE(LEFT(F315,10))</f>
        <v>44877</v>
      </c>
    </row>
    <row r="316" spans="1:21" hidden="1">
      <c r="B316" s="56" t="s">
        <v>29</v>
      </c>
      <c r="C316" s="56" t="s">
        <v>4182</v>
      </c>
      <c r="D316" s="56" t="s">
        <v>37</v>
      </c>
      <c r="F316" s="56" t="s">
        <v>4183</v>
      </c>
      <c r="G316" s="56">
        <v>183</v>
      </c>
      <c r="H316" s="56">
        <v>112</v>
      </c>
      <c r="I316" s="58">
        <v>0.61202185792349728</v>
      </c>
      <c r="K316" s="56" t="s">
        <v>1893</v>
      </c>
      <c r="L316" s="56" t="s">
        <v>2942</v>
      </c>
      <c r="N316" t="s">
        <v>3472</v>
      </c>
      <c r="O316" t="str">
        <f>_xlfn.XLOOKUP(N316,'Error-codes'!$C$2:$C$130,'Error-codes'!$B$2:$B$130, "None")</f>
        <v>Excessive slip detected</v>
      </c>
      <c r="P316" t="s">
        <v>3046</v>
      </c>
      <c r="U316" s="81">
        <f>DATEVALUE(LEFT(F316,10))</f>
        <v>44878</v>
      </c>
    </row>
    <row r="317" spans="1:21" hidden="1">
      <c r="B317" s="56" t="s">
        <v>295</v>
      </c>
      <c r="C317" s="56" t="s">
        <v>4184</v>
      </c>
      <c r="D317" s="56"/>
      <c r="F317" s="56" t="s">
        <v>4185</v>
      </c>
      <c r="G317" s="56">
        <v>80</v>
      </c>
      <c r="H317" s="56">
        <v>28</v>
      </c>
      <c r="I317" s="58">
        <v>0.35</v>
      </c>
      <c r="K317" s="56" t="s">
        <v>1873</v>
      </c>
      <c r="L317" s="56" t="s">
        <v>2942</v>
      </c>
      <c r="O317">
        <f>_xlfn.XLOOKUP(N317,'Error-codes'!$C$2:$C$130,'Error-codes'!$B$2:$B$130, "None")</f>
        <v>0</v>
      </c>
      <c r="P317" t="s">
        <v>4186</v>
      </c>
      <c r="U317" s="81">
        <f>DATEVALUE(LEFT(F317,10))</f>
        <v>44878</v>
      </c>
    </row>
    <row r="318" spans="1:21" hidden="1">
      <c r="B318" s="56" t="s">
        <v>29</v>
      </c>
      <c r="C318" s="56" t="s">
        <v>4187</v>
      </c>
      <c r="D318" s="56" t="s">
        <v>37</v>
      </c>
      <c r="F318" s="56" t="s">
        <v>4188</v>
      </c>
      <c r="G318" s="56">
        <v>140</v>
      </c>
      <c r="H318" s="56">
        <v>26</v>
      </c>
      <c r="I318" s="58">
        <v>0.18571428571428572</v>
      </c>
      <c r="K318" s="56" t="s">
        <v>1893</v>
      </c>
      <c r="L318" s="56" t="s">
        <v>2942</v>
      </c>
      <c r="N318" t="s">
        <v>3458</v>
      </c>
      <c r="O318" t="str">
        <f>_xlfn.XLOOKUP(N318,'Error-codes'!$C$2:$C$130,'Error-codes'!$B$2:$B$130, "None")</f>
        <v>motor drive: UNDER VOLTAGE</v>
      </c>
      <c r="P318" t="s">
        <v>3046</v>
      </c>
      <c r="U318" s="81">
        <f>DATEVALUE(LEFT(F318,10))</f>
        <v>44878</v>
      </c>
    </row>
    <row r="319" spans="1:21" hidden="1">
      <c r="A319" s="56" t="s">
        <v>4189</v>
      </c>
      <c r="B319" s="56" t="s">
        <v>295</v>
      </c>
      <c r="C319" s="56" t="s">
        <v>4190</v>
      </c>
      <c r="D319" s="56" t="s">
        <v>37</v>
      </c>
      <c r="E319" s="56" t="s">
        <v>3242</v>
      </c>
      <c r="F319" s="56" t="s">
        <v>4191</v>
      </c>
      <c r="G319" s="56">
        <v>139</v>
      </c>
      <c r="H319" s="56">
        <v>0</v>
      </c>
      <c r="I319" s="58">
        <v>0</v>
      </c>
      <c r="J319" s="56" t="s">
        <v>4192</v>
      </c>
      <c r="K319" s="56" t="s">
        <v>1893</v>
      </c>
      <c r="L319" s="56" t="s">
        <v>2942</v>
      </c>
      <c r="M319" s="56" t="str">
        <f>HYPERLINK("https://dribble.octin.io/?mode=Single+log&amp;log_id=679af4f0-e8ef-415d-bc61-6682d08def87","URL")</f>
        <v>URL</v>
      </c>
      <c r="N319" s="56" t="s">
        <v>3434</v>
      </c>
      <c r="O319" t="str">
        <f>_xlfn.XLOOKUP(N319,'Error-codes'!$C$2:$C$130,'Error-codes'!$B$2:$B$130, "None")</f>
        <v>Global path planning failed</v>
      </c>
      <c r="P319" t="s">
        <v>4193</v>
      </c>
      <c r="U319" s="81">
        <f>DATEVALUE(LEFT(F319,10))</f>
        <v>44878</v>
      </c>
    </row>
    <row r="320" spans="1:21" ht="45.75" hidden="1">
      <c r="A320" s="56" t="s">
        <v>4194</v>
      </c>
      <c r="B320" s="56" t="s">
        <v>295</v>
      </c>
      <c r="C320" s="56" t="s">
        <v>4195</v>
      </c>
      <c r="D320" s="56" t="s">
        <v>37</v>
      </c>
      <c r="E320" s="56" t="s">
        <v>3288</v>
      </c>
      <c r="F320" s="56" t="s">
        <v>4196</v>
      </c>
      <c r="G320" s="56">
        <v>210</v>
      </c>
      <c r="H320" s="56">
        <v>0</v>
      </c>
      <c r="I320" s="58">
        <v>0</v>
      </c>
      <c r="J320" s="56" t="s">
        <v>293</v>
      </c>
      <c r="K320" s="56" t="s">
        <v>1873</v>
      </c>
      <c r="L320" s="56" t="s">
        <v>2942</v>
      </c>
      <c r="M320" s="56" t="str">
        <f>HYPERLINK("https://dribble.octin.io/?mode=Single+log&amp;log_id=642c3aa4-e849-4ebc-9668-b972f7169d15","URL")</f>
        <v>URL</v>
      </c>
      <c r="N320" s="56" t="s">
        <v>3474</v>
      </c>
      <c r="O320" t="str">
        <f>_xlfn.XLOOKUP(N320,'Error-codes'!$C$2:$C$130,'Error-codes'!$B$2:$B$130, "None")</f>
        <v>unexpected uv lamp state switch</v>
      </c>
      <c r="P320" s="46" t="s">
        <v>4197</v>
      </c>
      <c r="U320" s="81">
        <f>DATEVALUE(LEFT(F320,10))</f>
        <v>44878</v>
      </c>
    </row>
    <row r="321" spans="1:22" ht="30.75" hidden="1">
      <c r="A321" t="s">
        <v>4198</v>
      </c>
      <c r="B321" s="56" t="s">
        <v>29</v>
      </c>
      <c r="C321" s="56" t="s">
        <v>4199</v>
      </c>
      <c r="D321" s="56" t="s">
        <v>22</v>
      </c>
      <c r="F321" s="56" t="s">
        <v>4200</v>
      </c>
      <c r="G321" s="56">
        <v>210</v>
      </c>
      <c r="H321" s="56">
        <v>3</v>
      </c>
      <c r="I321" s="58">
        <v>1.4285714285714285E-2</v>
      </c>
      <c r="K321" s="56" t="s">
        <v>1893</v>
      </c>
      <c r="L321" s="56" t="s">
        <v>2942</v>
      </c>
      <c r="M321" s="61" t="str">
        <f>HYPERLINK(CONCATENATE("https://dribble.octin.io/?mode=Single+log&amp;log_id=", $A321),"URL")</f>
        <v>URL</v>
      </c>
      <c r="N321" t="s">
        <v>3442</v>
      </c>
      <c r="O321" t="str">
        <f>_xlfn.XLOOKUP(N321,'Error-codes'!$C$2:$C$130,'Error-codes'!$B$2:$B$130, "None")</f>
        <v>vehicle diverged too far from trajectory</v>
      </c>
      <c r="P321" s="46" t="s">
        <v>4201</v>
      </c>
      <c r="U321" s="81">
        <f>DATEVALUE(LEFT(F321,10))</f>
        <v>44878</v>
      </c>
    </row>
    <row r="322" spans="1:22" hidden="1">
      <c r="B322" s="56" t="s">
        <v>29</v>
      </c>
      <c r="C322" s="56" t="s">
        <v>4202</v>
      </c>
      <c r="D322" s="56" t="s">
        <v>37</v>
      </c>
      <c r="F322" s="56" t="s">
        <v>4203</v>
      </c>
      <c r="G322" s="56">
        <v>179</v>
      </c>
      <c r="H322" s="56">
        <v>0</v>
      </c>
      <c r="I322" s="58">
        <v>0</v>
      </c>
      <c r="K322" s="56" t="s">
        <v>1893</v>
      </c>
      <c r="L322" s="56" t="s">
        <v>2942</v>
      </c>
      <c r="N322" s="56" t="s">
        <v>3476</v>
      </c>
      <c r="O322" t="str">
        <f>_xlfn.XLOOKUP(N322,'Error-codes'!$C$2:$C$130,'Error-codes'!$B$2:$B$130, "None")</f>
        <v>failed to switch uv lamp state</v>
      </c>
      <c r="P322" t="s">
        <v>3046</v>
      </c>
      <c r="U322" s="81">
        <f>DATEVALUE(LEFT(F322,10))</f>
        <v>44878</v>
      </c>
    </row>
    <row r="323" spans="1:22" hidden="1">
      <c r="A323" s="56" t="s">
        <v>4204</v>
      </c>
      <c r="B323" s="56" t="s">
        <v>29</v>
      </c>
      <c r="C323" s="56" t="s">
        <v>4205</v>
      </c>
      <c r="D323" s="56" t="s">
        <v>37</v>
      </c>
      <c r="E323" s="56" t="s">
        <v>3242</v>
      </c>
      <c r="F323" s="56" t="s">
        <v>4206</v>
      </c>
      <c r="G323" s="56">
        <v>179</v>
      </c>
      <c r="H323" s="56">
        <v>0</v>
      </c>
      <c r="I323" s="58">
        <v>0</v>
      </c>
      <c r="J323" s="56" t="s">
        <v>4207</v>
      </c>
      <c r="K323" s="56" t="s">
        <v>1893</v>
      </c>
      <c r="L323" s="56" t="s">
        <v>2942</v>
      </c>
      <c r="M323" s="56" t="str">
        <f>HYPERLINK("https://dribble.octin.io/?mode=Single+log&amp;log_id=cc45f801-fe22-496a-983c-1b560558125f","URL")</f>
        <v>URL</v>
      </c>
      <c r="N323" s="56" t="s">
        <v>3434</v>
      </c>
      <c r="O323" t="str">
        <f>_xlfn.XLOOKUP(N323,'Error-codes'!$C$2:$C$130,'Error-codes'!$B$2:$B$130, "None")</f>
        <v>Global path planning failed</v>
      </c>
      <c r="P323" t="s">
        <v>4208</v>
      </c>
      <c r="U323" s="81">
        <f>DATEVALUE(LEFT(F323,10))</f>
        <v>44878</v>
      </c>
    </row>
    <row r="324" spans="1:22" ht="30.75" hidden="1">
      <c r="A324" s="56" t="s">
        <v>4209</v>
      </c>
      <c r="B324" s="56" t="s">
        <v>295</v>
      </c>
      <c r="C324" s="56" t="s">
        <v>4210</v>
      </c>
      <c r="D324" s="56" t="s">
        <v>37</v>
      </c>
      <c r="E324" s="56" t="s">
        <v>3242</v>
      </c>
      <c r="F324" s="56" t="s">
        <v>4211</v>
      </c>
      <c r="G324" s="56">
        <v>139</v>
      </c>
      <c r="H324" s="56">
        <v>0</v>
      </c>
      <c r="I324" s="58">
        <v>0</v>
      </c>
      <c r="J324" s="56" t="s">
        <v>4192</v>
      </c>
      <c r="K324" s="56" t="s">
        <v>1893</v>
      </c>
      <c r="L324" s="56" t="s">
        <v>2942</v>
      </c>
      <c r="M324" s="56" t="str">
        <f>HYPERLINK("https://dribble.octin.io/?mode=Single+log&amp;log_id=afcd6d44-f756-43df-9899-b569157f5d1c","URL")</f>
        <v>URL</v>
      </c>
      <c r="N324" s="56" t="s">
        <v>3434</v>
      </c>
      <c r="O324" t="str">
        <f>_xlfn.XLOOKUP(N324,'Error-codes'!$C$2:$C$130,'Error-codes'!$B$2:$B$130, "None")</f>
        <v>Global path planning failed</v>
      </c>
      <c r="P324" s="46" t="s">
        <v>4212</v>
      </c>
      <c r="U324" s="81">
        <f>DATEVALUE(LEFT(F324,10))</f>
        <v>44878</v>
      </c>
    </row>
    <row r="325" spans="1:22" hidden="1">
      <c r="A325" s="56"/>
      <c r="B325" s="56" t="s">
        <v>295</v>
      </c>
      <c r="C325" s="56" t="s">
        <v>4213</v>
      </c>
      <c r="D325" s="56"/>
      <c r="E325" s="56" t="s">
        <v>2939</v>
      </c>
      <c r="F325" s="56" t="s">
        <v>4214</v>
      </c>
      <c r="G325" s="56">
        <v>211</v>
      </c>
      <c r="H325" s="56">
        <v>0</v>
      </c>
      <c r="I325" s="58">
        <v>0</v>
      </c>
      <c r="J325" s="56" t="s">
        <v>293</v>
      </c>
      <c r="K325" s="56" t="s">
        <v>1893</v>
      </c>
      <c r="L325" s="56" t="s">
        <v>2942</v>
      </c>
      <c r="N325" s="56" t="s">
        <v>3446</v>
      </c>
      <c r="O325" t="str">
        <f>_xlfn.XLOOKUP(N325,'Error-codes'!$C$2:$C$130,'Error-codes'!$B$2:$B$130, "None")</f>
        <v>end of lane wall sensor error</v>
      </c>
      <c r="P325" t="s">
        <v>3046</v>
      </c>
      <c r="U325" s="81">
        <f>DATEVALUE(LEFT(F325,10))</f>
        <v>44878</v>
      </c>
    </row>
    <row r="326" spans="1:22" ht="76.5" hidden="1">
      <c r="A326" s="56" t="s">
        <v>4215</v>
      </c>
      <c r="B326" s="56" t="s">
        <v>295</v>
      </c>
      <c r="C326" s="56" t="s">
        <v>4213</v>
      </c>
      <c r="D326" s="56"/>
      <c r="E326" s="56"/>
      <c r="F326" s="56" t="s">
        <v>4216</v>
      </c>
      <c r="G326" s="56">
        <v>211</v>
      </c>
      <c r="H326" s="56">
        <v>1</v>
      </c>
      <c r="I326" s="58">
        <v>4.7393364928909956E-3</v>
      </c>
      <c r="J326" s="56" t="s">
        <v>293</v>
      </c>
      <c r="K326" s="56" t="s">
        <v>1893</v>
      </c>
      <c r="L326" s="56" t="s">
        <v>2942</v>
      </c>
      <c r="M326" s="56" t="str">
        <f>HYPERLINK("https://dribble.octin.io/?mode=Single+log&amp;log_id=8e7c53ba-1821-422c-ae11-1ee6aad71afb","URL")</f>
        <v>URL</v>
      </c>
      <c r="N326" s="56" t="s">
        <v>3440</v>
      </c>
      <c r="O326" t="str">
        <f>_xlfn.XLOOKUP(N326,'Error-codes'!$C$2:$C$130,'Error-codes'!$B$2:$B$130, "None")</f>
        <v>Trajectory generation timeout</v>
      </c>
      <c r="P326" s="46" t="s">
        <v>4217</v>
      </c>
      <c r="U326" s="81">
        <f>DATEVALUE(LEFT(F326,10))</f>
        <v>44878</v>
      </c>
    </row>
    <row r="327" spans="1:22" hidden="1">
      <c r="B327" s="56" t="s">
        <v>295</v>
      </c>
      <c r="C327" s="56" t="s">
        <v>4218</v>
      </c>
      <c r="D327" s="56" t="s">
        <v>37</v>
      </c>
      <c r="F327" s="56" t="s">
        <v>4219</v>
      </c>
      <c r="G327" s="56">
        <v>139</v>
      </c>
      <c r="H327" s="56">
        <v>7</v>
      </c>
      <c r="I327" s="58">
        <v>5.0359712230215826E-2</v>
      </c>
      <c r="K327" s="56" t="s">
        <v>1873</v>
      </c>
      <c r="L327" s="56" t="s">
        <v>2942</v>
      </c>
      <c r="N327" s="56" t="s">
        <v>3458</v>
      </c>
      <c r="O327" t="str">
        <f>_xlfn.XLOOKUP(N327,'Error-codes'!$C$2:$C$130,'Error-codes'!$B$2:$B$130, "None")</f>
        <v>motor drive: UNDER VOLTAGE</v>
      </c>
      <c r="P327" t="s">
        <v>3046</v>
      </c>
      <c r="U327" s="81">
        <f>DATEVALUE(LEFT(F327,10))</f>
        <v>44878</v>
      </c>
    </row>
    <row r="328" spans="1:22" ht="30.75" hidden="1">
      <c r="A328" s="56" t="s">
        <v>4220</v>
      </c>
      <c r="B328" s="56" t="s">
        <v>29</v>
      </c>
      <c r="C328" s="56" t="s">
        <v>4221</v>
      </c>
      <c r="D328" s="56" t="s">
        <v>37</v>
      </c>
      <c r="E328" s="56" t="s">
        <v>4222</v>
      </c>
      <c r="F328" s="56" t="s">
        <v>4223</v>
      </c>
      <c r="G328" s="56">
        <v>179</v>
      </c>
      <c r="H328" s="56">
        <v>5</v>
      </c>
      <c r="I328" s="58">
        <v>2.7932960893854747E-2</v>
      </c>
      <c r="J328" s="56" t="s">
        <v>4224</v>
      </c>
      <c r="K328" s="56" t="s">
        <v>1893</v>
      </c>
      <c r="L328" s="56" t="s">
        <v>2942</v>
      </c>
      <c r="M328" s="56" t="str">
        <f>HYPERLINK("https://dribble.octin.io/?mode=Single+log&amp;log_id=8fdd0257-8466-4cd7-aa52-91f6c9b5d72e","URL")</f>
        <v>URL</v>
      </c>
      <c r="N328" s="56" t="s">
        <v>3458</v>
      </c>
      <c r="O328" t="str">
        <f>_xlfn.XLOOKUP(N328,'Error-codes'!$C$2:$C$130,'Error-codes'!$B$2:$B$130, "None")</f>
        <v>motor drive: UNDER VOLTAGE</v>
      </c>
      <c r="P328" s="46" t="s">
        <v>4225</v>
      </c>
      <c r="U328" s="81">
        <f>DATEVALUE(LEFT(F328,10))</f>
        <v>44878</v>
      </c>
    </row>
    <row r="329" spans="1:22" hidden="1">
      <c r="A329" s="56" t="s">
        <v>4226</v>
      </c>
      <c r="B329" s="56" t="s">
        <v>295</v>
      </c>
      <c r="C329" s="56" t="s">
        <v>4227</v>
      </c>
      <c r="D329" s="56" t="s">
        <v>37</v>
      </c>
      <c r="E329" s="56" t="s">
        <v>4228</v>
      </c>
      <c r="F329" s="56" t="s">
        <v>4229</v>
      </c>
      <c r="G329" s="56">
        <v>210</v>
      </c>
      <c r="H329" s="56">
        <v>2</v>
      </c>
      <c r="I329" s="58">
        <v>9.5238095238095247E-3</v>
      </c>
      <c r="J329" s="56" t="s">
        <v>3801</v>
      </c>
      <c r="K329" s="56" t="s">
        <v>1893</v>
      </c>
      <c r="L329" s="56" t="s">
        <v>2942</v>
      </c>
      <c r="M329" s="56" t="str">
        <f>HYPERLINK("https://dribble.octin.io/?mode=Single+log&amp;log_id=bd17b74d-3a43-499b-a6fc-38ca23237e3c","URL")</f>
        <v>URL</v>
      </c>
      <c r="N329" s="56" t="s">
        <v>3454</v>
      </c>
      <c r="O329" t="str">
        <f>_xlfn.XLOOKUP(N329,'Error-codes'!$C$2:$C$130,'Error-codes'!$B$2:$B$130, "None")</f>
        <v>Veh low level FSM: safety was triggered</v>
      </c>
      <c r="P329" t="s">
        <v>4230</v>
      </c>
      <c r="U329" s="81">
        <f>DATEVALUE(LEFT(F329,10))</f>
        <v>44878</v>
      </c>
      <c r="V329">
        <v>6</v>
      </c>
    </row>
    <row r="330" spans="1:22" ht="30.75" hidden="1">
      <c r="A330" s="56" t="s">
        <v>4231</v>
      </c>
      <c r="B330" s="56" t="s">
        <v>295</v>
      </c>
      <c r="C330" s="56" t="s">
        <v>4232</v>
      </c>
      <c r="D330" s="56" t="s">
        <v>37</v>
      </c>
      <c r="E330" s="56" t="s">
        <v>3288</v>
      </c>
      <c r="F330" s="56" t="s">
        <v>4233</v>
      </c>
      <c r="G330" s="56">
        <v>210</v>
      </c>
      <c r="H330" s="56">
        <v>0</v>
      </c>
      <c r="I330" s="58">
        <v>0</v>
      </c>
      <c r="J330" s="56" t="s">
        <v>293</v>
      </c>
      <c r="K330" s="56" t="s">
        <v>1893</v>
      </c>
      <c r="L330" s="56" t="s">
        <v>2942</v>
      </c>
      <c r="M330" s="56" t="str">
        <f>HYPERLINK("https://dribble.octin.io/?mode=Single+log&amp;log_id=6674d940-eabf-4bdb-88f1-a95a4e0759b4","URL")</f>
        <v>URL</v>
      </c>
      <c r="N330" s="56" t="s">
        <v>3440</v>
      </c>
      <c r="O330" t="str">
        <f>_xlfn.XLOOKUP(N330,'Error-codes'!$C$2:$C$130,'Error-codes'!$B$2:$B$130, "None")</f>
        <v>Trajectory generation timeout</v>
      </c>
      <c r="P330" s="70" t="s">
        <v>4234</v>
      </c>
      <c r="U330" s="81">
        <f>DATEVALUE(LEFT(F330,10))</f>
        <v>44878</v>
      </c>
    </row>
    <row r="331" spans="1:22" hidden="1">
      <c r="A331" s="56" t="s">
        <v>4235</v>
      </c>
      <c r="B331" s="56" t="s">
        <v>2886</v>
      </c>
      <c r="C331" s="56" t="s">
        <v>4236</v>
      </c>
      <c r="D331" s="56" t="s">
        <v>37</v>
      </c>
      <c r="E331" s="56" t="s">
        <v>2930</v>
      </c>
      <c r="F331" s="56" t="s">
        <v>4237</v>
      </c>
      <c r="G331" s="56">
        <v>102</v>
      </c>
      <c r="H331" s="56">
        <v>20</v>
      </c>
      <c r="I331" s="58">
        <v>0.19607843137254902</v>
      </c>
      <c r="J331" s="56" t="s">
        <v>4238</v>
      </c>
      <c r="K331" s="56" t="s">
        <v>2171</v>
      </c>
      <c r="L331" s="56" t="s">
        <v>2932</v>
      </c>
      <c r="M331" s="56" t="str">
        <f>HYPERLINK("https://dribble.octin.io/?mode=Single+log&amp;log_id=a85d372d-4502-409e-bf69-58cfafc7a70e","URL")</f>
        <v>URL</v>
      </c>
      <c r="N331" s="56" t="s">
        <v>3442</v>
      </c>
      <c r="O331" t="str">
        <f>_xlfn.XLOOKUP(N331,'Error-codes'!$C$2:$C$130,'Error-codes'!$B$2:$B$130, "None")</f>
        <v>vehicle diverged too far from trajectory</v>
      </c>
      <c r="U331" s="81">
        <f>DATEVALUE(LEFT(F331,10))</f>
        <v>44878</v>
      </c>
    </row>
    <row r="332" spans="1:22" hidden="1">
      <c r="A332" s="56"/>
      <c r="B332" s="56" t="s">
        <v>228</v>
      </c>
      <c r="C332" s="56" t="s">
        <v>4239</v>
      </c>
      <c r="D332" s="56" t="s">
        <v>37</v>
      </c>
      <c r="E332" s="56" t="s">
        <v>2930</v>
      </c>
      <c r="F332" s="56" t="s">
        <v>4240</v>
      </c>
      <c r="G332" s="56">
        <v>102</v>
      </c>
      <c r="H332" s="56">
        <v>40</v>
      </c>
      <c r="I332" s="58">
        <v>0.39215686274509803</v>
      </c>
      <c r="J332" s="56" t="s">
        <v>4241</v>
      </c>
      <c r="K332" s="56" t="s">
        <v>2171</v>
      </c>
      <c r="L332" s="56" t="s">
        <v>2948</v>
      </c>
      <c r="N332" s="56" t="s">
        <v>3428</v>
      </c>
      <c r="O332" t="str">
        <f>_xlfn.XLOOKUP(N332,'Error-codes'!$C$2:$C$130,'Error-codes'!$B$2:$B$130, "None")</f>
        <v>received error from global planner while in {} state</v>
      </c>
      <c r="U332" s="81">
        <f>DATEVALUE(LEFT(F332,10))</f>
        <v>44878</v>
      </c>
    </row>
    <row r="333" spans="1:22" hidden="1">
      <c r="A333" s="56" t="s">
        <v>4242</v>
      </c>
      <c r="B333" s="56" t="s">
        <v>29</v>
      </c>
      <c r="C333" s="56" t="s">
        <v>4243</v>
      </c>
      <c r="D333" s="56" t="s">
        <v>37</v>
      </c>
      <c r="E333" s="56" t="s">
        <v>2939</v>
      </c>
      <c r="F333" s="56" t="s">
        <v>4244</v>
      </c>
      <c r="G333" s="56">
        <v>220</v>
      </c>
      <c r="H333" s="56">
        <v>80</v>
      </c>
      <c r="I333" s="58">
        <v>0.36363636363636365</v>
      </c>
      <c r="J333" s="56" t="s">
        <v>4245</v>
      </c>
      <c r="K333" s="56" t="s">
        <v>1873</v>
      </c>
      <c r="L333" s="56" t="s">
        <v>2942</v>
      </c>
      <c r="M333" s="56" t="str">
        <f>HYPERLINK("https://dribble.octin.io/?mode=Single+log&amp;log_id=074d9325-c9f5-42b4-ad39-ec19036c06ab","URL")</f>
        <v>URL</v>
      </c>
      <c r="N333" s="56" t="s">
        <v>3446</v>
      </c>
      <c r="O333" t="str">
        <f>_xlfn.XLOOKUP(N333,'Error-codes'!$C$2:$C$130,'Error-codes'!$B$2:$B$130, "None")</f>
        <v>end of lane wall sensor error</v>
      </c>
      <c r="P333" t="s">
        <v>4246</v>
      </c>
      <c r="U333" s="81">
        <f>DATEVALUE(LEFT(F333,10))</f>
        <v>44878</v>
      </c>
    </row>
    <row r="334" spans="1:22" hidden="1">
      <c r="A334" s="56" t="s">
        <v>4247</v>
      </c>
      <c r="B334" s="56" t="s">
        <v>29</v>
      </c>
      <c r="C334" s="56" t="s">
        <v>4243</v>
      </c>
      <c r="D334" s="56" t="s">
        <v>37</v>
      </c>
      <c r="E334" s="56" t="s">
        <v>4248</v>
      </c>
      <c r="F334" s="56" t="s">
        <v>4249</v>
      </c>
      <c r="G334" s="56">
        <v>220</v>
      </c>
      <c r="H334" s="56">
        <v>81</v>
      </c>
      <c r="I334" s="58">
        <v>0.36818181818181817</v>
      </c>
      <c r="J334" s="56" t="s">
        <v>4192</v>
      </c>
      <c r="K334" s="56" t="s">
        <v>1873</v>
      </c>
      <c r="L334" s="56" t="s">
        <v>2942</v>
      </c>
      <c r="M334" s="56" t="str">
        <f>HYPERLINK("https://dribble.octin.io/?mode=Single+log&amp;log_id=6d4f4a43-6c54-48eb-97e6-021f9132a6fb","URL")</f>
        <v>URL</v>
      </c>
      <c r="N334" s="56" t="s">
        <v>3460</v>
      </c>
      <c r="O334" t="str">
        <f>_xlfn.XLOOKUP(N334,'Error-codes'!$C$2:$C$130,'Error-codes'!$B$2:$B$130, "None")</f>
        <v>motor drive: DRV8353 FAULT</v>
      </c>
      <c r="P334" t="s">
        <v>4246</v>
      </c>
      <c r="U334" s="81">
        <f>DATEVALUE(LEFT(F334,10))</f>
        <v>44878</v>
      </c>
    </row>
    <row r="335" spans="1:22" hidden="1">
      <c r="A335" s="56"/>
      <c r="B335" s="56" t="s">
        <v>295</v>
      </c>
      <c r="C335" s="56" t="s">
        <v>4250</v>
      </c>
      <c r="D335" s="56" t="s">
        <v>37</v>
      </c>
      <c r="E335" s="56" t="s">
        <v>4222</v>
      </c>
      <c r="F335" s="56" t="s">
        <v>4251</v>
      </c>
      <c r="G335" s="56">
        <v>198</v>
      </c>
      <c r="H335" s="56">
        <v>20</v>
      </c>
      <c r="I335" s="58">
        <v>0.10101010101010101</v>
      </c>
      <c r="J335" s="56" t="s">
        <v>4159</v>
      </c>
      <c r="K335" s="56" t="s">
        <v>1893</v>
      </c>
      <c r="L335" s="56" t="s">
        <v>2942</v>
      </c>
      <c r="N335" s="56" t="s">
        <v>3458</v>
      </c>
      <c r="O335" t="str">
        <f>_xlfn.XLOOKUP(N335,'Error-codes'!$C$2:$C$130,'Error-codes'!$B$2:$B$130, "None")</f>
        <v>motor drive: UNDER VOLTAGE</v>
      </c>
      <c r="U335" s="81">
        <f>DATEVALUE(LEFT(F335,10))</f>
        <v>44879</v>
      </c>
    </row>
    <row r="336" spans="1:22" hidden="1">
      <c r="A336" s="56"/>
      <c r="B336" s="56" t="s">
        <v>29</v>
      </c>
      <c r="C336" s="56" t="s">
        <v>4252</v>
      </c>
      <c r="D336" s="56" t="s">
        <v>37</v>
      </c>
      <c r="E336" s="56" t="s">
        <v>4253</v>
      </c>
      <c r="F336" s="56" t="s">
        <v>4254</v>
      </c>
      <c r="G336" s="56">
        <v>59</v>
      </c>
      <c r="H336" s="56">
        <v>27</v>
      </c>
      <c r="I336" s="58">
        <v>0.4576271186440678</v>
      </c>
      <c r="J336" s="56" t="s">
        <v>4255</v>
      </c>
      <c r="K336" s="56" t="s">
        <v>1873</v>
      </c>
      <c r="L336" s="56" t="s">
        <v>2942</v>
      </c>
      <c r="N336" s="56" t="s">
        <v>3460</v>
      </c>
      <c r="O336" t="str">
        <f>_xlfn.XLOOKUP(N336,'Error-codes'!$C$2:$C$130,'Error-codes'!$B$2:$B$130, "None")</f>
        <v>motor drive: DRV8353 FAULT</v>
      </c>
      <c r="U336" s="81">
        <f>DATEVALUE(LEFT(F336,10))</f>
        <v>44879</v>
      </c>
    </row>
    <row r="337" spans="1:22" hidden="1">
      <c r="B337" s="56" t="s">
        <v>295</v>
      </c>
      <c r="C337" s="56" t="s">
        <v>4256</v>
      </c>
      <c r="D337" s="56" t="s">
        <v>22</v>
      </c>
      <c r="F337" s="56" t="s">
        <v>4257</v>
      </c>
      <c r="G337" s="56">
        <v>210</v>
      </c>
      <c r="H337" s="56">
        <v>0</v>
      </c>
      <c r="I337" s="58">
        <v>0</v>
      </c>
      <c r="K337" s="56" t="s">
        <v>1893</v>
      </c>
      <c r="L337" s="56" t="s">
        <v>2942</v>
      </c>
      <c r="O337">
        <f>_xlfn.XLOOKUP(N337,'Error-codes'!$C$2:$C$130,'Error-codes'!$B$2:$B$130, "None")</f>
        <v>0</v>
      </c>
      <c r="U337" s="81">
        <f>DATEVALUE(LEFT(F337,10))</f>
        <v>44879</v>
      </c>
    </row>
    <row r="338" spans="1:22" ht="30.75" hidden="1">
      <c r="A338" s="56" t="s">
        <v>4258</v>
      </c>
      <c r="B338" s="56" t="s">
        <v>3771</v>
      </c>
      <c r="C338" s="56" t="s">
        <v>4259</v>
      </c>
      <c r="D338" s="56" t="s">
        <v>37</v>
      </c>
      <c r="E338" s="56" t="s">
        <v>3776</v>
      </c>
      <c r="F338" s="56" t="s">
        <v>4260</v>
      </c>
      <c r="G338" s="56">
        <v>139</v>
      </c>
      <c r="H338" s="56">
        <v>0</v>
      </c>
      <c r="I338" s="58">
        <v>0</v>
      </c>
      <c r="J338" s="56" t="s">
        <v>3315</v>
      </c>
      <c r="K338" s="56" t="s">
        <v>3207</v>
      </c>
      <c r="L338" s="56" t="s">
        <v>3775</v>
      </c>
      <c r="M338" s="56" t="str">
        <f>HYPERLINK("https://dribble.octin.io/?mode=Single+log&amp;log_id=30969e6c-b00d-4a59-9b25-c70f67e170d5","URL")</f>
        <v>URL</v>
      </c>
      <c r="N338" s="56"/>
      <c r="O338">
        <f>_xlfn.XLOOKUP(N338,'Error-codes'!$C$2:$C$130,'Error-codes'!$B$2:$B$130, "None")</f>
        <v>0</v>
      </c>
      <c r="P338" s="46" t="s">
        <v>4261</v>
      </c>
      <c r="U338" s="81">
        <f>DATEVALUE(LEFT(F338,10))</f>
        <v>44879</v>
      </c>
    </row>
    <row r="339" spans="1:22" hidden="1">
      <c r="A339" s="56"/>
      <c r="B339" s="56" t="s">
        <v>295</v>
      </c>
      <c r="C339" s="56" t="s">
        <v>4262</v>
      </c>
      <c r="D339" s="56" t="s">
        <v>37</v>
      </c>
      <c r="E339" s="56" t="s">
        <v>4228</v>
      </c>
      <c r="F339" s="56" t="s">
        <v>4263</v>
      </c>
      <c r="G339" s="56">
        <v>210</v>
      </c>
      <c r="H339" s="56">
        <v>2</v>
      </c>
      <c r="I339" s="58">
        <v>9.5238095238095247E-3</v>
      </c>
      <c r="J339" s="56" t="s">
        <v>3801</v>
      </c>
      <c r="K339" s="56" t="s">
        <v>1893</v>
      </c>
      <c r="L339" s="56" t="s">
        <v>2942</v>
      </c>
      <c r="N339" s="56" t="s">
        <v>3454</v>
      </c>
      <c r="O339" t="str">
        <f>_xlfn.XLOOKUP(N339,'Error-codes'!$C$2:$C$130,'Error-codes'!$B$2:$B$130, "None")</f>
        <v>Veh low level FSM: safety was triggered</v>
      </c>
      <c r="P339" t="s">
        <v>4264</v>
      </c>
      <c r="U339" s="81">
        <f>DATEVALUE(LEFT(F339,10))</f>
        <v>44879</v>
      </c>
      <c r="V339">
        <v>6</v>
      </c>
    </row>
    <row r="340" spans="1:22" hidden="1">
      <c r="A340" s="56"/>
      <c r="B340" s="56" t="s">
        <v>228</v>
      </c>
      <c r="C340" s="56" t="s">
        <v>3068</v>
      </c>
      <c r="D340" s="56" t="s">
        <v>37</v>
      </c>
      <c r="E340" s="56" t="s">
        <v>2939</v>
      </c>
      <c r="F340" s="56" t="s">
        <v>3069</v>
      </c>
      <c r="G340" s="56">
        <v>102</v>
      </c>
      <c r="H340" s="56">
        <v>8</v>
      </c>
      <c r="I340" s="58">
        <v>7.8431372549019607E-2</v>
      </c>
      <c r="J340" s="56" t="s">
        <v>2278</v>
      </c>
      <c r="K340" s="56" t="s">
        <v>2166</v>
      </c>
      <c r="L340" s="56" t="s">
        <v>2948</v>
      </c>
      <c r="N340" s="56" t="s">
        <v>3446</v>
      </c>
      <c r="O340" t="str">
        <f>_xlfn.XLOOKUP(N340,'Error-codes'!$C$2:$C$130,'Error-codes'!$B$2:$B$130, "None")</f>
        <v>end of lane wall sensor error</v>
      </c>
      <c r="U340" s="81">
        <f>DATEVALUE(LEFT(F340,10))</f>
        <v>44879</v>
      </c>
    </row>
    <row r="341" spans="1:22" hidden="1">
      <c r="A341" s="56"/>
      <c r="B341" s="56" t="s">
        <v>228</v>
      </c>
      <c r="C341" s="56" t="s">
        <v>3068</v>
      </c>
      <c r="D341" s="56" t="s">
        <v>37</v>
      </c>
      <c r="E341" s="56" t="s">
        <v>2939</v>
      </c>
      <c r="F341" s="56" t="s">
        <v>3069</v>
      </c>
      <c r="G341" s="56">
        <v>102</v>
      </c>
      <c r="H341" s="56">
        <v>9</v>
      </c>
      <c r="I341" s="58">
        <v>8.8235294117647065E-2</v>
      </c>
      <c r="J341" s="56" t="s">
        <v>2278</v>
      </c>
      <c r="K341" s="56" t="s">
        <v>2166</v>
      </c>
      <c r="L341" s="56" t="s">
        <v>2948</v>
      </c>
      <c r="N341" s="56" t="s">
        <v>2933</v>
      </c>
      <c r="O341" t="str">
        <f>_xlfn.XLOOKUP(N341,'Error-codes'!$C$2:$C$130,'Error-codes'!$B$2:$B$130, "None")</f>
        <v>inductive sensor error</v>
      </c>
      <c r="U341" s="81">
        <f>DATEVALUE(LEFT(F341,10))</f>
        <v>44879</v>
      </c>
    </row>
    <row r="342" spans="1:22" hidden="1">
      <c r="A342" s="56"/>
      <c r="B342" s="56" t="s">
        <v>228</v>
      </c>
      <c r="C342" s="56" t="s">
        <v>3068</v>
      </c>
      <c r="D342" s="56" t="s">
        <v>37</v>
      </c>
      <c r="E342" s="56" t="s">
        <v>2930</v>
      </c>
      <c r="F342" s="56" t="s">
        <v>3069</v>
      </c>
      <c r="G342" s="56">
        <v>102</v>
      </c>
      <c r="H342" s="56">
        <v>17</v>
      </c>
      <c r="I342" s="58">
        <v>0.16666666666666666</v>
      </c>
      <c r="J342" s="56" t="s">
        <v>4265</v>
      </c>
      <c r="K342" s="56" t="s">
        <v>2166</v>
      </c>
      <c r="L342" s="56" t="s">
        <v>2948</v>
      </c>
      <c r="N342" s="56" t="s">
        <v>3446</v>
      </c>
      <c r="O342" t="str">
        <f>_xlfn.XLOOKUP(N342,'Error-codes'!$C$2:$C$130,'Error-codes'!$B$2:$B$130, "None")</f>
        <v>end of lane wall sensor error</v>
      </c>
      <c r="U342" s="81">
        <f>DATEVALUE(LEFT(F342,10))</f>
        <v>44879</v>
      </c>
    </row>
    <row r="343" spans="1:22" hidden="1">
      <c r="B343" s="56" t="s">
        <v>3771</v>
      </c>
      <c r="C343" s="56" t="s">
        <v>4266</v>
      </c>
      <c r="D343" s="56" t="s">
        <v>388</v>
      </c>
      <c r="F343" s="56" t="s">
        <v>4267</v>
      </c>
      <c r="G343" s="56">
        <v>134</v>
      </c>
      <c r="H343" s="56">
        <v>134</v>
      </c>
      <c r="I343" s="58">
        <v>1</v>
      </c>
      <c r="K343" s="56" t="s">
        <v>3207</v>
      </c>
      <c r="L343" s="56" t="s">
        <v>3775</v>
      </c>
      <c r="O343">
        <f>_xlfn.XLOOKUP(N343,'Error-codes'!$C$2:$C$130,'Error-codes'!$B$2:$B$130, "None")</f>
        <v>0</v>
      </c>
      <c r="U343" s="81">
        <f>DATEVALUE(LEFT(F343,10))</f>
        <v>44879</v>
      </c>
    </row>
    <row r="344" spans="1:22" hidden="1">
      <c r="A344" s="56"/>
      <c r="B344" s="56" t="s">
        <v>2886</v>
      </c>
      <c r="C344" s="56" t="s">
        <v>3066</v>
      </c>
      <c r="D344" s="56" t="s">
        <v>37</v>
      </c>
      <c r="E344" s="56" t="s">
        <v>2930</v>
      </c>
      <c r="F344" s="56" t="s">
        <v>3067</v>
      </c>
      <c r="G344" s="56">
        <v>101</v>
      </c>
      <c r="H344" s="56">
        <v>49</v>
      </c>
      <c r="I344" s="58">
        <v>0.48514851485148514</v>
      </c>
      <c r="J344" s="56" t="s">
        <v>2996</v>
      </c>
      <c r="K344" s="56" t="s">
        <v>2166</v>
      </c>
      <c r="L344" s="56" t="s">
        <v>2948</v>
      </c>
      <c r="N344" s="56" t="s">
        <v>2933</v>
      </c>
      <c r="O344" t="str">
        <f>_xlfn.XLOOKUP(N344,'Error-codes'!$C$2:$C$130,'Error-codes'!$B$2:$B$130, "None")</f>
        <v>inductive sensor error</v>
      </c>
      <c r="U344" s="81">
        <f>DATEVALUE(LEFT(F344,10))</f>
        <v>44879</v>
      </c>
    </row>
    <row r="345" spans="1:22" hidden="1">
      <c r="B345" s="56" t="s">
        <v>29</v>
      </c>
      <c r="C345" s="56" t="s">
        <v>4268</v>
      </c>
      <c r="D345" s="56" t="s">
        <v>388</v>
      </c>
      <c r="F345" s="56" t="s">
        <v>4269</v>
      </c>
      <c r="G345" s="56">
        <v>139</v>
      </c>
      <c r="H345" s="56">
        <v>139</v>
      </c>
      <c r="I345" s="58">
        <v>1</v>
      </c>
      <c r="K345" s="56" t="s">
        <v>1873</v>
      </c>
      <c r="L345" s="56" t="s">
        <v>2942</v>
      </c>
      <c r="O345">
        <f>_xlfn.XLOOKUP(N345,'Error-codes'!$C$2:$C$130,'Error-codes'!$B$2:$B$130, "None")</f>
        <v>0</v>
      </c>
      <c r="P345" t="s">
        <v>3379</v>
      </c>
      <c r="Q345" t="s">
        <v>3379</v>
      </c>
      <c r="S345" t="s">
        <v>3379</v>
      </c>
      <c r="T345" t="s">
        <v>3379</v>
      </c>
      <c r="U345" s="81">
        <f>DATEVALUE(LEFT(F345,10))</f>
        <v>44880</v>
      </c>
    </row>
    <row r="346" spans="1:22" hidden="1">
      <c r="B346" s="56" t="s">
        <v>295</v>
      </c>
      <c r="C346" s="56" t="s">
        <v>4270</v>
      </c>
      <c r="D346" s="56" t="s">
        <v>388</v>
      </c>
      <c r="F346" s="56" t="s">
        <v>4271</v>
      </c>
      <c r="G346" s="56">
        <v>205</v>
      </c>
      <c r="H346" s="56">
        <v>205</v>
      </c>
      <c r="I346" s="58">
        <v>1</v>
      </c>
      <c r="K346" s="56" t="s">
        <v>1893</v>
      </c>
      <c r="L346" s="56" t="s">
        <v>2942</v>
      </c>
      <c r="O346">
        <f>_xlfn.XLOOKUP(N346,'Error-codes'!$C$2:$C$130,'Error-codes'!$B$2:$B$130, "None")</f>
        <v>0</v>
      </c>
      <c r="P346" t="s">
        <v>3379</v>
      </c>
      <c r="Q346" t="s">
        <v>3379</v>
      </c>
      <c r="S346" t="s">
        <v>3379</v>
      </c>
      <c r="T346" t="s">
        <v>3379</v>
      </c>
      <c r="U346" s="81">
        <f>DATEVALUE(LEFT(F346,10))</f>
        <v>44880</v>
      </c>
    </row>
    <row r="347" spans="1:22" hidden="1">
      <c r="B347" s="56" t="s">
        <v>295</v>
      </c>
      <c r="C347" s="56" t="s">
        <v>4270</v>
      </c>
      <c r="D347" s="56" t="s">
        <v>388</v>
      </c>
      <c r="F347" s="56" t="s">
        <v>4271</v>
      </c>
      <c r="G347" s="56">
        <v>205</v>
      </c>
      <c r="H347" s="56">
        <v>205</v>
      </c>
      <c r="I347" s="58">
        <v>1</v>
      </c>
      <c r="K347" s="56" t="s">
        <v>1893</v>
      </c>
      <c r="L347" s="56" t="s">
        <v>2942</v>
      </c>
      <c r="O347">
        <f>_xlfn.XLOOKUP(N347,'Error-codes'!$C$2:$C$130,'Error-codes'!$B$2:$B$130, "None")</f>
        <v>0</v>
      </c>
      <c r="U347" s="81">
        <f>DATEVALUE(LEFT(F347,10))</f>
        <v>44880</v>
      </c>
    </row>
    <row r="348" spans="1:22" hidden="1">
      <c r="A348" s="56"/>
      <c r="B348" s="56" t="s">
        <v>29</v>
      </c>
      <c r="C348" s="56" t="s">
        <v>4272</v>
      </c>
      <c r="D348" s="56"/>
      <c r="E348" s="56"/>
      <c r="F348" s="56" t="s">
        <v>4273</v>
      </c>
      <c r="G348" s="56">
        <v>5</v>
      </c>
      <c r="H348" s="56">
        <v>4</v>
      </c>
      <c r="I348" s="58">
        <v>0.8</v>
      </c>
      <c r="J348" s="56" t="s">
        <v>3551</v>
      </c>
      <c r="K348" s="56" t="s">
        <v>1893</v>
      </c>
      <c r="L348" s="56" t="s">
        <v>2942</v>
      </c>
      <c r="N348" s="56" t="s">
        <v>3446</v>
      </c>
      <c r="O348" t="str">
        <f>_xlfn.XLOOKUP(N348,'Error-codes'!$C$2:$C$130,'Error-codes'!$B$2:$B$130, "None")</f>
        <v>end of lane wall sensor error</v>
      </c>
      <c r="U348" s="81">
        <f>DATEVALUE(LEFT(F348,10))</f>
        <v>44880</v>
      </c>
    </row>
    <row r="349" spans="1:22" hidden="1">
      <c r="A349" s="56"/>
      <c r="B349" s="56" t="s">
        <v>29</v>
      </c>
      <c r="C349" s="56" t="s">
        <v>4274</v>
      </c>
      <c r="D349" s="56" t="s">
        <v>37</v>
      </c>
      <c r="E349" s="56" t="s">
        <v>2939</v>
      </c>
      <c r="F349" s="56" t="s">
        <v>4275</v>
      </c>
      <c r="G349" s="56">
        <v>6</v>
      </c>
      <c r="H349" s="56">
        <v>0</v>
      </c>
      <c r="I349" s="58">
        <v>0</v>
      </c>
      <c r="J349" s="56" t="s">
        <v>3315</v>
      </c>
      <c r="K349" s="56" t="s">
        <v>1893</v>
      </c>
      <c r="L349" s="56" t="s">
        <v>2942</v>
      </c>
      <c r="N349" s="56" t="s">
        <v>3458</v>
      </c>
      <c r="O349" t="str">
        <f>_xlfn.XLOOKUP(N349,'Error-codes'!$C$2:$C$130,'Error-codes'!$B$2:$B$130, "None")</f>
        <v>motor drive: UNDER VOLTAGE</v>
      </c>
      <c r="U349" s="81">
        <f>DATEVALUE(LEFT(F349,10))</f>
        <v>44880</v>
      </c>
    </row>
    <row r="350" spans="1:22" hidden="1">
      <c r="B350" s="56" t="s">
        <v>295</v>
      </c>
      <c r="C350" s="56" t="s">
        <v>4276</v>
      </c>
      <c r="D350" s="56" t="s">
        <v>388</v>
      </c>
      <c r="F350" s="56" t="s">
        <v>4277</v>
      </c>
      <c r="G350" s="56">
        <v>5</v>
      </c>
      <c r="H350" s="56">
        <v>5</v>
      </c>
      <c r="I350" s="58">
        <v>1</v>
      </c>
      <c r="K350" s="56" t="s">
        <v>1893</v>
      </c>
      <c r="L350" s="56" t="s">
        <v>2942</v>
      </c>
      <c r="O350">
        <f>_xlfn.XLOOKUP(N350,'Error-codes'!$C$2:$C$130,'Error-codes'!$B$2:$B$130, "None")</f>
        <v>0</v>
      </c>
      <c r="U350" s="81">
        <f>DATEVALUE(LEFT(F350,10))</f>
        <v>44880</v>
      </c>
    </row>
    <row r="351" spans="1:22" hidden="1">
      <c r="A351" s="56"/>
      <c r="B351" s="56" t="s">
        <v>29</v>
      </c>
      <c r="C351" s="56" t="s">
        <v>4274</v>
      </c>
      <c r="D351" s="56" t="s">
        <v>37</v>
      </c>
      <c r="E351" s="56" t="s">
        <v>3242</v>
      </c>
      <c r="F351" s="56" t="s">
        <v>4278</v>
      </c>
      <c r="G351" s="56">
        <v>6</v>
      </c>
      <c r="H351" s="56">
        <v>1</v>
      </c>
      <c r="I351" s="58">
        <v>0.16666666666666666</v>
      </c>
      <c r="J351" s="56" t="s">
        <v>3551</v>
      </c>
      <c r="K351" s="56" t="s">
        <v>1893</v>
      </c>
      <c r="L351" s="56" t="s">
        <v>2942</v>
      </c>
      <c r="N351" s="56" t="s">
        <v>3458</v>
      </c>
      <c r="O351" t="str">
        <f>_xlfn.XLOOKUP(N351,'Error-codes'!$C$2:$C$130,'Error-codes'!$B$2:$B$130, "None")</f>
        <v>motor drive: UNDER VOLTAGE</v>
      </c>
      <c r="U351" s="81">
        <f>DATEVALUE(LEFT(F351,10))</f>
        <v>44880</v>
      </c>
    </row>
    <row r="352" spans="1:22" hidden="1">
      <c r="B352" s="56" t="s">
        <v>29</v>
      </c>
      <c r="C352" s="56" t="s">
        <v>4279</v>
      </c>
      <c r="D352" s="56" t="s">
        <v>388</v>
      </c>
      <c r="F352" s="56" t="s">
        <v>4280</v>
      </c>
      <c r="G352" s="56">
        <v>5</v>
      </c>
      <c r="H352" s="56">
        <v>5</v>
      </c>
      <c r="I352" s="58">
        <v>1</v>
      </c>
      <c r="K352" s="56" t="s">
        <v>1893</v>
      </c>
      <c r="L352" s="56" t="s">
        <v>2942</v>
      </c>
      <c r="O352">
        <f>_xlfn.XLOOKUP(N352,'Error-codes'!$C$2:$C$130,'Error-codes'!$B$2:$B$130, "None")</f>
        <v>0</v>
      </c>
      <c r="U352" s="81">
        <f>DATEVALUE(LEFT(F352,10))</f>
        <v>44880</v>
      </c>
    </row>
    <row r="353" spans="1:21" hidden="1">
      <c r="B353" s="56" t="s">
        <v>295</v>
      </c>
      <c r="C353" s="56" t="s">
        <v>4281</v>
      </c>
      <c r="D353" s="56" t="s">
        <v>22</v>
      </c>
      <c r="F353" s="56" t="s">
        <v>4282</v>
      </c>
      <c r="G353" s="56">
        <v>5</v>
      </c>
      <c r="H353" s="56">
        <v>0</v>
      </c>
      <c r="I353" s="58">
        <v>0</v>
      </c>
      <c r="K353" s="56" t="s">
        <v>1893</v>
      </c>
      <c r="L353" s="56" t="s">
        <v>2942</v>
      </c>
      <c r="O353">
        <f>_xlfn.XLOOKUP(N353,'Error-codes'!$C$2:$C$130,'Error-codes'!$B$2:$B$130, "None")</f>
        <v>0</v>
      </c>
      <c r="U353" s="81">
        <f>DATEVALUE(LEFT(F353,10))</f>
        <v>44880</v>
      </c>
    </row>
    <row r="354" spans="1:21" hidden="1">
      <c r="A354" s="56" t="s">
        <v>4283</v>
      </c>
      <c r="B354" s="56" t="s">
        <v>295</v>
      </c>
      <c r="C354" s="56" t="s">
        <v>4284</v>
      </c>
      <c r="D354" s="56" t="s">
        <v>37</v>
      </c>
      <c r="E354" s="56" t="s">
        <v>4228</v>
      </c>
      <c r="F354" s="56" t="s">
        <v>4285</v>
      </c>
      <c r="G354" s="56">
        <v>5</v>
      </c>
      <c r="H354" s="56">
        <v>1</v>
      </c>
      <c r="I354" s="58">
        <v>0.2</v>
      </c>
      <c r="J354" s="56" t="s">
        <v>120</v>
      </c>
      <c r="K354" s="56" t="s">
        <v>1893</v>
      </c>
      <c r="L354" s="56" t="s">
        <v>2942</v>
      </c>
      <c r="M354" s="56" t="str">
        <f>HYPERLINK("https://dribble.octin.io/?mode=Single+log&amp;log_id=0705a38e-f68a-4cda-82f3-656ddd09910a","URL")</f>
        <v>URL</v>
      </c>
      <c r="N354" s="56" t="s">
        <v>3454</v>
      </c>
      <c r="O354" t="str">
        <f>_xlfn.XLOOKUP(N354,'Error-codes'!$C$2:$C$130,'Error-codes'!$B$2:$B$130, "None")</f>
        <v>Veh low level FSM: safety was triggered</v>
      </c>
      <c r="U354" s="81">
        <f>DATEVALUE(LEFT(F354,10))</f>
        <v>44880</v>
      </c>
    </row>
    <row r="355" spans="1:21" hidden="1">
      <c r="B355" s="56" t="s">
        <v>3771</v>
      </c>
      <c r="C355" s="56" t="s">
        <v>4286</v>
      </c>
      <c r="D355" s="56" t="s">
        <v>388</v>
      </c>
      <c r="F355" s="56" t="s">
        <v>4287</v>
      </c>
      <c r="G355" s="56">
        <v>3</v>
      </c>
      <c r="H355" s="56">
        <v>3</v>
      </c>
      <c r="I355" s="58">
        <v>1</v>
      </c>
      <c r="K355" s="56" t="s">
        <v>3207</v>
      </c>
      <c r="L355" s="56" t="s">
        <v>3775</v>
      </c>
      <c r="O355">
        <f>_xlfn.XLOOKUP(N355,'Error-codes'!$C$2:$C$130,'Error-codes'!$B$2:$B$130, "None")</f>
        <v>0</v>
      </c>
      <c r="U355" s="81">
        <f>DATEVALUE(LEFT(F355,10))</f>
        <v>44880</v>
      </c>
    </row>
    <row r="356" spans="1:21" hidden="1">
      <c r="B356" s="56" t="s">
        <v>3771</v>
      </c>
      <c r="C356" s="56" t="s">
        <v>4288</v>
      </c>
      <c r="D356" s="56" t="s">
        <v>388</v>
      </c>
      <c r="F356" s="56" t="s">
        <v>4289</v>
      </c>
      <c r="G356" s="56">
        <v>7</v>
      </c>
      <c r="H356" s="56">
        <v>7</v>
      </c>
      <c r="I356" s="58">
        <v>1</v>
      </c>
      <c r="K356" s="56" t="s">
        <v>3207</v>
      </c>
      <c r="L356" s="56" t="s">
        <v>3775</v>
      </c>
      <c r="O356">
        <f>_xlfn.XLOOKUP(N356,'Error-codes'!$C$2:$C$130,'Error-codes'!$B$2:$B$130, "None")</f>
        <v>0</v>
      </c>
      <c r="U356" s="81">
        <f>DATEVALUE(LEFT(F356,10))</f>
        <v>44880</v>
      </c>
    </row>
    <row r="357" spans="1:21" hidden="1">
      <c r="B357" s="56" t="s">
        <v>228</v>
      </c>
      <c r="C357" s="56" t="s">
        <v>4290</v>
      </c>
      <c r="D357" s="56" t="s">
        <v>22</v>
      </c>
      <c r="F357" s="56" t="s">
        <v>4291</v>
      </c>
      <c r="G357" s="56">
        <v>4</v>
      </c>
      <c r="H357" s="56">
        <v>1</v>
      </c>
      <c r="I357" s="58">
        <v>0.25</v>
      </c>
      <c r="K357" s="56" t="s">
        <v>2171</v>
      </c>
      <c r="L357" s="56" t="s">
        <v>2932</v>
      </c>
      <c r="O357">
        <f>_xlfn.XLOOKUP(N357,'Error-codes'!$C$2:$C$130,'Error-codes'!$B$2:$B$130, "None")</f>
        <v>0</v>
      </c>
      <c r="U357" s="81">
        <f>DATEVALUE(LEFT(F357,10))</f>
        <v>44880</v>
      </c>
    </row>
    <row r="358" spans="1:21" hidden="1">
      <c r="A358" s="56"/>
      <c r="B358" s="56" t="s">
        <v>29</v>
      </c>
      <c r="C358" s="56" t="s">
        <v>4292</v>
      </c>
      <c r="D358" s="56" t="s">
        <v>37</v>
      </c>
      <c r="E358" s="56" t="s">
        <v>3242</v>
      </c>
      <c r="F358" s="56" t="s">
        <v>4293</v>
      </c>
      <c r="G358" s="56">
        <v>7</v>
      </c>
      <c r="H358" s="56">
        <v>0</v>
      </c>
      <c r="I358" s="58">
        <v>0</v>
      </c>
      <c r="J358" s="56" t="s">
        <v>3315</v>
      </c>
      <c r="K358" s="56" t="s">
        <v>1893</v>
      </c>
      <c r="L358" s="56" t="s">
        <v>2942</v>
      </c>
      <c r="N358" s="56" t="s">
        <v>3458</v>
      </c>
      <c r="O358" t="str">
        <f>_xlfn.XLOOKUP(N358,'Error-codes'!$C$2:$C$130,'Error-codes'!$B$2:$B$130, "None")</f>
        <v>motor drive: UNDER VOLTAGE</v>
      </c>
      <c r="U358" s="81">
        <f>DATEVALUE(LEFT(F358,10))</f>
        <v>44880</v>
      </c>
    </row>
    <row r="359" spans="1:21" hidden="1">
      <c r="A359" s="56"/>
      <c r="B359" s="56" t="s">
        <v>295</v>
      </c>
      <c r="C359" s="56" t="s">
        <v>4294</v>
      </c>
      <c r="D359" s="56" t="s">
        <v>37</v>
      </c>
      <c r="E359" s="56" t="s">
        <v>3242</v>
      </c>
      <c r="F359" s="56" t="s">
        <v>4295</v>
      </c>
      <c r="G359" s="56">
        <v>7</v>
      </c>
      <c r="H359" s="56">
        <v>0</v>
      </c>
      <c r="I359" s="58">
        <v>0</v>
      </c>
      <c r="J359" s="56" t="s">
        <v>452</v>
      </c>
      <c r="K359" s="56" t="s">
        <v>1893</v>
      </c>
      <c r="L359" s="56" t="s">
        <v>2942</v>
      </c>
      <c r="N359" s="56" t="s">
        <v>3468</v>
      </c>
      <c r="O359" t="str">
        <f>_xlfn.XLOOKUP(N359,'Error-codes'!$C$2:$C$130,'Error-codes'!$B$2:$B$130, "None")</f>
        <v>no vision heartbeat</v>
      </c>
      <c r="U359" s="81">
        <f>DATEVALUE(LEFT(F359,10))</f>
        <v>44880</v>
      </c>
    </row>
    <row r="360" spans="1:21" hidden="1">
      <c r="B360" s="56" t="s">
        <v>295</v>
      </c>
      <c r="C360" s="56" t="s">
        <v>4296</v>
      </c>
      <c r="D360" s="56" t="s">
        <v>22</v>
      </c>
      <c r="F360" s="56" t="s">
        <v>4297</v>
      </c>
      <c r="G360" s="56">
        <v>7</v>
      </c>
      <c r="H360" s="56">
        <v>0</v>
      </c>
      <c r="I360" s="58">
        <v>0</v>
      </c>
      <c r="K360" s="56" t="s">
        <v>1893</v>
      </c>
      <c r="L360" s="56" t="s">
        <v>2942</v>
      </c>
      <c r="O360">
        <f>_xlfn.XLOOKUP(N360,'Error-codes'!$C$2:$C$130,'Error-codes'!$B$2:$B$130, "None")</f>
        <v>0</v>
      </c>
      <c r="U360" s="81">
        <f>DATEVALUE(LEFT(F360,10))</f>
        <v>44880</v>
      </c>
    </row>
    <row r="361" spans="1:21" hidden="1">
      <c r="B361" s="56" t="s">
        <v>295</v>
      </c>
      <c r="C361" s="56" t="s">
        <v>4298</v>
      </c>
      <c r="D361" s="56" t="s">
        <v>22</v>
      </c>
      <c r="F361" s="56" t="s">
        <v>4299</v>
      </c>
      <c r="G361" s="56">
        <v>7</v>
      </c>
      <c r="H361" s="56">
        <v>0</v>
      </c>
      <c r="I361" s="58">
        <v>0</v>
      </c>
      <c r="K361" s="56" t="s">
        <v>1893</v>
      </c>
      <c r="L361" s="56" t="s">
        <v>2942</v>
      </c>
      <c r="O361">
        <f>_xlfn.XLOOKUP(N361,'Error-codes'!$C$2:$C$130,'Error-codes'!$B$2:$B$130, "None")</f>
        <v>0</v>
      </c>
      <c r="U361" s="81">
        <f>DATEVALUE(LEFT(F361,10))</f>
        <v>44880</v>
      </c>
    </row>
    <row r="362" spans="1:21" hidden="1">
      <c r="B362" s="56" t="s">
        <v>295</v>
      </c>
      <c r="C362" s="56" t="s">
        <v>4300</v>
      </c>
      <c r="D362" s="56" t="s">
        <v>22</v>
      </c>
      <c r="F362" s="56" t="s">
        <v>4301</v>
      </c>
      <c r="G362" s="56">
        <v>2</v>
      </c>
      <c r="H362" s="56">
        <v>0</v>
      </c>
      <c r="I362" s="58">
        <v>0</v>
      </c>
      <c r="K362" s="56" t="s">
        <v>1893</v>
      </c>
      <c r="L362" s="56" t="s">
        <v>2942</v>
      </c>
      <c r="O362">
        <f>_xlfn.XLOOKUP(N362,'Error-codes'!$C$2:$C$130,'Error-codes'!$B$2:$B$130, "None")</f>
        <v>0</v>
      </c>
      <c r="U362" s="81">
        <f>DATEVALUE(LEFT(F362,10))</f>
        <v>44880</v>
      </c>
    </row>
    <row r="363" spans="1:21" hidden="1">
      <c r="B363" s="56" t="s">
        <v>295</v>
      </c>
      <c r="C363" s="56" t="s">
        <v>4302</v>
      </c>
      <c r="D363" s="56" t="s">
        <v>22</v>
      </c>
      <c r="F363" s="56" t="s">
        <v>4303</v>
      </c>
      <c r="G363" s="56">
        <v>7</v>
      </c>
      <c r="H363" s="56">
        <v>0</v>
      </c>
      <c r="I363" s="58">
        <v>0</v>
      </c>
      <c r="K363" s="56" t="s">
        <v>1893</v>
      </c>
      <c r="L363" s="56" t="s">
        <v>2942</v>
      </c>
      <c r="O363">
        <f>_xlfn.XLOOKUP(N363,'Error-codes'!$C$2:$C$130,'Error-codes'!$B$2:$B$130, "None")</f>
        <v>0</v>
      </c>
      <c r="U363" s="81">
        <f>DATEVALUE(LEFT(F363,10))</f>
        <v>44880</v>
      </c>
    </row>
    <row r="364" spans="1:21" hidden="1">
      <c r="B364" s="56" t="s">
        <v>29</v>
      </c>
      <c r="C364" s="56" t="s">
        <v>4304</v>
      </c>
      <c r="D364" s="56" t="s">
        <v>388</v>
      </c>
      <c r="F364" s="56" t="s">
        <v>4305</v>
      </c>
      <c r="G364" s="56">
        <v>8</v>
      </c>
      <c r="H364" s="56">
        <v>8</v>
      </c>
      <c r="I364" s="58">
        <v>1</v>
      </c>
      <c r="K364" s="56" t="s">
        <v>1893</v>
      </c>
      <c r="L364" s="56" t="s">
        <v>2942</v>
      </c>
      <c r="O364">
        <f>_xlfn.XLOOKUP(N364,'Error-codes'!$C$2:$C$130,'Error-codes'!$B$2:$B$130, "None")</f>
        <v>0</v>
      </c>
      <c r="U364" s="81">
        <f>DATEVALUE(LEFT(F364,10))</f>
        <v>44880</v>
      </c>
    </row>
    <row r="365" spans="1:21" hidden="1">
      <c r="B365" s="56" t="s">
        <v>295</v>
      </c>
      <c r="C365" s="56" t="s">
        <v>4306</v>
      </c>
      <c r="D365" s="56" t="s">
        <v>388</v>
      </c>
      <c r="F365" s="56" t="s">
        <v>4307</v>
      </c>
      <c r="G365" s="56">
        <v>7</v>
      </c>
      <c r="H365" s="56">
        <v>7</v>
      </c>
      <c r="I365" s="58">
        <v>1</v>
      </c>
      <c r="K365" s="56" t="s">
        <v>1893</v>
      </c>
      <c r="L365" s="56" t="s">
        <v>2942</v>
      </c>
      <c r="O365">
        <f>_xlfn.XLOOKUP(N365,'Error-codes'!$C$2:$C$130,'Error-codes'!$B$2:$B$130, "None")</f>
        <v>0</v>
      </c>
      <c r="U365" s="81">
        <f>DATEVALUE(LEFT(F365,10))</f>
        <v>44880</v>
      </c>
    </row>
    <row r="366" spans="1:21" hidden="1">
      <c r="B366" s="56" t="s">
        <v>228</v>
      </c>
      <c r="C366" s="56" t="s">
        <v>4308</v>
      </c>
      <c r="D366" s="56" t="s">
        <v>22</v>
      </c>
      <c r="F366" s="56" t="s">
        <v>4309</v>
      </c>
      <c r="G366" s="56">
        <v>3</v>
      </c>
      <c r="H366" s="56">
        <v>0</v>
      </c>
      <c r="I366" s="58">
        <v>0</v>
      </c>
      <c r="K366" s="56" t="s">
        <v>2166</v>
      </c>
      <c r="L366" s="56" t="s">
        <v>2948</v>
      </c>
      <c r="O366">
        <f>_xlfn.XLOOKUP(N366,'Error-codes'!$C$2:$C$130,'Error-codes'!$B$2:$B$130, "None")</f>
        <v>0</v>
      </c>
      <c r="U366" s="81">
        <f>DATEVALUE(LEFT(F366,10))</f>
        <v>44880</v>
      </c>
    </row>
    <row r="367" spans="1:21" hidden="1">
      <c r="B367" s="56" t="s">
        <v>2886</v>
      </c>
      <c r="C367" s="56" t="s">
        <v>4310</v>
      </c>
      <c r="D367" s="56" t="s">
        <v>388</v>
      </c>
      <c r="F367" s="56" t="s">
        <v>4311</v>
      </c>
      <c r="G367" s="56">
        <v>8</v>
      </c>
      <c r="H367" s="56">
        <v>8</v>
      </c>
      <c r="I367" s="58">
        <v>1</v>
      </c>
      <c r="K367" s="56" t="s">
        <v>2166</v>
      </c>
      <c r="L367" s="56" t="s">
        <v>2932</v>
      </c>
      <c r="O367">
        <f>_xlfn.XLOOKUP(N367,'Error-codes'!$C$2:$C$130,'Error-codes'!$B$2:$B$130, "None")</f>
        <v>0</v>
      </c>
      <c r="U367" s="81">
        <f>DATEVALUE(LEFT(F367,10))</f>
        <v>44880</v>
      </c>
    </row>
    <row r="368" spans="1:21" hidden="1">
      <c r="B368" s="56" t="s">
        <v>295</v>
      </c>
      <c r="C368" s="56" t="s">
        <v>4312</v>
      </c>
      <c r="D368" s="56" t="s">
        <v>22</v>
      </c>
      <c r="F368" s="56" t="s">
        <v>4313</v>
      </c>
      <c r="G368" s="56">
        <v>139</v>
      </c>
      <c r="H368" s="56">
        <v>0</v>
      </c>
      <c r="I368" s="58">
        <v>0</v>
      </c>
      <c r="K368" s="56" t="s">
        <v>1873</v>
      </c>
      <c r="L368" s="56" t="s">
        <v>2942</v>
      </c>
      <c r="O368">
        <f>_xlfn.XLOOKUP(N368,'Error-codes'!$C$2:$C$130,'Error-codes'!$B$2:$B$130, "None")</f>
        <v>0</v>
      </c>
      <c r="U368" s="81">
        <f>DATEVALUE(LEFT(F368,10))</f>
        <v>44880</v>
      </c>
    </row>
    <row r="369" spans="1:21" hidden="1">
      <c r="B369" s="56" t="s">
        <v>295</v>
      </c>
      <c r="C369" s="56" t="s">
        <v>4314</v>
      </c>
      <c r="D369" s="56" t="s">
        <v>388</v>
      </c>
      <c r="F369" s="56" t="s">
        <v>4315</v>
      </c>
      <c r="G369" s="56">
        <v>139</v>
      </c>
      <c r="H369" s="56">
        <v>138</v>
      </c>
      <c r="I369" s="58">
        <v>0.9928057553956835</v>
      </c>
      <c r="K369" s="56" t="s">
        <v>1873</v>
      </c>
      <c r="L369" s="56" t="s">
        <v>2942</v>
      </c>
      <c r="O369">
        <f>_xlfn.XLOOKUP(N369,'Error-codes'!$C$2:$C$130,'Error-codes'!$B$2:$B$130, "None")</f>
        <v>0</v>
      </c>
      <c r="U369" s="81">
        <f>DATEVALUE(LEFT(F369,10))</f>
        <v>44881</v>
      </c>
    </row>
    <row r="370" spans="1:21" hidden="1">
      <c r="A370" s="56"/>
      <c r="B370" s="56" t="s">
        <v>29</v>
      </c>
      <c r="C370" s="56" t="s">
        <v>4316</v>
      </c>
      <c r="D370" s="56" t="s">
        <v>37</v>
      </c>
      <c r="E370" s="56" t="s">
        <v>2939</v>
      </c>
      <c r="F370" s="56" t="s">
        <v>4317</v>
      </c>
      <c r="G370" s="56">
        <v>179</v>
      </c>
      <c r="H370" s="56">
        <v>166</v>
      </c>
      <c r="I370" s="58">
        <v>0.92737430167597767</v>
      </c>
      <c r="J370" s="56" t="s">
        <v>4159</v>
      </c>
      <c r="K370" s="56" t="s">
        <v>1893</v>
      </c>
      <c r="L370" s="56" t="s">
        <v>2942</v>
      </c>
      <c r="N370" s="56" t="s">
        <v>3446</v>
      </c>
      <c r="O370" t="str">
        <f>_xlfn.XLOOKUP(N370,'Error-codes'!$C$2:$C$130,'Error-codes'!$B$2:$B$130, "None")</f>
        <v>end of lane wall sensor error</v>
      </c>
      <c r="U370" s="81">
        <f>DATEVALUE(LEFT(F370,10))</f>
        <v>44881</v>
      </c>
    </row>
    <row r="371" spans="1:21" hidden="1">
      <c r="A371" s="56"/>
      <c r="B371" s="56" t="s">
        <v>29</v>
      </c>
      <c r="C371" s="56" t="s">
        <v>4316</v>
      </c>
      <c r="D371" s="56" t="s">
        <v>37</v>
      </c>
      <c r="E371" s="56" t="s">
        <v>3242</v>
      </c>
      <c r="F371" s="56" t="s">
        <v>4317</v>
      </c>
      <c r="G371" s="56">
        <v>179</v>
      </c>
      <c r="H371" s="56">
        <v>167</v>
      </c>
      <c r="I371" s="58">
        <v>0.93296089385474856</v>
      </c>
      <c r="J371" s="56" t="s">
        <v>452</v>
      </c>
      <c r="K371" s="56" t="s">
        <v>1893</v>
      </c>
      <c r="L371" s="56" t="s">
        <v>2942</v>
      </c>
      <c r="N371" s="56" t="s">
        <v>3468</v>
      </c>
      <c r="O371" t="str">
        <f>_xlfn.XLOOKUP(N371,'Error-codes'!$C$2:$C$130,'Error-codes'!$B$2:$B$130, "None")</f>
        <v>no vision heartbeat</v>
      </c>
      <c r="U371" s="81">
        <f>DATEVALUE(LEFT(F371,10))</f>
        <v>44881</v>
      </c>
    </row>
    <row r="372" spans="1:21" hidden="1">
      <c r="A372" s="56"/>
      <c r="B372" s="56" t="s">
        <v>2886</v>
      </c>
      <c r="C372" s="56" t="s">
        <v>4318</v>
      </c>
      <c r="D372" s="56" t="s">
        <v>22</v>
      </c>
      <c r="E372" s="56" t="s">
        <v>2939</v>
      </c>
      <c r="F372" s="56" t="s">
        <v>4319</v>
      </c>
      <c r="G372" s="56">
        <v>4</v>
      </c>
      <c r="H372" s="56">
        <v>0</v>
      </c>
      <c r="I372" s="58">
        <v>0</v>
      </c>
      <c r="J372" s="56" t="s">
        <v>4320</v>
      </c>
      <c r="K372" s="56" t="s">
        <v>2171</v>
      </c>
      <c r="L372" s="56" t="s">
        <v>2932</v>
      </c>
      <c r="N372" s="56" t="s">
        <v>3466</v>
      </c>
      <c r="O372" t="str">
        <f>_xlfn.XLOOKUP(N372,'Error-codes'!$C$2:$C$130,'Error-codes'!$B$2:$B$130, "None")</f>
        <v>vision error</v>
      </c>
      <c r="U372" s="81">
        <f>DATEVALUE(LEFT(F372,10))</f>
        <v>44881</v>
      </c>
    </row>
    <row r="373" spans="1:21" hidden="1">
      <c r="A373" s="56"/>
      <c r="B373" s="56" t="s">
        <v>29</v>
      </c>
      <c r="C373" s="56" t="s">
        <v>4321</v>
      </c>
      <c r="D373" s="56" t="s">
        <v>37</v>
      </c>
      <c r="E373" s="56" t="s">
        <v>3242</v>
      </c>
      <c r="F373" s="56" t="s">
        <v>4322</v>
      </c>
      <c r="G373" s="56">
        <v>5</v>
      </c>
      <c r="H373" s="56">
        <v>0</v>
      </c>
      <c r="I373" s="58">
        <v>0</v>
      </c>
      <c r="J373" s="56" t="s">
        <v>3551</v>
      </c>
      <c r="K373" s="56" t="s">
        <v>1893</v>
      </c>
      <c r="L373" s="56" t="s">
        <v>2942</v>
      </c>
      <c r="N373" s="56" t="s">
        <v>3468</v>
      </c>
      <c r="O373" t="str">
        <f>_xlfn.XLOOKUP(N373,'Error-codes'!$C$2:$C$130,'Error-codes'!$B$2:$B$130, "None")</f>
        <v>no vision heartbeat</v>
      </c>
      <c r="T373" t="s">
        <v>4323</v>
      </c>
      <c r="U373" s="81">
        <f>DATEVALUE(LEFT(F373,10))</f>
        <v>44881</v>
      </c>
    </row>
    <row r="374" spans="1:21" hidden="1">
      <c r="A374" s="56"/>
      <c r="B374" s="56" t="s">
        <v>29</v>
      </c>
      <c r="C374" s="56" t="s">
        <v>4324</v>
      </c>
      <c r="D374" s="56" t="s">
        <v>37</v>
      </c>
      <c r="E374" s="56" t="s">
        <v>4253</v>
      </c>
      <c r="F374" s="56" t="s">
        <v>4325</v>
      </c>
      <c r="G374" s="56">
        <v>5</v>
      </c>
      <c r="H374" s="56">
        <v>4</v>
      </c>
      <c r="I374" s="58">
        <v>0.8</v>
      </c>
      <c r="J374" s="56" t="s">
        <v>293</v>
      </c>
      <c r="K374" s="56" t="s">
        <v>1893</v>
      </c>
      <c r="L374" s="56" t="s">
        <v>2942</v>
      </c>
      <c r="N374" s="56" t="s">
        <v>3460</v>
      </c>
      <c r="O374" t="str">
        <f>_xlfn.XLOOKUP(N374,'Error-codes'!$C$2:$C$130,'Error-codes'!$B$2:$B$130, "None")</f>
        <v>motor drive: DRV8353 FAULT</v>
      </c>
      <c r="T374" t="s">
        <v>4326</v>
      </c>
      <c r="U374" s="81">
        <f>DATEVALUE(LEFT(F374,10))</f>
        <v>44881</v>
      </c>
    </row>
    <row r="375" spans="1:21" hidden="1">
      <c r="B375" s="56" t="s">
        <v>2886</v>
      </c>
      <c r="C375" s="56" t="s">
        <v>4327</v>
      </c>
      <c r="D375" s="56" t="s">
        <v>22</v>
      </c>
      <c r="F375" s="56" t="s">
        <v>4328</v>
      </c>
      <c r="G375" s="56">
        <v>5</v>
      </c>
      <c r="H375" s="56">
        <v>0</v>
      </c>
      <c r="I375" s="58">
        <v>0</v>
      </c>
      <c r="K375" s="56" t="s">
        <v>2166</v>
      </c>
      <c r="L375" s="56" t="s">
        <v>2932</v>
      </c>
      <c r="O375">
        <f>_xlfn.XLOOKUP(N375,'Error-codes'!$C$2:$C$130,'Error-codes'!$B$2:$B$130, "None")</f>
        <v>0</v>
      </c>
      <c r="U375" s="81">
        <f>DATEVALUE(LEFT(F375,10))</f>
        <v>44881</v>
      </c>
    </row>
    <row r="376" spans="1:21" hidden="1">
      <c r="A376" s="56" t="s">
        <v>4329</v>
      </c>
      <c r="B376" s="56" t="s">
        <v>2886</v>
      </c>
      <c r="C376" s="56" t="s">
        <v>4330</v>
      </c>
      <c r="D376" s="56" t="s">
        <v>37</v>
      </c>
      <c r="E376" s="56" t="s">
        <v>2939</v>
      </c>
      <c r="F376" s="56" t="s">
        <v>4331</v>
      </c>
      <c r="G376" s="56">
        <v>170</v>
      </c>
      <c r="H376" s="56">
        <v>0</v>
      </c>
      <c r="I376" s="58">
        <v>0</v>
      </c>
      <c r="J376" s="56" t="s">
        <v>4332</v>
      </c>
      <c r="K376" s="56" t="s">
        <v>2166</v>
      </c>
      <c r="L376" s="56" t="s">
        <v>2932</v>
      </c>
      <c r="M376" s="56" t="str">
        <f>HYPERLINK("https://dribble.octin.io/?mode=Single+log&amp;log_id=2dca83c5-32ea-43df-86f8-4d7856986e4d","URL")</f>
        <v>URL</v>
      </c>
      <c r="N376" s="56" t="s">
        <v>3466</v>
      </c>
      <c r="O376" t="str">
        <f>_xlfn.XLOOKUP(N376,'Error-codes'!$C$2:$C$130,'Error-codes'!$B$2:$B$130, "None")</f>
        <v>vision error</v>
      </c>
      <c r="U376" s="81">
        <f>DATEVALUE(LEFT(F376,10))</f>
        <v>44881</v>
      </c>
    </row>
    <row r="377" spans="1:21" hidden="1">
      <c r="A377" s="56" t="s">
        <v>4333</v>
      </c>
      <c r="B377" s="56" t="s">
        <v>2886</v>
      </c>
      <c r="C377" s="56" t="s">
        <v>4330</v>
      </c>
      <c r="D377" s="56" t="s">
        <v>37</v>
      </c>
      <c r="E377" s="56" t="s">
        <v>3242</v>
      </c>
      <c r="F377" s="56" t="s">
        <v>4334</v>
      </c>
      <c r="G377" s="56">
        <v>170</v>
      </c>
      <c r="H377" s="56">
        <v>1</v>
      </c>
      <c r="I377" s="58">
        <v>5.8823529411764705E-3</v>
      </c>
      <c r="J377" s="56" t="s">
        <v>4335</v>
      </c>
      <c r="K377" s="56" t="s">
        <v>2166</v>
      </c>
      <c r="L377" s="56" t="s">
        <v>2932</v>
      </c>
      <c r="M377" s="56" t="str">
        <f>HYPERLINK("https://dribble.octin.io/?mode=Single+log&amp;log_id=ce3c9cac-af0e-40be-bfc0-af4e51547db9","URL")</f>
        <v>URL</v>
      </c>
      <c r="N377" s="56" t="s">
        <v>3458</v>
      </c>
      <c r="O377" t="str">
        <f>_xlfn.XLOOKUP(N377,'Error-codes'!$C$2:$C$130,'Error-codes'!$B$2:$B$130, "None")</f>
        <v>motor drive: UNDER VOLTAGE</v>
      </c>
      <c r="U377" s="81">
        <f>DATEVALUE(LEFT(F377,10))</f>
        <v>44881</v>
      </c>
    </row>
    <row r="378" spans="1:21" hidden="1">
      <c r="A378" s="56" t="s">
        <v>4336</v>
      </c>
      <c r="B378" s="56" t="s">
        <v>2886</v>
      </c>
      <c r="C378" s="56" t="s">
        <v>4337</v>
      </c>
      <c r="D378" s="56" t="s">
        <v>37</v>
      </c>
      <c r="E378" s="56" t="s">
        <v>2939</v>
      </c>
      <c r="F378" s="56" t="s">
        <v>4338</v>
      </c>
      <c r="G378" s="56">
        <v>5</v>
      </c>
      <c r="H378" s="56">
        <v>0</v>
      </c>
      <c r="I378" s="58">
        <v>0</v>
      </c>
      <c r="J378" s="56" t="s">
        <v>4332</v>
      </c>
      <c r="K378" s="56" t="s">
        <v>2166</v>
      </c>
      <c r="L378" s="56" t="s">
        <v>2932</v>
      </c>
      <c r="M378" s="56" t="str">
        <f>HYPERLINK("https://dribble.octin.io/?mode=Single+log&amp;log_id=4dfadc8d-0dba-48ed-a4cc-52a989249ae6","URL")</f>
        <v>URL</v>
      </c>
      <c r="N378" s="56" t="s">
        <v>3466</v>
      </c>
      <c r="O378" t="str">
        <f>_xlfn.XLOOKUP(N378,'Error-codes'!$C$2:$C$130,'Error-codes'!$B$2:$B$130, "None")</f>
        <v>vision error</v>
      </c>
      <c r="U378" s="81">
        <f>DATEVALUE(LEFT(F378,10))</f>
        <v>44881</v>
      </c>
    </row>
    <row r="379" spans="1:21" hidden="1">
      <c r="A379" s="56" t="s">
        <v>4339</v>
      </c>
      <c r="B379" s="56" t="s">
        <v>2886</v>
      </c>
      <c r="C379" s="56" t="s">
        <v>4337</v>
      </c>
      <c r="D379" s="56" t="s">
        <v>37</v>
      </c>
      <c r="E379" s="56" t="s">
        <v>3242</v>
      </c>
      <c r="F379" s="56" t="s">
        <v>4340</v>
      </c>
      <c r="G379" s="56">
        <v>5</v>
      </c>
      <c r="H379" s="56">
        <v>1</v>
      </c>
      <c r="I379" s="58">
        <v>0.2</v>
      </c>
      <c r="J379" s="56" t="s">
        <v>4335</v>
      </c>
      <c r="K379" s="56" t="s">
        <v>2166</v>
      </c>
      <c r="L379" s="56" t="s">
        <v>2932</v>
      </c>
      <c r="M379" s="56" t="str">
        <f>HYPERLINK("https://dribble.octin.io/?mode=Single+log&amp;log_id=71012e33-ce61-4bff-b794-d591689aae36","URL")</f>
        <v>URL</v>
      </c>
      <c r="N379" s="56" t="s">
        <v>3458</v>
      </c>
      <c r="O379" t="str">
        <f>_xlfn.XLOOKUP(N379,'Error-codes'!$C$2:$C$130,'Error-codes'!$B$2:$B$130, "None")</f>
        <v>motor drive: UNDER VOLTAGE</v>
      </c>
      <c r="U379" s="81">
        <f>DATEVALUE(LEFT(F379,10))</f>
        <v>44881</v>
      </c>
    </row>
    <row r="380" spans="1:21" hidden="1">
      <c r="A380" s="56" t="s">
        <v>4341</v>
      </c>
      <c r="B380" s="56" t="s">
        <v>2886</v>
      </c>
      <c r="C380" s="56" t="s">
        <v>4342</v>
      </c>
      <c r="D380" s="56" t="s">
        <v>22</v>
      </c>
      <c r="E380" s="56" t="s">
        <v>2939</v>
      </c>
      <c r="F380" s="56" t="s">
        <v>4343</v>
      </c>
      <c r="G380" s="56">
        <v>8</v>
      </c>
      <c r="H380" s="56">
        <v>0</v>
      </c>
      <c r="I380" s="58">
        <v>0</v>
      </c>
      <c r="J380" s="56" t="s">
        <v>4332</v>
      </c>
      <c r="K380" s="56" t="s">
        <v>2166</v>
      </c>
      <c r="L380" s="56" t="s">
        <v>2932</v>
      </c>
      <c r="M380" s="56" t="str">
        <f>HYPERLINK("https://dribble.octin.io/?mode=Single+log&amp;log_id=de4fc6c1-405c-42aa-ba9f-1481c2171b93","URL")</f>
        <v>URL</v>
      </c>
      <c r="N380" s="56" t="s">
        <v>3466</v>
      </c>
      <c r="O380" t="str">
        <f>_xlfn.XLOOKUP(N380,'Error-codes'!$C$2:$C$130,'Error-codes'!$B$2:$B$130, "None")</f>
        <v>vision error</v>
      </c>
      <c r="T380" t="s">
        <v>4344</v>
      </c>
      <c r="U380" s="81">
        <f>DATEVALUE(LEFT(F380,10))</f>
        <v>44881</v>
      </c>
    </row>
    <row r="381" spans="1:21" hidden="1">
      <c r="B381" s="56" t="s">
        <v>228</v>
      </c>
      <c r="C381" s="56" t="s">
        <v>4345</v>
      </c>
      <c r="D381" s="56" t="s">
        <v>22</v>
      </c>
      <c r="F381" s="56" t="s">
        <v>4346</v>
      </c>
      <c r="G381" s="56">
        <v>101</v>
      </c>
      <c r="H381" s="56">
        <v>0</v>
      </c>
      <c r="I381" s="58">
        <v>0</v>
      </c>
      <c r="K381" s="56" t="s">
        <v>2166</v>
      </c>
      <c r="L381" s="56" t="s">
        <v>2932</v>
      </c>
      <c r="O381">
        <f>_xlfn.XLOOKUP(N381,'Error-codes'!$C$2:$C$130,'Error-codes'!$B$2:$B$130, "None")</f>
        <v>0</v>
      </c>
      <c r="T381" t="s">
        <v>4344</v>
      </c>
      <c r="U381" s="81">
        <f>DATEVALUE(LEFT(F381,10))</f>
        <v>44881</v>
      </c>
    </row>
    <row r="382" spans="1:21" hidden="1">
      <c r="B382" s="56" t="s">
        <v>228</v>
      </c>
      <c r="C382" s="56" t="s">
        <v>4347</v>
      </c>
      <c r="D382" s="56" t="s">
        <v>22</v>
      </c>
      <c r="F382" s="56" t="s">
        <v>4348</v>
      </c>
      <c r="G382" s="56">
        <v>101</v>
      </c>
      <c r="H382" s="56">
        <v>2</v>
      </c>
      <c r="I382" s="58">
        <v>1.9801980198019802E-2</v>
      </c>
      <c r="K382" s="56" t="s">
        <v>2166</v>
      </c>
      <c r="L382" s="56" t="s">
        <v>2932</v>
      </c>
      <c r="O382">
        <f>_xlfn.XLOOKUP(N382,'Error-codes'!$C$2:$C$130,'Error-codes'!$B$2:$B$130, "None")</f>
        <v>0</v>
      </c>
      <c r="U382" s="81">
        <f>DATEVALUE(LEFT(F382,10))</f>
        <v>44881</v>
      </c>
    </row>
    <row r="383" spans="1:21" hidden="1">
      <c r="A383" s="56" t="s">
        <v>4349</v>
      </c>
      <c r="B383" s="56" t="s">
        <v>228</v>
      </c>
      <c r="C383" s="56" t="s">
        <v>4350</v>
      </c>
      <c r="D383" s="56" t="s">
        <v>37</v>
      </c>
      <c r="E383" s="56" t="s">
        <v>4351</v>
      </c>
      <c r="F383" s="56" t="s">
        <v>4352</v>
      </c>
      <c r="G383" s="56">
        <v>101</v>
      </c>
      <c r="H383" s="56">
        <v>7</v>
      </c>
      <c r="I383" s="58">
        <v>6.9306930693069313E-2</v>
      </c>
      <c r="J383" s="56" t="s">
        <v>331</v>
      </c>
      <c r="K383" s="56" t="s">
        <v>2166</v>
      </c>
      <c r="L383" s="56" t="s">
        <v>2932</v>
      </c>
      <c r="M383" s="56" t="str">
        <f>HYPERLINK("https://dribble.octin.io/?mode=Single+log&amp;log_id=8635a4e5-160f-4a43-a22f-51dc4e02cedc","URL")</f>
        <v>URL</v>
      </c>
      <c r="N383" s="56" t="s">
        <v>3472</v>
      </c>
      <c r="O383" t="str">
        <f>_xlfn.XLOOKUP(N383,'Error-codes'!$C$2:$C$130,'Error-codes'!$B$2:$B$130, "None")</f>
        <v>Excessive slip detected</v>
      </c>
      <c r="U383" s="81">
        <f>DATEVALUE(LEFT(F383,10))</f>
        <v>44881</v>
      </c>
    </row>
    <row r="384" spans="1:21" hidden="1">
      <c r="A384" s="56" t="s">
        <v>4353</v>
      </c>
      <c r="B384" s="56" t="s">
        <v>228</v>
      </c>
      <c r="C384" s="56" t="s">
        <v>4354</v>
      </c>
      <c r="D384" s="56" t="s">
        <v>37</v>
      </c>
      <c r="E384" s="56" t="s">
        <v>2939</v>
      </c>
      <c r="F384" s="56" t="s">
        <v>4355</v>
      </c>
      <c r="G384" s="56">
        <v>93</v>
      </c>
      <c r="H384" s="56">
        <v>0</v>
      </c>
      <c r="I384" s="58">
        <v>0</v>
      </c>
      <c r="J384" s="56" t="s">
        <v>4356</v>
      </c>
      <c r="K384" s="56" t="s">
        <v>2166</v>
      </c>
      <c r="L384" s="56" t="s">
        <v>2932</v>
      </c>
      <c r="M384" s="56" t="str">
        <f>HYPERLINK("https://dribble.octin.io/?mode=Single+log&amp;log_id=f27c61ab-cbaf-4100-9338-fc4bef8bccc6","URL")</f>
        <v>URL</v>
      </c>
      <c r="N384" s="56" t="s">
        <v>3454</v>
      </c>
      <c r="O384" t="str">
        <f>_xlfn.XLOOKUP(N384,'Error-codes'!$C$2:$C$130,'Error-codes'!$B$2:$B$130, "None")</f>
        <v>Veh low level FSM: safety was triggered</v>
      </c>
      <c r="U384" s="81">
        <f>DATEVALUE(LEFT(F384,10))</f>
        <v>44881</v>
      </c>
    </row>
    <row r="385" spans="1:21" hidden="1">
      <c r="A385" s="56" t="s">
        <v>4357</v>
      </c>
      <c r="B385" s="56" t="s">
        <v>228</v>
      </c>
      <c r="C385" s="56" t="s">
        <v>4354</v>
      </c>
      <c r="D385" s="56" t="s">
        <v>37</v>
      </c>
      <c r="E385" s="56" t="s">
        <v>4358</v>
      </c>
      <c r="F385" s="56" t="s">
        <v>4359</v>
      </c>
      <c r="G385" s="56">
        <v>93</v>
      </c>
      <c r="H385" s="56">
        <v>9</v>
      </c>
      <c r="I385" s="58">
        <v>9.6774193548387094E-2</v>
      </c>
      <c r="J385" s="56" t="s">
        <v>4360</v>
      </c>
      <c r="K385" s="56" t="s">
        <v>2166</v>
      </c>
      <c r="L385" s="56" t="s">
        <v>2932</v>
      </c>
      <c r="M385" s="56" t="str">
        <f>HYPERLINK("https://dribble.octin.io/?mode=Single+log&amp;log_id=9ea15cda-d287-4c56-932c-82c0610f4c5d","URL")</f>
        <v>URL</v>
      </c>
      <c r="N385" s="56" t="s">
        <v>3458</v>
      </c>
      <c r="O385" t="str">
        <f>_xlfn.XLOOKUP(N385,'Error-codes'!$C$2:$C$130,'Error-codes'!$B$2:$B$130, "None")</f>
        <v>motor drive: UNDER VOLTAGE</v>
      </c>
      <c r="U385" s="81">
        <f>DATEVALUE(LEFT(F385,10))</f>
        <v>44881</v>
      </c>
    </row>
    <row r="386" spans="1:21" hidden="1">
      <c r="A386" s="56" t="s">
        <v>4361</v>
      </c>
      <c r="B386" s="56" t="s">
        <v>2886</v>
      </c>
      <c r="C386" s="56" t="s">
        <v>4362</v>
      </c>
      <c r="D386" s="56" t="s">
        <v>37</v>
      </c>
      <c r="E386" s="56" t="s">
        <v>4222</v>
      </c>
      <c r="F386" s="56" t="s">
        <v>4363</v>
      </c>
      <c r="G386" s="56">
        <v>68</v>
      </c>
      <c r="H386" s="56">
        <v>15</v>
      </c>
      <c r="I386" s="58">
        <v>0.22058823529411764</v>
      </c>
      <c r="J386" s="56" t="s">
        <v>4364</v>
      </c>
      <c r="K386" s="56" t="s">
        <v>2166</v>
      </c>
      <c r="L386" s="56" t="s">
        <v>2932</v>
      </c>
      <c r="M386" s="56" t="str">
        <f>HYPERLINK("https://dribble.octin.io/?mode=Single+log&amp;log_id=809dba6b-a4e1-484f-8e25-7e1a122597d6","URL")</f>
        <v>URL</v>
      </c>
      <c r="N386" s="56" t="s">
        <v>3458</v>
      </c>
      <c r="O386" t="str">
        <f>_xlfn.XLOOKUP(N386,'Error-codes'!$C$2:$C$130,'Error-codes'!$B$2:$B$130, "None")</f>
        <v>motor drive: UNDER VOLTAGE</v>
      </c>
      <c r="U386" s="81">
        <f>DATEVALUE(LEFT(F386,10))</f>
        <v>44881</v>
      </c>
    </row>
    <row r="387" spans="1:21" hidden="1">
      <c r="B387" s="56" t="s">
        <v>228</v>
      </c>
      <c r="C387" s="56" t="s">
        <v>4365</v>
      </c>
      <c r="D387" s="56" t="s">
        <v>388</v>
      </c>
      <c r="F387" s="56" t="s">
        <v>4366</v>
      </c>
      <c r="G387" s="56">
        <v>46</v>
      </c>
      <c r="H387" s="56">
        <v>45</v>
      </c>
      <c r="I387" s="58">
        <v>0.97826086956521741</v>
      </c>
      <c r="K387" s="56" t="s">
        <v>2166</v>
      </c>
      <c r="L387" s="56" t="s">
        <v>2932</v>
      </c>
      <c r="O387">
        <f>_xlfn.XLOOKUP(N387,'Error-codes'!$C$2:$C$130,'Error-codes'!$B$2:$B$130, "None")</f>
        <v>0</v>
      </c>
      <c r="U387" s="81">
        <f>DATEVALUE(LEFT(F387,10))</f>
        <v>44881</v>
      </c>
    </row>
    <row r="388" spans="1:21" hidden="1">
      <c r="B388" s="56" t="s">
        <v>295</v>
      </c>
      <c r="C388" s="56" t="s">
        <v>4367</v>
      </c>
      <c r="D388" s="56" t="s">
        <v>388</v>
      </c>
      <c r="F388" s="56" t="s">
        <v>4368</v>
      </c>
      <c r="G388" s="56">
        <v>139</v>
      </c>
      <c r="H388" s="56">
        <v>139</v>
      </c>
      <c r="I388" s="58">
        <v>1</v>
      </c>
      <c r="K388" s="56" t="s">
        <v>1873</v>
      </c>
      <c r="L388" s="56" t="s">
        <v>2942</v>
      </c>
      <c r="O388">
        <f>_xlfn.XLOOKUP(N388,'Error-codes'!$C$2:$C$130,'Error-codes'!$B$2:$B$130, "None")</f>
        <v>0</v>
      </c>
      <c r="U388" s="81">
        <f>DATEVALUE(LEFT(F388,10))</f>
        <v>44882</v>
      </c>
    </row>
    <row r="389" spans="1:21" hidden="1">
      <c r="A389" s="56" t="s">
        <v>4369</v>
      </c>
      <c r="B389" s="56" t="s">
        <v>29</v>
      </c>
      <c r="C389" s="56" t="s">
        <v>4370</v>
      </c>
      <c r="D389" s="56" t="s">
        <v>37</v>
      </c>
      <c r="E389" s="56" t="s">
        <v>4371</v>
      </c>
      <c r="F389" s="56" t="s">
        <v>4372</v>
      </c>
      <c r="G389" s="56">
        <v>213</v>
      </c>
      <c r="H389" s="56">
        <v>189</v>
      </c>
      <c r="I389" s="58">
        <v>0.88732394366197187</v>
      </c>
      <c r="J389" s="56" t="s">
        <v>4373</v>
      </c>
      <c r="K389" s="56" t="s">
        <v>1893</v>
      </c>
      <c r="L389" s="56" t="s">
        <v>2942</v>
      </c>
      <c r="M389" s="56" t="str">
        <f>HYPERLINK("https://dribble.octin.io/?mode=Single+log&amp;log_id=600b8d9c-c2e9-4791-8ae8-8c726bf16392","URL")</f>
        <v>URL</v>
      </c>
      <c r="N389" s="56" t="s">
        <v>3470</v>
      </c>
      <c r="O389" t="str">
        <f>_xlfn.XLOOKUP(N389,'Error-codes'!$C$2:$C$130,'Error-codes'!$B$2:$B$130, "None")</f>
        <v>battery level critical low</v>
      </c>
      <c r="U389" s="81">
        <f>DATEVALUE(LEFT(F389,10))</f>
        <v>44882</v>
      </c>
    </row>
    <row r="390" spans="1:21" hidden="1">
      <c r="A390" s="56" t="s">
        <v>4374</v>
      </c>
      <c r="B390" s="56" t="s">
        <v>295</v>
      </c>
      <c r="C390" s="56" t="s">
        <v>4375</v>
      </c>
      <c r="D390" s="56" t="s">
        <v>37</v>
      </c>
      <c r="E390" s="56" t="s">
        <v>3242</v>
      </c>
      <c r="F390" s="56" t="s">
        <v>4376</v>
      </c>
      <c r="G390" s="56">
        <v>4</v>
      </c>
      <c r="H390" s="56">
        <v>0</v>
      </c>
      <c r="I390" s="58">
        <v>0</v>
      </c>
      <c r="J390" s="56" t="s">
        <v>3315</v>
      </c>
      <c r="K390" s="56" t="s">
        <v>1893</v>
      </c>
      <c r="L390" s="56" t="s">
        <v>2942</v>
      </c>
      <c r="M390" s="56" t="str">
        <f>HYPERLINK("https://dribble.octin.io/?mode=Single+log&amp;log_id=ded9506f-bfa4-408a-bd0b-6da8d4e3cd4d","URL")</f>
        <v>URL</v>
      </c>
      <c r="N390" s="56" t="s">
        <v>3434</v>
      </c>
      <c r="O390" t="str">
        <f>_xlfn.XLOOKUP(N390,'Error-codes'!$C$2:$C$130,'Error-codes'!$B$2:$B$130, "None")</f>
        <v>Global path planning failed</v>
      </c>
      <c r="U390" s="81">
        <f>DATEVALUE(LEFT(F390,10))</f>
        <v>44882</v>
      </c>
    </row>
    <row r="391" spans="1:21" hidden="1">
      <c r="A391" s="56"/>
      <c r="B391" s="56" t="s">
        <v>295</v>
      </c>
      <c r="C391" s="56" t="s">
        <v>4377</v>
      </c>
      <c r="D391" s="56" t="s">
        <v>37</v>
      </c>
      <c r="E391" s="56" t="s">
        <v>4228</v>
      </c>
      <c r="F391" s="56" t="s">
        <v>4378</v>
      </c>
      <c r="G391" s="56">
        <v>4</v>
      </c>
      <c r="H391" s="56">
        <v>2</v>
      </c>
      <c r="I391" s="58">
        <v>0.5</v>
      </c>
      <c r="J391" s="56" t="s">
        <v>4379</v>
      </c>
      <c r="K391" s="56" t="s">
        <v>1893</v>
      </c>
      <c r="L391" s="56" t="s">
        <v>2942</v>
      </c>
      <c r="N391" s="56" t="s">
        <v>3454</v>
      </c>
      <c r="O391" t="str">
        <f>_xlfn.XLOOKUP(N391,'Error-codes'!$C$2:$C$130,'Error-codes'!$B$2:$B$130, "None")</f>
        <v>Veh low level FSM: safety was triggered</v>
      </c>
      <c r="U391" s="81">
        <f>DATEVALUE(LEFT(F391,10))</f>
        <v>44882</v>
      </c>
    </row>
    <row r="392" spans="1:21" hidden="1">
      <c r="A392" s="56" t="s">
        <v>4380</v>
      </c>
      <c r="B392" s="56" t="s">
        <v>2886</v>
      </c>
      <c r="C392" s="56" t="s">
        <v>4381</v>
      </c>
      <c r="D392" s="56" t="s">
        <v>22</v>
      </c>
      <c r="E392" s="56" t="s">
        <v>2939</v>
      </c>
      <c r="F392" s="56" t="s">
        <v>4382</v>
      </c>
      <c r="G392" s="56">
        <v>15</v>
      </c>
      <c r="H392" s="56">
        <v>1</v>
      </c>
      <c r="I392" s="58">
        <v>6.6666666666666666E-2</v>
      </c>
      <c r="J392" s="56" t="s">
        <v>4383</v>
      </c>
      <c r="K392" s="56" t="s">
        <v>2166</v>
      </c>
      <c r="L392" s="56" t="s">
        <v>2932</v>
      </c>
      <c r="M392" s="56" t="str">
        <f>HYPERLINK("https://dribble.octin.io/?mode=Single+log&amp;log_id=b0632092-a998-4c19-811e-cef2dec260c4","URL")</f>
        <v>URL</v>
      </c>
      <c r="N392" s="56" t="s">
        <v>3466</v>
      </c>
      <c r="O392" t="str">
        <f>_xlfn.XLOOKUP(N392,'Error-codes'!$C$2:$C$130,'Error-codes'!$B$2:$B$130, "None")</f>
        <v>vision error</v>
      </c>
      <c r="U392" s="81">
        <f>DATEVALUE(LEFT(F392,10))</f>
        <v>44882</v>
      </c>
    </row>
    <row r="393" spans="1:21" hidden="1">
      <c r="A393" s="56" t="s">
        <v>4384</v>
      </c>
      <c r="B393" s="56" t="s">
        <v>2886</v>
      </c>
      <c r="C393" s="56" t="s">
        <v>4381</v>
      </c>
      <c r="D393" s="56" t="s">
        <v>22</v>
      </c>
      <c r="E393" s="56" t="s">
        <v>2939</v>
      </c>
      <c r="F393" s="56" t="s">
        <v>4385</v>
      </c>
      <c r="G393" s="56">
        <v>15</v>
      </c>
      <c r="H393" s="56">
        <v>3</v>
      </c>
      <c r="I393" s="58">
        <v>0.2</v>
      </c>
      <c r="J393" s="56" t="s">
        <v>3315</v>
      </c>
      <c r="K393" s="56" t="s">
        <v>2166</v>
      </c>
      <c r="L393" s="56" t="s">
        <v>2932</v>
      </c>
      <c r="M393" s="56" t="str">
        <f>HYPERLINK("https://dribble.octin.io/?mode=Single+log&amp;log_id=9ee36b93-2b7d-47ff-8c4f-4875c97d79cd","URL")</f>
        <v>URL</v>
      </c>
      <c r="N393" s="56" t="s">
        <v>3458</v>
      </c>
      <c r="O393" t="str">
        <f>_xlfn.XLOOKUP(N393,'Error-codes'!$C$2:$C$130,'Error-codes'!$B$2:$B$130, "None")</f>
        <v>motor drive: UNDER VOLTAGE</v>
      </c>
      <c r="U393" s="81">
        <f>DATEVALUE(LEFT(F393,10))</f>
        <v>44882</v>
      </c>
    </row>
    <row r="394" spans="1:21" hidden="1">
      <c r="B394" s="56" t="s">
        <v>228</v>
      </c>
      <c r="C394" s="56" t="s">
        <v>4386</v>
      </c>
      <c r="D394" s="56" t="s">
        <v>22</v>
      </c>
      <c r="F394" s="56" t="s">
        <v>4387</v>
      </c>
      <c r="G394" s="56">
        <v>5</v>
      </c>
      <c r="H394" s="56">
        <v>0</v>
      </c>
      <c r="I394" s="58">
        <v>0</v>
      </c>
      <c r="K394" s="56" t="s">
        <v>2166</v>
      </c>
      <c r="L394" s="56" t="s">
        <v>2932</v>
      </c>
      <c r="O394">
        <f>_xlfn.XLOOKUP(N394,'Error-codes'!$C$2:$C$130,'Error-codes'!$B$2:$B$130, "None")</f>
        <v>0</v>
      </c>
      <c r="U394" s="81">
        <f>DATEVALUE(LEFT(F394,10))</f>
        <v>44882</v>
      </c>
    </row>
    <row r="395" spans="1:21" hidden="1">
      <c r="B395" s="56" t="s">
        <v>2886</v>
      </c>
      <c r="C395" s="56" t="s">
        <v>4388</v>
      </c>
      <c r="D395" s="56" t="s">
        <v>22</v>
      </c>
      <c r="F395" s="56" t="s">
        <v>4389</v>
      </c>
      <c r="G395" s="56">
        <v>6</v>
      </c>
      <c r="H395" s="56">
        <v>1</v>
      </c>
      <c r="I395" s="58">
        <v>0.16666666666666666</v>
      </c>
      <c r="K395" s="56" t="s">
        <v>2166</v>
      </c>
      <c r="L395" s="56" t="s">
        <v>2932</v>
      </c>
      <c r="O395">
        <f>_xlfn.XLOOKUP(N395,'Error-codes'!$C$2:$C$130,'Error-codes'!$B$2:$B$130, "None")</f>
        <v>0</v>
      </c>
      <c r="U395" s="81">
        <f>DATEVALUE(LEFT(F395,10))</f>
        <v>44882</v>
      </c>
    </row>
    <row r="396" spans="1:21" hidden="1">
      <c r="A396" s="56"/>
      <c r="B396" s="56" t="s">
        <v>2886</v>
      </c>
      <c r="C396" s="56" t="s">
        <v>4390</v>
      </c>
      <c r="D396" s="56" t="s">
        <v>37</v>
      </c>
      <c r="E396" s="56" t="s">
        <v>4228</v>
      </c>
      <c r="F396" s="56" t="s">
        <v>4391</v>
      </c>
      <c r="G396" s="56">
        <v>10</v>
      </c>
      <c r="H396" s="56">
        <v>6</v>
      </c>
      <c r="I396" s="58">
        <v>0.6</v>
      </c>
      <c r="J396" s="56" t="s">
        <v>4392</v>
      </c>
      <c r="K396" s="56" t="s">
        <v>2171</v>
      </c>
      <c r="L396" s="56" t="s">
        <v>2932</v>
      </c>
      <c r="N396" s="56" t="s">
        <v>3454</v>
      </c>
      <c r="O396" t="str">
        <f>_xlfn.XLOOKUP(N396,'Error-codes'!$C$2:$C$130,'Error-codes'!$B$2:$B$130, "None")</f>
        <v>Veh low level FSM: safety was triggered</v>
      </c>
      <c r="U396" s="81">
        <f>DATEVALUE(LEFT(F396,10))</f>
        <v>44882</v>
      </c>
    </row>
    <row r="397" spans="1:21" hidden="1">
      <c r="A397" s="56" t="s">
        <v>4393</v>
      </c>
      <c r="B397" s="56" t="s">
        <v>2886</v>
      </c>
      <c r="C397" s="56" t="s">
        <v>4394</v>
      </c>
      <c r="D397" s="56" t="s">
        <v>37</v>
      </c>
      <c r="E397" s="56" t="s">
        <v>2939</v>
      </c>
      <c r="F397" s="56" t="s">
        <v>4395</v>
      </c>
      <c r="G397" s="56">
        <v>51</v>
      </c>
      <c r="H397" s="56">
        <v>1</v>
      </c>
      <c r="I397" s="58">
        <v>1.9607843137254902E-2</v>
      </c>
      <c r="J397" s="56" t="s">
        <v>4396</v>
      </c>
      <c r="K397" s="56" t="s">
        <v>2166</v>
      </c>
      <c r="L397" s="56" t="s">
        <v>2932</v>
      </c>
      <c r="M397" s="56" t="str">
        <f>HYPERLINK("https://dribble.octin.io/?mode=Single+log&amp;log_id=16a5e89a-ec64-4e5c-9291-63fc5f648211","URL")</f>
        <v>URL</v>
      </c>
      <c r="N397" s="56" t="s">
        <v>3466</v>
      </c>
      <c r="O397" t="str">
        <f>_xlfn.XLOOKUP(N397,'Error-codes'!$C$2:$C$130,'Error-codes'!$B$2:$B$130, "None")</f>
        <v>vision error</v>
      </c>
      <c r="U397" s="81">
        <f>DATEVALUE(LEFT(F397,10))</f>
        <v>44882</v>
      </c>
    </row>
    <row r="398" spans="1:21" hidden="1">
      <c r="A398" s="56" t="s">
        <v>4397</v>
      </c>
      <c r="B398" s="56" t="s">
        <v>2886</v>
      </c>
      <c r="C398" s="56" t="s">
        <v>4394</v>
      </c>
      <c r="D398" s="56" t="s">
        <v>37</v>
      </c>
      <c r="E398" s="56" t="s">
        <v>4398</v>
      </c>
      <c r="F398" s="56" t="s">
        <v>4399</v>
      </c>
      <c r="G398" s="56">
        <v>51</v>
      </c>
      <c r="H398" s="56">
        <v>3</v>
      </c>
      <c r="I398" s="58">
        <v>5.8823529411764705E-2</v>
      </c>
      <c r="J398" s="56" t="s">
        <v>4400</v>
      </c>
      <c r="K398" s="56" t="s">
        <v>2166</v>
      </c>
      <c r="L398" s="56" t="s">
        <v>2932</v>
      </c>
      <c r="M398" s="56" t="str">
        <f>HYPERLINK("https://dribble.octin.io/?mode=Single+log&amp;log_id=76704aa8-6cef-4e2d-bb0b-d1cdd2e2b184","URL")</f>
        <v>URL</v>
      </c>
      <c r="N398" s="56" t="s">
        <v>3466</v>
      </c>
      <c r="O398" t="str">
        <f>_xlfn.XLOOKUP(N398,'Error-codes'!$C$2:$C$130,'Error-codes'!$B$2:$B$130, "None")</f>
        <v>vision error</v>
      </c>
      <c r="U398" s="81">
        <f>DATEVALUE(LEFT(F398,10))</f>
        <v>44882</v>
      </c>
    </row>
    <row r="399" spans="1:21" hidden="1">
      <c r="A399" s="56"/>
      <c r="B399" s="56" t="s">
        <v>29</v>
      </c>
      <c r="C399" s="56" t="s">
        <v>4401</v>
      </c>
      <c r="D399" s="56" t="s">
        <v>37</v>
      </c>
      <c r="E399" s="56" t="s">
        <v>4402</v>
      </c>
      <c r="F399" s="56" t="s">
        <v>4403</v>
      </c>
      <c r="G399" s="56">
        <v>139</v>
      </c>
      <c r="H399" s="56">
        <v>138</v>
      </c>
      <c r="I399" s="58">
        <v>0.9928057553956835</v>
      </c>
      <c r="J399" s="56" t="s">
        <v>4192</v>
      </c>
      <c r="K399" s="56" t="s">
        <v>1873</v>
      </c>
      <c r="L399" s="56" t="s">
        <v>2942</v>
      </c>
      <c r="N399" s="56" t="s">
        <v>3446</v>
      </c>
      <c r="O399" t="str">
        <f>_xlfn.XLOOKUP(N399,'Error-codes'!$C$2:$C$130,'Error-codes'!$B$2:$B$130, "None")</f>
        <v>end of lane wall sensor error</v>
      </c>
      <c r="U399" s="81">
        <f>DATEVALUE(LEFT(F399,10))</f>
        <v>44883</v>
      </c>
    </row>
    <row r="400" spans="1:21" hidden="1">
      <c r="B400" s="56" t="s">
        <v>295</v>
      </c>
      <c r="C400" s="56" t="s">
        <v>4404</v>
      </c>
      <c r="D400" s="56" t="s">
        <v>388</v>
      </c>
      <c r="F400" s="56" t="s">
        <v>4405</v>
      </c>
      <c r="G400" s="56">
        <v>213</v>
      </c>
      <c r="H400" s="56">
        <v>213</v>
      </c>
      <c r="I400" s="58">
        <v>1</v>
      </c>
      <c r="K400" s="56" t="s">
        <v>1893</v>
      </c>
      <c r="L400" s="56" t="s">
        <v>2942</v>
      </c>
      <c r="O400">
        <f>_xlfn.XLOOKUP(N400,'Error-codes'!$C$2:$C$130,'Error-codes'!$B$2:$B$130, "None")</f>
        <v>0</v>
      </c>
      <c r="U400" s="81">
        <f>DATEVALUE(LEFT(F400,10))</f>
        <v>44883</v>
      </c>
    </row>
    <row r="401" spans="1:21" hidden="1">
      <c r="A401" s="56"/>
      <c r="B401" s="56" t="s">
        <v>295</v>
      </c>
      <c r="C401" s="56" t="s">
        <v>4406</v>
      </c>
      <c r="D401" s="56" t="s">
        <v>37</v>
      </c>
      <c r="E401" s="56" t="s">
        <v>2939</v>
      </c>
      <c r="F401" s="56" t="s">
        <v>4407</v>
      </c>
      <c r="G401" s="56">
        <v>139</v>
      </c>
      <c r="H401" s="56">
        <v>0</v>
      </c>
      <c r="I401" s="58">
        <v>0</v>
      </c>
      <c r="J401" s="56" t="s">
        <v>3522</v>
      </c>
      <c r="K401" s="56" t="s">
        <v>1873</v>
      </c>
      <c r="L401" s="56" t="s">
        <v>2942</v>
      </c>
      <c r="N401" s="56" t="s">
        <v>3468</v>
      </c>
      <c r="O401" t="str">
        <f>_xlfn.XLOOKUP(N401,'Error-codes'!$C$2:$C$130,'Error-codes'!$B$2:$B$130, "None")</f>
        <v>no vision heartbeat</v>
      </c>
      <c r="U401" s="81">
        <f>DATEVALUE(LEFT(F401,10))</f>
        <v>44886</v>
      </c>
    </row>
    <row r="402" spans="1:21" hidden="1">
      <c r="A402" s="56"/>
      <c r="B402" s="56" t="s">
        <v>295</v>
      </c>
      <c r="C402" s="56" t="s">
        <v>4406</v>
      </c>
      <c r="D402" s="56" t="s">
        <v>37</v>
      </c>
      <c r="E402" s="56" t="s">
        <v>3242</v>
      </c>
      <c r="F402" s="56" t="s">
        <v>4408</v>
      </c>
      <c r="G402" s="56">
        <v>139</v>
      </c>
      <c r="H402" s="56">
        <v>1</v>
      </c>
      <c r="I402" s="58">
        <v>7.1942446043165471E-3</v>
      </c>
      <c r="J402" s="56" t="s">
        <v>3522</v>
      </c>
      <c r="K402" s="56" t="s">
        <v>1873</v>
      </c>
      <c r="L402" s="56" t="s">
        <v>2942</v>
      </c>
      <c r="N402" s="56" t="s">
        <v>3468</v>
      </c>
      <c r="O402" t="str">
        <f>_xlfn.XLOOKUP(N402,'Error-codes'!$C$2:$C$130,'Error-codes'!$B$2:$B$130, "None")</f>
        <v>no vision heartbeat</v>
      </c>
      <c r="U402" s="81">
        <f>DATEVALUE(LEFT(F402,10))</f>
        <v>44886</v>
      </c>
    </row>
    <row r="403" spans="1:21" hidden="1">
      <c r="A403" s="56"/>
      <c r="B403" s="56" t="s">
        <v>29</v>
      </c>
      <c r="C403" s="56" t="s">
        <v>4409</v>
      </c>
      <c r="D403" s="56" t="s">
        <v>37</v>
      </c>
      <c r="E403" s="56" t="s">
        <v>4351</v>
      </c>
      <c r="F403" s="56" t="s">
        <v>4410</v>
      </c>
      <c r="G403" s="56">
        <v>193</v>
      </c>
      <c r="H403" s="56">
        <v>51</v>
      </c>
      <c r="I403" s="58">
        <v>0.26424870466321243</v>
      </c>
      <c r="J403" s="56" t="s">
        <v>3845</v>
      </c>
      <c r="K403" s="56" t="s">
        <v>1893</v>
      </c>
      <c r="L403" s="56" t="s">
        <v>2942</v>
      </c>
      <c r="N403" s="56" t="s">
        <v>3472</v>
      </c>
      <c r="O403" t="str">
        <f>_xlfn.XLOOKUP(N403,'Error-codes'!$C$2:$C$130,'Error-codes'!$B$2:$B$130, "None")</f>
        <v>Excessive slip detected</v>
      </c>
      <c r="U403" s="81">
        <f>DATEVALUE(LEFT(F403,10))</f>
        <v>44886</v>
      </c>
    </row>
    <row r="404" spans="1:21" hidden="1">
      <c r="A404" s="56"/>
      <c r="B404" s="56" t="s">
        <v>295</v>
      </c>
      <c r="C404" s="56" t="s">
        <v>4411</v>
      </c>
      <c r="D404" s="56" t="s">
        <v>37</v>
      </c>
      <c r="E404" s="56" t="s">
        <v>4371</v>
      </c>
      <c r="F404" s="56" t="s">
        <v>4412</v>
      </c>
      <c r="G404" s="56">
        <v>138</v>
      </c>
      <c r="H404" s="56">
        <v>86</v>
      </c>
      <c r="I404" s="58">
        <v>0.62318840579710144</v>
      </c>
      <c r="J404" s="56" t="s">
        <v>4413</v>
      </c>
      <c r="K404" s="56" t="s">
        <v>1873</v>
      </c>
      <c r="L404" s="56" t="s">
        <v>2942</v>
      </c>
      <c r="N404" s="56" t="s">
        <v>3470</v>
      </c>
      <c r="O404" t="str">
        <f>_xlfn.XLOOKUP(N404,'Error-codes'!$C$2:$C$130,'Error-codes'!$B$2:$B$130, "None")</f>
        <v>battery level critical low</v>
      </c>
      <c r="U404" s="81">
        <f>DATEVALUE(LEFT(F404,10))</f>
        <v>44886</v>
      </c>
    </row>
    <row r="405" spans="1:21" hidden="1">
      <c r="A405" s="56"/>
      <c r="B405" s="56" t="s">
        <v>295</v>
      </c>
      <c r="C405" s="56" t="s">
        <v>4414</v>
      </c>
      <c r="D405" s="56" t="s">
        <v>37</v>
      </c>
      <c r="E405" s="56" t="s">
        <v>4415</v>
      </c>
      <c r="F405" s="56" t="s">
        <v>4416</v>
      </c>
      <c r="G405" s="56">
        <v>140</v>
      </c>
      <c r="H405" s="56">
        <v>1</v>
      </c>
      <c r="I405" s="58">
        <v>7.1428571428571426E-3</v>
      </c>
      <c r="J405" s="56" t="s">
        <v>398</v>
      </c>
      <c r="K405" s="56" t="s">
        <v>1873</v>
      </c>
      <c r="L405" s="56" t="s">
        <v>2942</v>
      </c>
      <c r="N405" s="56" t="s">
        <v>3468</v>
      </c>
      <c r="O405" t="str">
        <f>_xlfn.XLOOKUP(N405,'Error-codes'!$C$2:$C$130,'Error-codes'!$B$2:$B$130, "None")</f>
        <v>no vision heartbeat</v>
      </c>
      <c r="U405" s="81">
        <f>DATEVALUE(LEFT(F405,10))</f>
        <v>44889</v>
      </c>
    </row>
    <row r="406" spans="1:21" hidden="1">
      <c r="A406" s="56" t="s">
        <v>4417</v>
      </c>
      <c r="B406" s="56" t="s">
        <v>295</v>
      </c>
      <c r="C406" s="56" t="s">
        <v>4418</v>
      </c>
      <c r="D406" s="56" t="s">
        <v>37</v>
      </c>
      <c r="E406" s="56" t="s">
        <v>2939</v>
      </c>
      <c r="F406" s="56" t="s">
        <v>4419</v>
      </c>
      <c r="G406" s="56">
        <v>139</v>
      </c>
      <c r="H406" s="56">
        <v>0</v>
      </c>
      <c r="I406" s="58">
        <v>0</v>
      </c>
      <c r="J406" s="56" t="s">
        <v>3315</v>
      </c>
      <c r="K406" s="56" t="s">
        <v>1873</v>
      </c>
      <c r="L406" s="56" t="s">
        <v>2942</v>
      </c>
      <c r="M406" s="56" t="str">
        <f>HYPERLINK("https://dribble.octin.io/?mode=Single+log&amp;log_id=81ebc368-e847-4bf2-9517-c91c31acd9bc","URL")</f>
        <v>URL</v>
      </c>
      <c r="N406" s="56" t="s">
        <v>3466</v>
      </c>
      <c r="O406" t="str">
        <f>_xlfn.XLOOKUP(N406,'Error-codes'!$C$2:$C$130,'Error-codes'!$B$2:$B$130, "None")</f>
        <v>vision error</v>
      </c>
      <c r="U406" s="81">
        <f>DATEVALUE(LEFT(F406,10))</f>
        <v>44890</v>
      </c>
    </row>
    <row r="407" spans="1:21" hidden="1">
      <c r="A407" s="56" t="s">
        <v>4417</v>
      </c>
      <c r="B407" s="56" t="s">
        <v>295</v>
      </c>
      <c r="C407" s="56" t="s">
        <v>4420</v>
      </c>
      <c r="D407" s="56" t="s">
        <v>37</v>
      </c>
      <c r="E407" s="56" t="s">
        <v>3242</v>
      </c>
      <c r="F407" s="56" t="s">
        <v>4419</v>
      </c>
      <c r="G407" s="56">
        <v>139</v>
      </c>
      <c r="H407" s="56">
        <v>0</v>
      </c>
      <c r="I407" s="58">
        <v>0</v>
      </c>
      <c r="J407" s="56" t="s">
        <v>398</v>
      </c>
      <c r="K407" s="56" t="s">
        <v>1873</v>
      </c>
      <c r="L407" s="56" t="s">
        <v>2942</v>
      </c>
      <c r="M407" s="56" t="str">
        <f>HYPERLINK("https://dribble.octin.io/?mode=Single+log&amp;log_id=81ebc368-e847-4bf2-9517-c91c31acd9bc","URL")</f>
        <v>URL</v>
      </c>
      <c r="N407" s="56" t="s">
        <v>3468</v>
      </c>
      <c r="O407" t="str">
        <f>_xlfn.XLOOKUP(N407,'Error-codes'!$C$2:$C$130,'Error-codes'!$B$2:$B$130, "None")</f>
        <v>no vision heartbeat</v>
      </c>
      <c r="U407" s="81">
        <f>DATEVALUE(LEFT(F407,10))</f>
        <v>44890</v>
      </c>
    </row>
    <row r="408" spans="1:21" hidden="1">
      <c r="A408" s="56" t="s">
        <v>4417</v>
      </c>
      <c r="B408" s="56" t="s">
        <v>295</v>
      </c>
      <c r="C408" s="56" t="s">
        <v>4421</v>
      </c>
      <c r="D408" s="56" t="s">
        <v>37</v>
      </c>
      <c r="E408" s="56" t="s">
        <v>2939</v>
      </c>
      <c r="F408" s="56" t="s">
        <v>4419</v>
      </c>
      <c r="G408" s="56">
        <v>140</v>
      </c>
      <c r="H408" s="56">
        <v>0</v>
      </c>
      <c r="I408" s="58">
        <v>0</v>
      </c>
      <c r="J408" s="56" t="s">
        <v>398</v>
      </c>
      <c r="K408" s="56" t="s">
        <v>1873</v>
      </c>
      <c r="L408" s="56" t="s">
        <v>2942</v>
      </c>
      <c r="M408" s="56" t="str">
        <f>HYPERLINK("https://dribble.octin.io/?mode=Single+log&amp;log_id=81ebc368-e847-4bf2-9517-c91c31acd9bc","URL")</f>
        <v>URL</v>
      </c>
      <c r="N408" s="56" t="s">
        <v>3468</v>
      </c>
      <c r="O408" t="str">
        <f>_xlfn.XLOOKUP(N408,'Error-codes'!$C$2:$C$130,'Error-codes'!$B$2:$B$130, "None")</f>
        <v>no vision heartbeat</v>
      </c>
      <c r="U408" s="81">
        <f>DATEVALUE(LEFT(F408,10))</f>
        <v>44890</v>
      </c>
    </row>
    <row r="409" spans="1:21" hidden="1">
      <c r="A409" s="56" t="s">
        <v>4417</v>
      </c>
      <c r="B409" s="56" t="s">
        <v>295</v>
      </c>
      <c r="C409" s="56" t="s">
        <v>4421</v>
      </c>
      <c r="D409" s="56" t="s">
        <v>37</v>
      </c>
      <c r="E409" s="56" t="s">
        <v>3242</v>
      </c>
      <c r="F409" s="56" t="s">
        <v>4419</v>
      </c>
      <c r="G409" s="56">
        <v>140</v>
      </c>
      <c r="H409" s="56">
        <v>1</v>
      </c>
      <c r="I409" s="58">
        <v>7.1428571428571426E-3</v>
      </c>
      <c r="J409" s="56" t="s">
        <v>398</v>
      </c>
      <c r="K409" s="56" t="s">
        <v>1873</v>
      </c>
      <c r="L409" s="56" t="s">
        <v>2942</v>
      </c>
      <c r="M409" s="56" t="str">
        <f>HYPERLINK("https://dribble.octin.io/?mode=Single+log&amp;log_id=81ebc368-e847-4bf2-9517-c91c31acd9bc","URL")</f>
        <v>URL</v>
      </c>
      <c r="N409" s="56" t="s">
        <v>3468</v>
      </c>
      <c r="O409" t="str">
        <f>_xlfn.XLOOKUP(N409,'Error-codes'!$C$2:$C$130,'Error-codes'!$B$2:$B$130, "None")</f>
        <v>no vision heartbeat</v>
      </c>
      <c r="U409" s="81">
        <f>DATEVALUE(LEFT(F409,10))</f>
        <v>44890</v>
      </c>
    </row>
    <row r="410" spans="1:21" hidden="1">
      <c r="A410" s="56" t="s">
        <v>4422</v>
      </c>
      <c r="B410" s="56" t="s">
        <v>295</v>
      </c>
      <c r="C410" s="56" t="s">
        <v>4418</v>
      </c>
      <c r="D410" s="56" t="s">
        <v>37</v>
      </c>
      <c r="E410" s="56" t="s">
        <v>3242</v>
      </c>
      <c r="F410" s="56" t="s">
        <v>4423</v>
      </c>
      <c r="G410" s="56">
        <v>139</v>
      </c>
      <c r="H410" s="56">
        <v>1</v>
      </c>
      <c r="I410" s="58">
        <v>7.1942446043165471E-3</v>
      </c>
      <c r="J410" s="56" t="s">
        <v>248</v>
      </c>
      <c r="K410" s="56" t="s">
        <v>1873</v>
      </c>
      <c r="L410" s="56" t="s">
        <v>2942</v>
      </c>
      <c r="M410" s="56" t="str">
        <f>HYPERLINK("https://dribble.octin.io/?mode=Single+log&amp;log_id=1e5b2987-32ef-46a5-b123-91aa72d26a9f","URL")</f>
        <v>URL</v>
      </c>
      <c r="N410" s="56" t="s">
        <v>3466</v>
      </c>
      <c r="O410" t="str">
        <f>_xlfn.XLOOKUP(N410,'Error-codes'!$C$2:$C$130,'Error-codes'!$B$2:$B$130, "None")</f>
        <v>vision error</v>
      </c>
      <c r="U410" s="81">
        <f>DATEVALUE(LEFT(F410,10))</f>
        <v>44890</v>
      </c>
    </row>
    <row r="411" spans="1:21" hidden="1">
      <c r="B411" s="56" t="s">
        <v>29</v>
      </c>
      <c r="C411" s="56" t="s">
        <v>4424</v>
      </c>
      <c r="D411" s="56" t="s">
        <v>388</v>
      </c>
      <c r="F411" s="56" t="s">
        <v>4425</v>
      </c>
      <c r="G411" s="56">
        <v>213</v>
      </c>
      <c r="H411" s="56">
        <v>211</v>
      </c>
      <c r="I411" s="58">
        <v>0.99061032863849763</v>
      </c>
      <c r="K411" s="56" t="s">
        <v>1893</v>
      </c>
      <c r="L411" s="56" t="s">
        <v>2942</v>
      </c>
      <c r="O411">
        <f>_xlfn.XLOOKUP(N411,'Error-codes'!$C$2:$C$130,'Error-codes'!$B$2:$B$130, "None")</f>
        <v>0</v>
      </c>
      <c r="U411" s="81">
        <f>DATEVALUE(LEFT(F411,10))</f>
        <v>44890</v>
      </c>
    </row>
    <row r="412" spans="1:21" hidden="1">
      <c r="A412" s="56"/>
      <c r="B412" s="56" t="s">
        <v>295</v>
      </c>
      <c r="C412" s="56" t="s">
        <v>4426</v>
      </c>
      <c r="D412" s="56" t="s">
        <v>37</v>
      </c>
      <c r="E412" s="56" t="s">
        <v>2939</v>
      </c>
      <c r="F412" s="56" t="s">
        <v>4427</v>
      </c>
      <c r="G412" s="56">
        <v>138</v>
      </c>
      <c r="H412" s="56">
        <v>0</v>
      </c>
      <c r="I412" s="58">
        <v>0</v>
      </c>
      <c r="J412" s="56" t="s">
        <v>3315</v>
      </c>
      <c r="K412" s="56" t="s">
        <v>1873</v>
      </c>
      <c r="L412" s="56" t="s">
        <v>2942</v>
      </c>
      <c r="N412" s="56" t="s">
        <v>3468</v>
      </c>
      <c r="O412" t="str">
        <f>_xlfn.XLOOKUP(N412,'Error-codes'!$C$2:$C$130,'Error-codes'!$B$2:$B$130, "None")</f>
        <v>no vision heartbeat</v>
      </c>
      <c r="U412" s="81">
        <f>DATEVALUE(LEFT(F412,10))</f>
        <v>44890</v>
      </c>
    </row>
    <row r="413" spans="1:21" hidden="1">
      <c r="A413" s="56"/>
      <c r="B413" s="56" t="s">
        <v>295</v>
      </c>
      <c r="C413" s="56" t="s">
        <v>4426</v>
      </c>
      <c r="D413" s="56" t="s">
        <v>37</v>
      </c>
      <c r="E413" s="56" t="s">
        <v>3242</v>
      </c>
      <c r="F413" s="56" t="s">
        <v>4428</v>
      </c>
      <c r="G413" s="56">
        <v>138</v>
      </c>
      <c r="H413" s="56">
        <v>1</v>
      </c>
      <c r="I413" s="58">
        <v>7.246376811594203E-3</v>
      </c>
      <c r="J413" s="56" t="s">
        <v>4429</v>
      </c>
      <c r="K413" s="56" t="s">
        <v>1873</v>
      </c>
      <c r="L413" s="56" t="s">
        <v>2942</v>
      </c>
      <c r="N413" s="56" t="s">
        <v>3468</v>
      </c>
      <c r="O413" t="str">
        <f>_xlfn.XLOOKUP(N413,'Error-codes'!$C$2:$C$130,'Error-codes'!$B$2:$B$130, "None")</f>
        <v>no vision heartbeat</v>
      </c>
      <c r="U413" s="81">
        <f>DATEVALUE(LEFT(F413,10))</f>
        <v>44890</v>
      </c>
    </row>
    <row r="414" spans="1:21" hidden="1">
      <c r="A414" t="s">
        <v>4430</v>
      </c>
      <c r="B414" t="s">
        <v>29</v>
      </c>
      <c r="C414" t="s">
        <v>1700</v>
      </c>
      <c r="D414" t="s">
        <v>37</v>
      </c>
      <c r="F414" s="56" t="s">
        <v>4431</v>
      </c>
      <c r="M414" s="45" t="str">
        <f>HYPERLINK(CONCATENATE("https://dribble.octin.io/?mode=Single+log&amp;log_id=", $A414),"URL")</f>
        <v>URL</v>
      </c>
      <c r="O414">
        <f>_xlfn.XLOOKUP(N414,'Error-codes'!$C$2:$C$130,'Error-codes'!$B$2:$B$130, "None")</f>
        <v>0</v>
      </c>
      <c r="P414" t="s">
        <v>4432</v>
      </c>
      <c r="Q414" s="45" t="s">
        <v>3074</v>
      </c>
      <c r="R414" s="45"/>
      <c r="U414" s="81">
        <f>DATEVALUE(LEFT(F414,10))</f>
        <v>44890</v>
      </c>
    </row>
    <row r="415" spans="1:21" ht="45.75" hidden="1">
      <c r="A415" s="56" t="s">
        <v>4433</v>
      </c>
      <c r="B415" s="56" t="s">
        <v>3771</v>
      </c>
      <c r="C415" s="56" t="s">
        <v>4434</v>
      </c>
      <c r="D415" s="56" t="s">
        <v>37</v>
      </c>
      <c r="E415" s="56" t="s">
        <v>3776</v>
      </c>
      <c r="F415" s="56" t="s">
        <v>4435</v>
      </c>
      <c r="G415" s="56">
        <v>132</v>
      </c>
      <c r="H415" s="56">
        <v>0</v>
      </c>
      <c r="I415" s="58">
        <v>0</v>
      </c>
      <c r="J415" s="56" t="s">
        <v>3315</v>
      </c>
      <c r="K415" s="56" t="s">
        <v>3207</v>
      </c>
      <c r="L415" s="56" t="s">
        <v>3775</v>
      </c>
      <c r="M415" s="56" t="str">
        <f>HYPERLINK("https://dribble.octin.io/?mode=Single+log&amp;log_id=60941112-ffe7-44f9-815f-0103bcaf308a","URL")</f>
        <v>URL</v>
      </c>
      <c r="N415" s="56"/>
      <c r="O415">
        <f>_xlfn.XLOOKUP(N415,'Error-codes'!$C$2:$C$130,'Error-codes'!$B$2:$B$130, "None")</f>
        <v>0</v>
      </c>
      <c r="P415" s="46" t="s">
        <v>4436</v>
      </c>
      <c r="U415" s="81">
        <f>DATEVALUE(LEFT(F415,10))</f>
        <v>44890</v>
      </c>
    </row>
    <row r="416" spans="1:21" ht="45.75" hidden="1">
      <c r="A416" s="56" t="s">
        <v>4437</v>
      </c>
      <c r="B416" s="56" t="s">
        <v>3771</v>
      </c>
      <c r="C416" s="56" t="s">
        <v>4438</v>
      </c>
      <c r="D416" s="56" t="s">
        <v>37</v>
      </c>
      <c r="E416" s="56" t="s">
        <v>3776</v>
      </c>
      <c r="F416" s="56" t="s">
        <v>4439</v>
      </c>
      <c r="G416" s="56">
        <v>132</v>
      </c>
      <c r="H416" s="56">
        <v>0</v>
      </c>
      <c r="I416" s="58">
        <v>0</v>
      </c>
      <c r="J416" s="56" t="s">
        <v>4440</v>
      </c>
      <c r="K416" s="56" t="s">
        <v>3207</v>
      </c>
      <c r="L416" s="56" t="s">
        <v>3775</v>
      </c>
      <c r="M416" s="56" t="str">
        <f>HYPERLINK("https://dribble.octin.io/?mode=Single+log&amp;log_id=3d91938d-399d-4df1-88cd-70c7ae4fc715","URL")</f>
        <v>URL</v>
      </c>
      <c r="N416" s="56" t="s">
        <v>3450</v>
      </c>
      <c r="O416" t="str">
        <f>_xlfn.XLOOKUP(N416,'Error-codes'!$C$2:$C$130,'Error-codes'!$B$2:$B$130, "None")</f>
        <v>xtheta sensor error</v>
      </c>
      <c r="P416" s="46" t="s">
        <v>4436</v>
      </c>
      <c r="S416" s="46" t="s">
        <v>4441</v>
      </c>
      <c r="U416" s="81">
        <f>DATEVALUE(LEFT(F416,10))</f>
        <v>44890</v>
      </c>
    </row>
    <row r="417" spans="1:21" ht="45.75" hidden="1">
      <c r="A417" s="56" t="s">
        <v>4442</v>
      </c>
      <c r="B417" s="56" t="s">
        <v>3771</v>
      </c>
      <c r="C417" s="56" t="s">
        <v>4443</v>
      </c>
      <c r="D417" s="56" t="s">
        <v>37</v>
      </c>
      <c r="E417" s="56" t="s">
        <v>3776</v>
      </c>
      <c r="F417" s="56" t="s">
        <v>4444</v>
      </c>
      <c r="G417" s="56">
        <v>133</v>
      </c>
      <c r="H417" s="56">
        <v>0</v>
      </c>
      <c r="I417" s="58">
        <v>0</v>
      </c>
      <c r="J417" s="56" t="s">
        <v>4445</v>
      </c>
      <c r="K417" s="56" t="s">
        <v>3207</v>
      </c>
      <c r="L417" s="56" t="s">
        <v>3775</v>
      </c>
      <c r="M417" s="56" t="str">
        <f>HYPERLINK("https://dribble.octin.io/?mode=Single+log&amp;log_id=58667922-bf57-47c5-9e25-c47185ab451a","URL")</f>
        <v>URL</v>
      </c>
      <c r="N417" s="56" t="s">
        <v>3452</v>
      </c>
      <c r="O417" t="str">
        <f>_xlfn.XLOOKUP(N417,'Error-codes'!$C$2:$C$130,'Error-codes'!$B$2:$B$130, "None")</f>
        <v>ytheta sensor error</v>
      </c>
      <c r="P417" s="46" t="s">
        <v>4436</v>
      </c>
      <c r="S417" s="46" t="s">
        <v>4441</v>
      </c>
      <c r="U417" s="81">
        <f>DATEVALUE(LEFT(F417,10))</f>
        <v>44890</v>
      </c>
    </row>
    <row r="418" spans="1:21" hidden="1">
      <c r="A418" s="56"/>
      <c r="B418" s="56" t="s">
        <v>3771</v>
      </c>
      <c r="C418" s="56" t="s">
        <v>4446</v>
      </c>
      <c r="D418" s="56" t="s">
        <v>37</v>
      </c>
      <c r="E418" s="56" t="s">
        <v>3776</v>
      </c>
      <c r="F418" s="56" t="s">
        <v>4447</v>
      </c>
      <c r="G418" s="56">
        <v>133</v>
      </c>
      <c r="H418" s="56">
        <v>0</v>
      </c>
      <c r="I418" s="58">
        <v>0</v>
      </c>
      <c r="J418" s="56" t="s">
        <v>4445</v>
      </c>
      <c r="K418" s="56" t="s">
        <v>3207</v>
      </c>
      <c r="L418" s="56" t="s">
        <v>3775</v>
      </c>
      <c r="N418" s="56" t="s">
        <v>3452</v>
      </c>
      <c r="O418" t="str">
        <f>_xlfn.XLOOKUP(N418,'Error-codes'!$C$2:$C$130,'Error-codes'!$B$2:$B$130, "None")</f>
        <v>ytheta sensor error</v>
      </c>
      <c r="P418" s="46"/>
      <c r="U418" s="81">
        <f>DATEVALUE(LEFT(F418,10))</f>
        <v>44890</v>
      </c>
    </row>
    <row r="419" spans="1:21" ht="91.5" hidden="1">
      <c r="A419" s="56" t="s">
        <v>4448</v>
      </c>
      <c r="B419" s="56" t="s">
        <v>3771</v>
      </c>
      <c r="C419" s="56" t="s">
        <v>4449</v>
      </c>
      <c r="D419" s="56" t="s">
        <v>37</v>
      </c>
      <c r="E419" s="56" t="s">
        <v>2939</v>
      </c>
      <c r="F419" s="56" t="s">
        <v>4450</v>
      </c>
      <c r="G419" s="56">
        <v>136</v>
      </c>
      <c r="H419" s="56">
        <v>2</v>
      </c>
      <c r="I419" s="58">
        <v>1.4705882352941176E-2</v>
      </c>
      <c r="J419" s="56" t="s">
        <v>4451</v>
      </c>
      <c r="K419" s="56" t="s">
        <v>3207</v>
      </c>
      <c r="L419" s="56" t="s">
        <v>3775</v>
      </c>
      <c r="M419" s="56" t="str">
        <f>HYPERLINK("https://dribble.octin.io/?mode=Single+log&amp;log_id=0bb39984-7965-46ce-b3a2-d91c0db2b9e8","URL")</f>
        <v>URL</v>
      </c>
      <c r="N419" s="56" t="s">
        <v>3450</v>
      </c>
      <c r="O419" t="str">
        <f>_xlfn.XLOOKUP(N419,'Error-codes'!$C$2:$C$130,'Error-codes'!$B$2:$B$130, "None")</f>
        <v>xtheta sensor error</v>
      </c>
      <c r="P419" s="46" t="s">
        <v>4452</v>
      </c>
      <c r="Q419" s="51" t="s">
        <v>4453</v>
      </c>
      <c r="R419" s="51"/>
      <c r="U419" s="81">
        <f>DATEVALUE(LEFT(F419,10))</f>
        <v>44890</v>
      </c>
    </row>
    <row r="420" spans="1:21" ht="76.5" hidden="1">
      <c r="A420" s="56" t="s">
        <v>4454</v>
      </c>
      <c r="B420" s="56" t="s">
        <v>3771</v>
      </c>
      <c r="C420" s="56" t="s">
        <v>4449</v>
      </c>
      <c r="D420" s="56" t="s">
        <v>37</v>
      </c>
      <c r="E420" s="56" t="s">
        <v>3776</v>
      </c>
      <c r="F420" s="56" t="s">
        <v>4455</v>
      </c>
      <c r="G420" s="56">
        <v>136</v>
      </c>
      <c r="H420" s="56">
        <v>114</v>
      </c>
      <c r="I420" s="58">
        <v>0.83823529411764708</v>
      </c>
      <c r="J420" s="56" t="s">
        <v>4456</v>
      </c>
      <c r="K420" s="56" t="s">
        <v>3207</v>
      </c>
      <c r="L420" s="56" t="s">
        <v>3775</v>
      </c>
      <c r="M420" s="56" t="str">
        <f>HYPERLINK("https://dribble.octin.io/?mode=Single+log&amp;log_id=c66f1011-e258-47ee-a826-fb7cac9e2662","URL")</f>
        <v>URL</v>
      </c>
      <c r="N420" s="56" t="s">
        <v>3446</v>
      </c>
      <c r="O420" t="str">
        <f>_xlfn.XLOOKUP(N420,'Error-codes'!$C$2:$C$130,'Error-codes'!$B$2:$B$130, "None")</f>
        <v>end of lane wall sensor error</v>
      </c>
      <c r="P420" s="46" t="s">
        <v>4457</v>
      </c>
      <c r="Q420" s="51" t="s">
        <v>4453</v>
      </c>
      <c r="R420" s="51"/>
      <c r="U420" s="81">
        <f>DATEVALUE(LEFT(F420,10))</f>
        <v>44890</v>
      </c>
    </row>
    <row r="421" spans="1:21" hidden="1">
      <c r="A421" s="56" t="s">
        <v>4458</v>
      </c>
      <c r="B421" s="56" t="s">
        <v>295</v>
      </c>
      <c r="C421" s="56" t="s">
        <v>4459</v>
      </c>
      <c r="D421" s="56" t="s">
        <v>37</v>
      </c>
      <c r="E421" s="56" t="s">
        <v>4222</v>
      </c>
      <c r="F421" s="56" t="s">
        <v>4460</v>
      </c>
      <c r="G421" s="56">
        <v>213</v>
      </c>
      <c r="H421" s="56">
        <v>194</v>
      </c>
      <c r="I421" s="58">
        <v>0.91079812206572774</v>
      </c>
      <c r="J421" s="56" t="s">
        <v>4461</v>
      </c>
      <c r="K421" s="56" t="s">
        <v>1893</v>
      </c>
      <c r="L421" s="56" t="s">
        <v>2942</v>
      </c>
      <c r="M421" s="56" t="str">
        <f>HYPERLINK("https://dribble.octin.io/?mode=Single+log&amp;log_id=4dfb1a2e-9f62-4052-9c01-0b077fefd045","URL")</f>
        <v>URL</v>
      </c>
      <c r="N421" s="56" t="s">
        <v>3458</v>
      </c>
      <c r="O421" t="str">
        <f>_xlfn.XLOOKUP(N421,'Error-codes'!$C$2:$C$130,'Error-codes'!$B$2:$B$130, "None")</f>
        <v>motor drive: UNDER VOLTAGE</v>
      </c>
      <c r="P421" t="s">
        <v>4462</v>
      </c>
      <c r="S421" t="s">
        <v>4463</v>
      </c>
      <c r="U421" s="81">
        <f>DATEVALUE(LEFT(F421,10))</f>
        <v>44891</v>
      </c>
    </row>
    <row r="422" spans="1:21" hidden="1">
      <c r="A422" s="56"/>
      <c r="B422" s="56" t="s">
        <v>29</v>
      </c>
      <c r="C422" s="56" t="s">
        <v>4464</v>
      </c>
      <c r="D422" s="56" t="s">
        <v>37</v>
      </c>
      <c r="E422" s="56" t="s">
        <v>2939</v>
      </c>
      <c r="F422" s="56" t="s">
        <v>4465</v>
      </c>
      <c r="G422" s="56">
        <v>138</v>
      </c>
      <c r="H422" s="56">
        <v>0</v>
      </c>
      <c r="I422" s="58">
        <v>0</v>
      </c>
      <c r="J422" s="56" t="s">
        <v>3522</v>
      </c>
      <c r="K422" s="56" t="s">
        <v>1873</v>
      </c>
      <c r="L422" s="56" t="s">
        <v>2942</v>
      </c>
      <c r="N422" s="56" t="s">
        <v>3468</v>
      </c>
      <c r="O422" t="str">
        <f>_xlfn.XLOOKUP(N422,'Error-codes'!$C$2:$C$130,'Error-codes'!$B$2:$B$130, "None")</f>
        <v>no vision heartbeat</v>
      </c>
      <c r="U422" s="81">
        <f>DATEVALUE(LEFT(F422,10))</f>
        <v>44892</v>
      </c>
    </row>
    <row r="423" spans="1:21" hidden="1">
      <c r="A423" s="56"/>
      <c r="B423" s="56" t="s">
        <v>29</v>
      </c>
      <c r="C423" s="56" t="s">
        <v>4464</v>
      </c>
      <c r="D423" s="56" t="s">
        <v>37</v>
      </c>
      <c r="E423" s="56" t="s">
        <v>3242</v>
      </c>
      <c r="F423" s="56" t="s">
        <v>4466</v>
      </c>
      <c r="G423" s="56">
        <v>138</v>
      </c>
      <c r="H423" s="56">
        <v>1</v>
      </c>
      <c r="I423" s="58">
        <v>7.246376811594203E-3</v>
      </c>
      <c r="J423" s="56" t="s">
        <v>3315</v>
      </c>
      <c r="K423" s="56" t="s">
        <v>1873</v>
      </c>
      <c r="L423" s="56" t="s">
        <v>2942</v>
      </c>
      <c r="N423" s="56" t="s">
        <v>3446</v>
      </c>
      <c r="O423" t="str">
        <f>_xlfn.XLOOKUP(N423,'Error-codes'!$C$2:$C$130,'Error-codes'!$B$2:$B$130, "None")</f>
        <v>end of lane wall sensor error</v>
      </c>
      <c r="U423" s="81">
        <f>DATEVALUE(LEFT(F423,10))</f>
        <v>44892</v>
      </c>
    </row>
    <row r="424" spans="1:21" hidden="1">
      <c r="A424" s="76" t="s">
        <v>4467</v>
      </c>
      <c r="B424" s="56" t="s">
        <v>295</v>
      </c>
      <c r="C424" s="56" t="s">
        <v>4468</v>
      </c>
      <c r="D424" s="56" t="s">
        <v>37</v>
      </c>
      <c r="E424" s="56" t="s">
        <v>3242</v>
      </c>
      <c r="F424" s="56" t="s">
        <v>4469</v>
      </c>
      <c r="G424" s="56">
        <v>212</v>
      </c>
      <c r="H424" s="56">
        <v>0</v>
      </c>
      <c r="I424" s="58">
        <v>0</v>
      </c>
      <c r="J424" s="56" t="s">
        <v>3315</v>
      </c>
      <c r="K424" s="56" t="s">
        <v>1893</v>
      </c>
      <c r="L424" s="56" t="s">
        <v>2942</v>
      </c>
      <c r="M424" s="56" t="str">
        <f>HYPERLINK("https://dribble.octin.io/?mode=Single+log&amp;log_id=544d2f7b-2146-4093-8758-aa577288dece","URL")</f>
        <v>URL</v>
      </c>
      <c r="N424" s="56" t="s">
        <v>3466</v>
      </c>
      <c r="O424" t="str">
        <f>_xlfn.XLOOKUP(N424,'Error-codes'!$C$2:$C$130,'Error-codes'!$B$2:$B$130, "None")</f>
        <v>vision error</v>
      </c>
      <c r="P424" t="s">
        <v>4470</v>
      </c>
      <c r="S424" t="s">
        <v>3403</v>
      </c>
      <c r="U424" s="81">
        <f>DATEVALUE(LEFT(F424,10))</f>
        <v>44892</v>
      </c>
    </row>
    <row r="425" spans="1:21" hidden="1">
      <c r="A425" s="76" t="s">
        <v>4467</v>
      </c>
      <c r="B425" s="56" t="s">
        <v>295</v>
      </c>
      <c r="C425" s="56" t="s">
        <v>4471</v>
      </c>
      <c r="D425" s="56" t="s">
        <v>37</v>
      </c>
      <c r="E425" s="56" t="s">
        <v>2939</v>
      </c>
      <c r="F425" s="56" t="s">
        <v>4469</v>
      </c>
      <c r="G425" s="56">
        <v>213</v>
      </c>
      <c r="H425" s="56">
        <v>0</v>
      </c>
      <c r="I425" s="58">
        <v>0</v>
      </c>
      <c r="J425" s="56" t="s">
        <v>3315</v>
      </c>
      <c r="K425" s="56" t="s">
        <v>1893</v>
      </c>
      <c r="L425" s="56" t="s">
        <v>2942</v>
      </c>
      <c r="M425" s="56" t="str">
        <f>HYPERLINK("https://dribble.octin.io/?mode=Single+log&amp;log_id=544d2f7b-2146-4093-8758-aa577288dece","URL")</f>
        <v>URL</v>
      </c>
      <c r="N425" s="56" t="s">
        <v>3468</v>
      </c>
      <c r="O425" t="str">
        <f>_xlfn.XLOOKUP(N425,'Error-codes'!$C$2:$C$130,'Error-codes'!$B$2:$B$130, "None")</f>
        <v>no vision heartbeat</v>
      </c>
      <c r="P425" t="s">
        <v>4470</v>
      </c>
      <c r="S425" t="s">
        <v>3403</v>
      </c>
      <c r="U425" s="81">
        <f>DATEVALUE(LEFT(F425,10))</f>
        <v>44892</v>
      </c>
    </row>
    <row r="426" spans="1:21" hidden="1">
      <c r="A426" s="76" t="s">
        <v>4467</v>
      </c>
      <c r="B426" s="56" t="s">
        <v>295</v>
      </c>
      <c r="C426" s="56" t="s">
        <v>4471</v>
      </c>
      <c r="D426" s="56" t="s">
        <v>37</v>
      </c>
      <c r="E426" s="56" t="s">
        <v>3242</v>
      </c>
      <c r="F426" s="56" t="s">
        <v>4469</v>
      </c>
      <c r="G426" s="56">
        <v>213</v>
      </c>
      <c r="H426" s="56">
        <v>1</v>
      </c>
      <c r="I426" s="58">
        <v>4.6948356807511738E-3</v>
      </c>
      <c r="J426" s="56" t="s">
        <v>120</v>
      </c>
      <c r="K426" s="56" t="s">
        <v>1893</v>
      </c>
      <c r="L426" s="56" t="s">
        <v>2942</v>
      </c>
      <c r="M426" s="56" t="str">
        <f>HYPERLINK("https://dribble.octin.io/?mode=Single+log&amp;log_id=544d2f7b-2146-4093-8758-aa577288dece","URL")</f>
        <v>URL</v>
      </c>
      <c r="N426" s="56" t="s">
        <v>3450</v>
      </c>
      <c r="O426" t="str">
        <f>_xlfn.XLOOKUP(N426,'Error-codes'!$C$2:$C$130,'Error-codes'!$B$2:$B$130, "None")</f>
        <v>xtheta sensor error</v>
      </c>
      <c r="P426" t="s">
        <v>4470</v>
      </c>
      <c r="S426" t="s">
        <v>3403</v>
      </c>
      <c r="U426" s="81">
        <f>DATEVALUE(LEFT(F426,10))</f>
        <v>44892</v>
      </c>
    </row>
    <row r="427" spans="1:21" hidden="1">
      <c r="A427" s="56" t="s">
        <v>4472</v>
      </c>
      <c r="B427" s="56" t="s">
        <v>29</v>
      </c>
      <c r="C427" s="56" t="s">
        <v>4473</v>
      </c>
      <c r="D427" s="56"/>
      <c r="E427" s="56" t="s">
        <v>2939</v>
      </c>
      <c r="F427" s="56" t="s">
        <v>4474</v>
      </c>
      <c r="G427" s="56">
        <v>138</v>
      </c>
      <c r="H427" s="56">
        <v>98</v>
      </c>
      <c r="I427" s="58">
        <v>0.71014492753623193</v>
      </c>
      <c r="J427" s="56" t="s">
        <v>3979</v>
      </c>
      <c r="K427" s="56" t="s">
        <v>1873</v>
      </c>
      <c r="L427" s="56" t="s">
        <v>2942</v>
      </c>
      <c r="M427" s="56" t="str">
        <f>HYPERLINK("https://dribble.octin.io/?mode=Single+log&amp;log_id=41ef1713-ee06-47d8-8244-75bf09bb4e16","URL")</f>
        <v>URL</v>
      </c>
      <c r="N427" s="56" t="s">
        <v>3440</v>
      </c>
      <c r="O427" t="str">
        <f>_xlfn.XLOOKUP(N427,'Error-codes'!$C$2:$C$130,'Error-codes'!$B$2:$B$130, "None")</f>
        <v>Trajectory generation timeout</v>
      </c>
      <c r="S427" t="s">
        <v>4475</v>
      </c>
      <c r="U427" s="81">
        <f>DATEVALUE(LEFT(F427,10))</f>
        <v>44892</v>
      </c>
    </row>
    <row r="428" spans="1:21" hidden="1">
      <c r="A428" s="56" t="s">
        <v>4476</v>
      </c>
      <c r="B428" s="56" t="s">
        <v>29</v>
      </c>
      <c r="C428" s="56" t="s">
        <v>4473</v>
      </c>
      <c r="D428" s="56"/>
      <c r="E428" s="56" t="s">
        <v>2939</v>
      </c>
      <c r="F428" s="56" t="s">
        <v>4477</v>
      </c>
      <c r="G428" s="56">
        <v>138</v>
      </c>
      <c r="H428" s="56">
        <v>119</v>
      </c>
      <c r="I428" s="58">
        <v>0.8623188405797102</v>
      </c>
      <c r="J428" s="56" t="s">
        <v>466</v>
      </c>
      <c r="K428" s="56" t="s">
        <v>1873</v>
      </c>
      <c r="L428" s="56" t="s">
        <v>2942</v>
      </c>
      <c r="M428" s="56" t="str">
        <f>HYPERLINK("https://dribble.octin.io/?mode=Single+log&amp;log_id=c5fcb3db-65e3-46bd-9d8c-aaabde87fbca","URL")</f>
        <v>URL</v>
      </c>
      <c r="N428" s="56" t="s">
        <v>3472</v>
      </c>
      <c r="O428" t="str">
        <f>_xlfn.XLOOKUP(N428,'Error-codes'!$C$2:$C$130,'Error-codes'!$B$2:$B$130, "None")</f>
        <v>Excessive slip detected</v>
      </c>
      <c r="S428" t="s">
        <v>4478</v>
      </c>
      <c r="U428" s="81">
        <f>DATEVALUE(LEFT(F428,10))</f>
        <v>44893</v>
      </c>
    </row>
    <row r="429" spans="1:21" ht="45.75" hidden="1">
      <c r="A429" s="56" t="s">
        <v>4479</v>
      </c>
      <c r="B429" s="56" t="s">
        <v>29</v>
      </c>
      <c r="C429" s="56" t="s">
        <v>4473</v>
      </c>
      <c r="D429" s="56"/>
      <c r="E429" s="56"/>
      <c r="F429" s="56" t="s">
        <v>4480</v>
      </c>
      <c r="G429" s="56">
        <v>138</v>
      </c>
      <c r="H429" s="56">
        <v>137</v>
      </c>
      <c r="I429" s="58">
        <v>0.99275362318840576</v>
      </c>
      <c r="J429" s="56" t="s">
        <v>398</v>
      </c>
      <c r="K429" s="56" t="s">
        <v>1873</v>
      </c>
      <c r="L429" s="56" t="s">
        <v>2942</v>
      </c>
      <c r="M429" s="56" t="str">
        <f>HYPERLINK("https://dribble.octin.io/?mode=Single+log&amp;log_id=61b0d84c-305a-4782-ae3a-46e7ba6c7379","URL")</f>
        <v>URL</v>
      </c>
      <c r="N429" s="56" t="s">
        <v>3446</v>
      </c>
      <c r="O429" t="str">
        <f>_xlfn.XLOOKUP(N429,'Error-codes'!$C$2:$C$130,'Error-codes'!$B$2:$B$130, "None")</f>
        <v>end of lane wall sensor error</v>
      </c>
      <c r="S429" s="75" t="s">
        <v>4481</v>
      </c>
      <c r="U429" s="81">
        <f>DATEVALUE(LEFT(F429,10))</f>
        <v>44893</v>
      </c>
    </row>
    <row r="430" spans="1:21" hidden="1">
      <c r="B430" s="56" t="s">
        <v>2886</v>
      </c>
      <c r="C430" s="56" t="s">
        <v>4482</v>
      </c>
      <c r="D430" s="56" t="s">
        <v>22</v>
      </c>
      <c r="F430" s="56" t="s">
        <v>4483</v>
      </c>
      <c r="G430" s="56">
        <v>3</v>
      </c>
      <c r="H430" s="56">
        <v>1</v>
      </c>
      <c r="I430" s="74">
        <v>0.33333333333333331</v>
      </c>
      <c r="K430" s="56" t="s">
        <v>2166</v>
      </c>
      <c r="L430" s="56" t="s">
        <v>2932</v>
      </c>
      <c r="O430">
        <f>_xlfn.XLOOKUP(N430,'Error-codes'!$C$2:$C$130,'Error-codes'!$B$2:$B$130, "None")</f>
        <v>0</v>
      </c>
      <c r="U430" s="81">
        <f>DATEVALUE(LEFT(F430,10))</f>
        <v>44894</v>
      </c>
    </row>
    <row r="431" spans="1:21" hidden="1">
      <c r="B431" s="56" t="s">
        <v>2886</v>
      </c>
      <c r="C431" s="56" t="s">
        <v>4484</v>
      </c>
      <c r="D431" s="56" t="s">
        <v>22</v>
      </c>
      <c r="F431" s="56" t="s">
        <v>4485</v>
      </c>
      <c r="G431" s="56">
        <v>3</v>
      </c>
      <c r="H431" s="56">
        <v>1</v>
      </c>
      <c r="I431" s="74">
        <v>0.33333333333333331</v>
      </c>
      <c r="K431" s="56" t="s">
        <v>2166</v>
      </c>
      <c r="L431" s="56" t="s">
        <v>2932</v>
      </c>
      <c r="O431">
        <f>_xlfn.XLOOKUP(N431,'Error-codes'!$C$2:$C$130,'Error-codes'!$B$2:$B$130, "None")</f>
        <v>0</v>
      </c>
      <c r="U431" s="81">
        <f>DATEVALUE(LEFT(F431,10))</f>
        <v>44894</v>
      </c>
    </row>
    <row r="432" spans="1:21" hidden="1">
      <c r="A432" s="56" t="s">
        <v>4486</v>
      </c>
      <c r="B432" s="56" t="s">
        <v>29</v>
      </c>
      <c r="C432" s="56" t="s">
        <v>4487</v>
      </c>
      <c r="D432" s="56" t="s">
        <v>22</v>
      </c>
      <c r="E432" s="56" t="s">
        <v>2939</v>
      </c>
      <c r="F432" s="56" t="s">
        <v>4488</v>
      </c>
      <c r="G432" s="56">
        <v>213</v>
      </c>
      <c r="H432" s="56">
        <v>0</v>
      </c>
      <c r="I432" s="58">
        <v>0</v>
      </c>
      <c r="J432" s="56" t="s">
        <v>3315</v>
      </c>
      <c r="K432" s="56" t="s">
        <v>1893</v>
      </c>
      <c r="L432" s="56" t="s">
        <v>2942</v>
      </c>
      <c r="M432" s="56" t="str">
        <f>HYPERLINK("https://dribble.octin.io/?mode=Single+log&amp;log_id=4decd907-2c87-4eb6-9d15-0d4a647108e7","URL")</f>
        <v>URL</v>
      </c>
      <c r="N432" s="56" t="s">
        <v>3468</v>
      </c>
      <c r="O432" t="str">
        <f>_xlfn.XLOOKUP(N432,'Error-codes'!$C$2:$C$130,'Error-codes'!$B$2:$B$130, "None")</f>
        <v>no vision heartbeat</v>
      </c>
      <c r="P432" t="s">
        <v>4489</v>
      </c>
      <c r="U432" s="81">
        <f>DATEVALUE(LEFT(F432,10))</f>
        <v>44894</v>
      </c>
    </row>
    <row r="433" spans="1:21" hidden="1">
      <c r="A433" s="56" t="s">
        <v>4490</v>
      </c>
      <c r="B433" s="56" t="s">
        <v>29</v>
      </c>
      <c r="C433" s="56" t="s">
        <v>4487</v>
      </c>
      <c r="D433" s="56" t="s">
        <v>22</v>
      </c>
      <c r="E433" s="56" t="s">
        <v>2939</v>
      </c>
      <c r="F433" s="56" t="s">
        <v>4491</v>
      </c>
      <c r="G433" s="56">
        <v>213</v>
      </c>
      <c r="H433" s="56">
        <v>1</v>
      </c>
      <c r="I433" s="58">
        <v>4.6948356807511738E-3</v>
      </c>
      <c r="J433" s="56" t="s">
        <v>120</v>
      </c>
      <c r="K433" s="56" t="s">
        <v>1893</v>
      </c>
      <c r="L433" s="56" t="s">
        <v>2942</v>
      </c>
      <c r="M433" s="56" t="str">
        <f>HYPERLINK("https://dribble.octin.io/?mode=Single+log&amp;log_id=f1dd819d-9f3b-42db-92b1-e20c9ed29f7d","URL")</f>
        <v>URL</v>
      </c>
      <c r="N433" s="56" t="s">
        <v>3476</v>
      </c>
      <c r="O433" t="str">
        <f>_xlfn.XLOOKUP(N433,'Error-codes'!$C$2:$C$130,'Error-codes'!$B$2:$B$130, "None")</f>
        <v>failed to switch uv lamp state</v>
      </c>
      <c r="S433" t="s">
        <v>4492</v>
      </c>
      <c r="U433" s="81">
        <f>DATEVALUE(LEFT(F433,10))</f>
        <v>44894</v>
      </c>
    </row>
    <row r="434" spans="1:21" hidden="1">
      <c r="A434" s="56" t="s">
        <v>4493</v>
      </c>
      <c r="B434" s="56" t="s">
        <v>29</v>
      </c>
      <c r="C434" s="56" t="s">
        <v>4487</v>
      </c>
      <c r="D434" s="56" t="s">
        <v>22</v>
      </c>
      <c r="E434" s="56" t="s">
        <v>2939</v>
      </c>
      <c r="F434" s="56" t="s">
        <v>4494</v>
      </c>
      <c r="G434" s="56">
        <v>213</v>
      </c>
      <c r="H434" s="56">
        <v>2</v>
      </c>
      <c r="I434" s="58">
        <v>9.3896713615023476E-3</v>
      </c>
      <c r="J434" s="56" t="s">
        <v>3801</v>
      </c>
      <c r="K434" s="56" t="s">
        <v>1893</v>
      </c>
      <c r="L434" s="56" t="s">
        <v>2942</v>
      </c>
      <c r="M434" s="56" t="str">
        <f>HYPERLINK("https://dribble.octin.io/?mode=Single+log&amp;log_id=28a5445d-e9c6-4f2b-ab93-a46f8f8ab8f4","URL")</f>
        <v>URL</v>
      </c>
      <c r="N434" s="56" t="s">
        <v>3476</v>
      </c>
      <c r="O434" t="str">
        <f>_xlfn.XLOOKUP(N434,'Error-codes'!$C$2:$C$130,'Error-codes'!$B$2:$B$130, "None")</f>
        <v>failed to switch uv lamp state</v>
      </c>
      <c r="S434" t="s">
        <v>4492</v>
      </c>
      <c r="U434" s="81">
        <f>DATEVALUE(LEFT(F434,10))</f>
        <v>44894</v>
      </c>
    </row>
    <row r="435" spans="1:21" hidden="1">
      <c r="A435" s="56" t="s">
        <v>4495</v>
      </c>
      <c r="B435" s="56" t="s">
        <v>29</v>
      </c>
      <c r="C435" s="56" t="s">
        <v>4487</v>
      </c>
      <c r="D435" s="56" t="s">
        <v>22</v>
      </c>
      <c r="E435" s="56" t="s">
        <v>2939</v>
      </c>
      <c r="F435" s="56" t="s">
        <v>4496</v>
      </c>
      <c r="G435" s="56">
        <v>213</v>
      </c>
      <c r="H435" s="56">
        <v>3</v>
      </c>
      <c r="I435" s="58">
        <v>1.4084507042253521E-2</v>
      </c>
      <c r="J435" s="56" t="s">
        <v>4497</v>
      </c>
      <c r="K435" s="56" t="s">
        <v>1893</v>
      </c>
      <c r="L435" s="56" t="s">
        <v>2942</v>
      </c>
      <c r="M435" s="56" t="str">
        <f>HYPERLINK("https://dribble.octin.io/?mode=Single+log&amp;log_id=eab56348-eb90-4cbe-95ce-f6e245c44c3c","URL")</f>
        <v>URL</v>
      </c>
      <c r="N435" s="56" t="s">
        <v>3476</v>
      </c>
      <c r="O435" t="str">
        <f>_xlfn.XLOOKUP(N435,'Error-codes'!$C$2:$C$130,'Error-codes'!$B$2:$B$130, "None")</f>
        <v>failed to switch uv lamp state</v>
      </c>
      <c r="S435" t="s">
        <v>4492</v>
      </c>
      <c r="U435" s="81">
        <f>DATEVALUE(LEFT(F435,10))</f>
        <v>44894</v>
      </c>
    </row>
    <row r="436" spans="1:21" hidden="1">
      <c r="A436" s="56" t="s">
        <v>4498</v>
      </c>
      <c r="B436" s="56" t="s">
        <v>29</v>
      </c>
      <c r="C436" s="56" t="s">
        <v>4487</v>
      </c>
      <c r="D436" s="56" t="s">
        <v>22</v>
      </c>
      <c r="E436" s="56" t="s">
        <v>2939</v>
      </c>
      <c r="F436" s="56" t="s">
        <v>4499</v>
      </c>
      <c r="G436" s="56">
        <v>213</v>
      </c>
      <c r="H436" s="56">
        <v>4</v>
      </c>
      <c r="I436" s="58">
        <v>1.8779342723004695E-2</v>
      </c>
      <c r="J436" s="56" t="s">
        <v>3551</v>
      </c>
      <c r="K436" s="56" t="s">
        <v>1893</v>
      </c>
      <c r="L436" s="56" t="s">
        <v>2942</v>
      </c>
      <c r="M436" s="56" t="str">
        <f>HYPERLINK("https://dribble.octin.io/?mode=Single+log&amp;log_id=73054f52-da90-4886-82e4-31e9fae97e5d","URL")</f>
        <v>URL</v>
      </c>
      <c r="N436" s="56" t="s">
        <v>3476</v>
      </c>
      <c r="O436" t="str">
        <f>_xlfn.XLOOKUP(N436,'Error-codes'!$C$2:$C$130,'Error-codes'!$B$2:$B$130, "None")</f>
        <v>failed to switch uv lamp state</v>
      </c>
      <c r="S436" t="s">
        <v>4492</v>
      </c>
      <c r="U436" s="81">
        <f>DATEVALUE(LEFT(F436,10))</f>
        <v>44894</v>
      </c>
    </row>
    <row r="437" spans="1:21" hidden="1">
      <c r="A437" s="56" t="s">
        <v>4500</v>
      </c>
      <c r="B437" s="56" t="s">
        <v>29</v>
      </c>
      <c r="C437" s="56" t="s">
        <v>4487</v>
      </c>
      <c r="D437" s="56" t="s">
        <v>22</v>
      </c>
      <c r="E437" s="56" t="s">
        <v>2939</v>
      </c>
      <c r="F437" s="56" t="s">
        <v>4501</v>
      </c>
      <c r="G437" s="56">
        <v>213</v>
      </c>
      <c r="H437" s="56">
        <v>5</v>
      </c>
      <c r="I437" s="58">
        <v>2.3474178403755867E-2</v>
      </c>
      <c r="J437" s="56" t="s">
        <v>4502</v>
      </c>
      <c r="K437" s="56" t="s">
        <v>1893</v>
      </c>
      <c r="L437" s="56" t="s">
        <v>2942</v>
      </c>
      <c r="M437" s="56" t="str">
        <f>HYPERLINK("https://dribble.octin.io/?mode=Single+log&amp;log_id=220dcc77-62e6-4282-950e-05c5b62c48e5","URL")</f>
        <v>URL</v>
      </c>
      <c r="N437" s="56" t="s">
        <v>3476</v>
      </c>
      <c r="O437" t="str">
        <f>_xlfn.XLOOKUP(N437,'Error-codes'!$C$2:$C$130,'Error-codes'!$B$2:$B$130, "None")</f>
        <v>failed to switch uv lamp state</v>
      </c>
      <c r="S437" t="s">
        <v>4492</v>
      </c>
      <c r="U437" s="81">
        <f>DATEVALUE(LEFT(F437,10))</f>
        <v>44894</v>
      </c>
    </row>
    <row r="438" spans="1:21" hidden="1">
      <c r="A438" s="56" t="s">
        <v>4503</v>
      </c>
      <c r="B438" s="56" t="s">
        <v>29</v>
      </c>
      <c r="C438" s="56" t="s">
        <v>4487</v>
      </c>
      <c r="D438" s="56" t="s">
        <v>22</v>
      </c>
      <c r="E438" s="56" t="s">
        <v>2939</v>
      </c>
      <c r="F438" s="56" t="s">
        <v>4504</v>
      </c>
      <c r="G438" s="56">
        <v>213</v>
      </c>
      <c r="H438" s="56">
        <v>6</v>
      </c>
      <c r="I438" s="58">
        <v>2.8169014084507043E-2</v>
      </c>
      <c r="J438" s="56" t="s">
        <v>1497</v>
      </c>
      <c r="K438" s="56" t="s">
        <v>1893</v>
      </c>
      <c r="L438" s="56" t="s">
        <v>2942</v>
      </c>
      <c r="M438" s="56" t="str">
        <f>HYPERLINK("https://dribble.octin.io/?mode=Single+log&amp;log_id=5c5af32e-51d5-4e1b-a89b-497f9450f396","URL")</f>
        <v>URL</v>
      </c>
      <c r="N438" s="56" t="s">
        <v>3476</v>
      </c>
      <c r="O438" t="str">
        <f>_xlfn.XLOOKUP(N438,'Error-codes'!$C$2:$C$130,'Error-codes'!$B$2:$B$130, "None")</f>
        <v>failed to switch uv lamp state</v>
      </c>
      <c r="S438" t="s">
        <v>4492</v>
      </c>
      <c r="U438" s="81">
        <f>DATEVALUE(LEFT(F438,10))</f>
        <v>44894</v>
      </c>
    </row>
    <row r="439" spans="1:21" hidden="1">
      <c r="A439" s="56" t="s">
        <v>4505</v>
      </c>
      <c r="B439" s="56" t="s">
        <v>29</v>
      </c>
      <c r="C439" s="56" t="s">
        <v>4487</v>
      </c>
      <c r="D439" s="56" t="s">
        <v>22</v>
      </c>
      <c r="E439" s="56" t="s">
        <v>2939</v>
      </c>
      <c r="F439" s="56" t="s">
        <v>4506</v>
      </c>
      <c r="G439" s="56">
        <v>213</v>
      </c>
      <c r="H439" s="56">
        <v>7</v>
      </c>
      <c r="I439" s="58">
        <v>3.2863849765258218E-2</v>
      </c>
      <c r="J439" s="56" t="s">
        <v>4507</v>
      </c>
      <c r="K439" s="56" t="s">
        <v>1893</v>
      </c>
      <c r="L439" s="56" t="s">
        <v>2942</v>
      </c>
      <c r="M439" s="56" t="str">
        <f>HYPERLINK("https://dribble.octin.io/?mode=Single+log&amp;log_id=c3d11709-d7c8-4932-8fa2-033781567f34","URL")</f>
        <v>URL</v>
      </c>
      <c r="N439" s="56" t="s">
        <v>3476</v>
      </c>
      <c r="O439" t="str">
        <f>_xlfn.XLOOKUP(N439,'Error-codes'!$C$2:$C$130,'Error-codes'!$B$2:$B$130, "None")</f>
        <v>failed to switch uv lamp state</v>
      </c>
      <c r="S439" t="s">
        <v>4492</v>
      </c>
      <c r="U439" s="81">
        <f>DATEVALUE(LEFT(F439,10))</f>
        <v>44894</v>
      </c>
    </row>
    <row r="440" spans="1:21" hidden="1">
      <c r="A440" s="56" t="s">
        <v>4508</v>
      </c>
      <c r="B440" s="56" t="s">
        <v>29</v>
      </c>
      <c r="C440" s="56" t="s">
        <v>4509</v>
      </c>
      <c r="D440" s="56" t="s">
        <v>22</v>
      </c>
      <c r="E440" s="56" t="s">
        <v>2939</v>
      </c>
      <c r="F440" s="56" t="s">
        <v>4510</v>
      </c>
      <c r="G440" s="56">
        <v>206</v>
      </c>
      <c r="H440" s="56">
        <v>0</v>
      </c>
      <c r="I440" s="58">
        <v>0</v>
      </c>
      <c r="J440" s="56" t="s">
        <v>3315</v>
      </c>
      <c r="K440" s="56" t="s">
        <v>1893</v>
      </c>
      <c r="L440" s="56" t="s">
        <v>2942</v>
      </c>
      <c r="M440" s="56" t="str">
        <f>HYPERLINK("https://dribble.octin.io/?mode=Single+log&amp;log_id=993f4d6d-75e1-4818-b548-c2880d3d3ce4","URL")</f>
        <v>URL</v>
      </c>
      <c r="N440" s="56" t="s">
        <v>3476</v>
      </c>
      <c r="O440" t="str">
        <f>_xlfn.XLOOKUP(N440,'Error-codes'!$C$2:$C$130,'Error-codes'!$B$2:$B$130, "None")</f>
        <v>failed to switch uv lamp state</v>
      </c>
      <c r="S440" t="s">
        <v>4492</v>
      </c>
      <c r="U440" s="81">
        <f>DATEVALUE(LEFT(F440,10))</f>
        <v>44894</v>
      </c>
    </row>
    <row r="441" spans="1:21" hidden="1">
      <c r="A441" s="56" t="s">
        <v>4511</v>
      </c>
      <c r="B441" s="56" t="s">
        <v>29</v>
      </c>
      <c r="C441" s="56" t="s">
        <v>4512</v>
      </c>
      <c r="D441" s="56" t="s">
        <v>37</v>
      </c>
      <c r="E441" s="56" t="s">
        <v>2939</v>
      </c>
      <c r="F441" s="56" t="s">
        <v>4513</v>
      </c>
      <c r="G441" s="56">
        <v>206</v>
      </c>
      <c r="H441" s="56">
        <v>0</v>
      </c>
      <c r="I441" s="58">
        <v>0</v>
      </c>
      <c r="J441" s="56" t="s">
        <v>3315</v>
      </c>
      <c r="K441" s="56" t="s">
        <v>1893</v>
      </c>
      <c r="L441" s="56" t="s">
        <v>2942</v>
      </c>
      <c r="M441" s="56" t="str">
        <f>HYPERLINK("https://dribble.octin.io/?mode=Single+log&amp;log_id=3aee9eaa-71d8-47cc-af87-c1f45b047472","URL")</f>
        <v>URL</v>
      </c>
      <c r="N441" s="56" t="s">
        <v>3476</v>
      </c>
      <c r="O441" t="str">
        <f>_xlfn.XLOOKUP(N441,'Error-codes'!$C$2:$C$130,'Error-codes'!$B$2:$B$130, "None")</f>
        <v>failed to switch uv lamp state</v>
      </c>
      <c r="S441" t="s">
        <v>4492</v>
      </c>
      <c r="U441" s="81">
        <f>DATEVALUE(LEFT(F441,10))</f>
        <v>44894</v>
      </c>
    </row>
    <row r="442" spans="1:21" hidden="1">
      <c r="A442" s="56" t="s">
        <v>4511</v>
      </c>
      <c r="B442" s="56" t="s">
        <v>29</v>
      </c>
      <c r="C442" s="56" t="s">
        <v>4512</v>
      </c>
      <c r="D442" s="56" t="s">
        <v>37</v>
      </c>
      <c r="E442" s="56" t="s">
        <v>3242</v>
      </c>
      <c r="F442" s="56" t="s">
        <v>4513</v>
      </c>
      <c r="G442" s="56">
        <v>206</v>
      </c>
      <c r="H442" s="56">
        <v>1</v>
      </c>
      <c r="I442" s="58">
        <v>4.8543689320388345E-3</v>
      </c>
      <c r="J442" s="56" t="s">
        <v>1502</v>
      </c>
      <c r="K442" s="56" t="s">
        <v>1893</v>
      </c>
      <c r="L442" s="56" t="s">
        <v>2942</v>
      </c>
      <c r="M442" s="56" t="str">
        <f>HYPERLINK("https://dribble.octin.io/?mode=Single+log&amp;log_id=3aee9eaa-71d8-47cc-af87-c1f45b047472","URL")</f>
        <v>URL</v>
      </c>
      <c r="N442" s="56" t="s">
        <v>4514</v>
      </c>
      <c r="O442" t="str">
        <f>_xlfn.XLOOKUP(N442,'Error-codes'!$C$2:$C$130,'Error-codes'!$B$2:$B$130, "None")</f>
        <v>None</v>
      </c>
      <c r="U442" s="81">
        <f>DATEVALUE(LEFT(F442,10))</f>
        <v>44894</v>
      </c>
    </row>
    <row r="443" spans="1:21" ht="30.75" hidden="1">
      <c r="A443" s="56" t="s">
        <v>4515</v>
      </c>
      <c r="B443" s="56" t="s">
        <v>29</v>
      </c>
      <c r="C443" s="56" t="s">
        <v>4516</v>
      </c>
      <c r="D443" s="56" t="s">
        <v>388</v>
      </c>
      <c r="E443" s="56" t="s">
        <v>2939</v>
      </c>
      <c r="F443" s="56" t="s">
        <v>4517</v>
      </c>
      <c r="G443" s="56">
        <v>213</v>
      </c>
      <c r="H443" s="56">
        <v>89</v>
      </c>
      <c r="I443" s="58">
        <v>0.41784037558685444</v>
      </c>
      <c r="J443" s="56" t="s">
        <v>4518</v>
      </c>
      <c r="K443" s="56" t="s">
        <v>1893</v>
      </c>
      <c r="L443" s="56" t="s">
        <v>2942</v>
      </c>
      <c r="M443" s="56" t="str">
        <f>HYPERLINK("https://dribble.octin.io/?mode=Single+log&amp;log_id=0901d832-4668-4fe2-a0aa-a984c4ff47b8","URL")</f>
        <v>URL</v>
      </c>
      <c r="N443" s="56" t="s">
        <v>3444</v>
      </c>
      <c r="O443" t="str">
        <f>_xlfn.XLOOKUP(N443,'Error-codes'!$C$2:$C$130,'Error-codes'!$B$2:$B$130, "None")</f>
        <v>collision detected in operational state for the 4th time in a row</v>
      </c>
      <c r="P443" t="s">
        <v>4519</v>
      </c>
      <c r="Q443" s="51" t="s">
        <v>4520</v>
      </c>
      <c r="R443" s="51"/>
      <c r="S443" t="s">
        <v>4521</v>
      </c>
      <c r="U443" s="81">
        <f>DATEVALUE(LEFT(F443,10))</f>
        <v>44894</v>
      </c>
    </row>
    <row r="444" spans="1:21" ht="30.75" hidden="1">
      <c r="A444" s="56" t="s">
        <v>4522</v>
      </c>
      <c r="B444" s="56" t="s">
        <v>295</v>
      </c>
      <c r="C444" s="56" t="s">
        <v>3077</v>
      </c>
      <c r="D444" s="56" t="s">
        <v>388</v>
      </c>
      <c r="E444" s="56" t="s">
        <v>2939</v>
      </c>
      <c r="F444" s="56" t="s">
        <v>4523</v>
      </c>
      <c r="G444" s="56">
        <v>139</v>
      </c>
      <c r="H444" s="56">
        <v>99</v>
      </c>
      <c r="I444" s="58">
        <v>0.71223021582733814</v>
      </c>
      <c r="J444" s="56" t="s">
        <v>3979</v>
      </c>
      <c r="K444" s="56" t="s">
        <v>1873</v>
      </c>
      <c r="L444" s="56" t="s">
        <v>2942</v>
      </c>
      <c r="M444" s="56" t="str">
        <f>HYPERLINK("https://dribble.octin.io/?mode=Single+log&amp;log_id=e39b3b11-41c6-4b58-8739-562b91cf9bcb","URL")</f>
        <v>URL</v>
      </c>
      <c r="N444" s="56" t="s">
        <v>3440</v>
      </c>
      <c r="O444" t="str">
        <f>_xlfn.XLOOKUP(N444,'Error-codes'!$C$2:$C$130,'Error-codes'!$B$2:$B$130, "None")</f>
        <v>Trajectory generation timeout</v>
      </c>
      <c r="Q444" s="51" t="s">
        <v>3081</v>
      </c>
      <c r="R444" s="51"/>
      <c r="S444" t="s">
        <v>4524</v>
      </c>
      <c r="U444" s="81">
        <f>DATEVALUE(LEFT(F444,10))</f>
        <v>44894</v>
      </c>
    </row>
    <row r="445" spans="1:21" ht="30.75" hidden="1">
      <c r="A445" s="56" t="s">
        <v>3076</v>
      </c>
      <c r="B445" s="56" t="s">
        <v>295</v>
      </c>
      <c r="C445" s="56" t="s">
        <v>3077</v>
      </c>
      <c r="D445" s="56" t="s">
        <v>388</v>
      </c>
      <c r="E445" s="56" t="s">
        <v>2939</v>
      </c>
      <c r="F445" s="56" t="s">
        <v>3078</v>
      </c>
      <c r="G445" s="56">
        <v>139</v>
      </c>
      <c r="H445" s="56">
        <v>117</v>
      </c>
      <c r="I445" s="58">
        <v>0.84172661870503596</v>
      </c>
      <c r="J445" s="56" t="s">
        <v>3079</v>
      </c>
      <c r="K445" s="56" t="s">
        <v>1873</v>
      </c>
      <c r="L445" s="56" t="s">
        <v>2942</v>
      </c>
      <c r="M445" s="56" t="str">
        <f>HYPERLINK("https://dribble.octin.io/?mode=Single+log&amp;log_id=0cab4c78-2750-44f6-966f-30459dddc4a2","URL")</f>
        <v>URL</v>
      </c>
      <c r="N445" s="56" t="s">
        <v>2933</v>
      </c>
      <c r="O445" t="str">
        <f>_xlfn.XLOOKUP(N445,'Error-codes'!$C$2:$C$130,'Error-codes'!$B$2:$B$130, "None")</f>
        <v>inductive sensor error</v>
      </c>
      <c r="P445" t="s">
        <v>3080</v>
      </c>
      <c r="Q445" s="51" t="s">
        <v>3081</v>
      </c>
      <c r="R445" s="51"/>
      <c r="S445" s="46" t="s">
        <v>3082</v>
      </c>
      <c r="U445" s="81">
        <f>DATEVALUE(LEFT(F445,10))</f>
        <v>44895</v>
      </c>
    </row>
    <row r="446" spans="1:21" ht="30.75" hidden="1">
      <c r="A446" s="56" t="s">
        <v>4525</v>
      </c>
      <c r="B446" s="56" t="s">
        <v>295</v>
      </c>
      <c r="C446" s="56" t="s">
        <v>3077</v>
      </c>
      <c r="D446" s="56" t="s">
        <v>388</v>
      </c>
      <c r="E446" s="56" t="s">
        <v>2939</v>
      </c>
      <c r="F446" s="56" t="s">
        <v>4526</v>
      </c>
      <c r="G446" s="56">
        <v>139</v>
      </c>
      <c r="H446" s="56">
        <v>120</v>
      </c>
      <c r="I446" s="58">
        <v>0.86330935251798557</v>
      </c>
      <c r="J446" s="56" t="s">
        <v>466</v>
      </c>
      <c r="K446" s="56" t="s">
        <v>1873</v>
      </c>
      <c r="L446" s="56" t="s">
        <v>2942</v>
      </c>
      <c r="M446" s="56" t="str">
        <f>HYPERLINK("https://dribble.octin.io/?mode=Single+log&amp;log_id=a8e54386-8e9e-47ff-a06b-69d3699b7c22","URL")</f>
        <v>URL</v>
      </c>
      <c r="N446" s="56" t="s">
        <v>3444</v>
      </c>
      <c r="O446" t="str">
        <f>_xlfn.XLOOKUP(N446,'Error-codes'!$C$2:$C$130,'Error-codes'!$B$2:$B$130, "None")</f>
        <v>collision detected in operational state for the 4th time in a row</v>
      </c>
      <c r="Q446" s="51" t="s">
        <v>3081</v>
      </c>
      <c r="R446" s="51"/>
      <c r="S446" t="s">
        <v>4527</v>
      </c>
      <c r="U446" s="81">
        <f>DATEVALUE(LEFT(F446,10))</f>
        <v>44895</v>
      </c>
    </row>
    <row r="447" spans="1:21" hidden="1">
      <c r="B447" s="56" t="s">
        <v>295</v>
      </c>
      <c r="C447" s="56" t="s">
        <v>3077</v>
      </c>
      <c r="D447" s="56" t="s">
        <v>388</v>
      </c>
      <c r="F447" s="56" t="s">
        <v>4528</v>
      </c>
      <c r="G447" s="56">
        <v>139</v>
      </c>
      <c r="H447" s="56">
        <v>136</v>
      </c>
      <c r="I447" s="58">
        <v>0.97841726618705038</v>
      </c>
      <c r="K447" s="56" t="s">
        <v>1873</v>
      </c>
      <c r="L447" s="56" t="s">
        <v>2942</v>
      </c>
      <c r="O447">
        <f>_xlfn.XLOOKUP(N447,'Error-codes'!$C$2:$C$130,'Error-codes'!$B$2:$B$130, "None")</f>
        <v>0</v>
      </c>
      <c r="U447" s="81">
        <f>DATEVALUE(LEFT(F447,10))</f>
        <v>44895</v>
      </c>
    </row>
    <row r="448" spans="1:21" hidden="1">
      <c r="A448" s="56" t="s">
        <v>4529</v>
      </c>
      <c r="B448" s="56" t="s">
        <v>29</v>
      </c>
      <c r="C448" s="56" t="s">
        <v>4516</v>
      </c>
      <c r="D448" s="56" t="s">
        <v>388</v>
      </c>
      <c r="E448" s="56" t="s">
        <v>2939</v>
      </c>
      <c r="F448" s="56" t="s">
        <v>4530</v>
      </c>
      <c r="G448" s="56">
        <v>213</v>
      </c>
      <c r="H448" s="56">
        <v>152</v>
      </c>
      <c r="I448" s="58">
        <v>0.71361502347417838</v>
      </c>
      <c r="J448" s="56" t="s">
        <v>3192</v>
      </c>
      <c r="K448" s="56" t="s">
        <v>1893</v>
      </c>
      <c r="L448" s="56" t="s">
        <v>2942</v>
      </c>
      <c r="M448" s="56" t="str">
        <f>HYPERLINK("https://dribble.octin.io/?mode=Single+log&amp;log_id=53c23e0f-f72f-422b-b802-eeb2c8a592f3","URL")</f>
        <v>URL</v>
      </c>
      <c r="N448" s="56" t="s">
        <v>3444</v>
      </c>
      <c r="O448" t="str">
        <f>_xlfn.XLOOKUP(N448,'Error-codes'!$C$2:$C$130,'Error-codes'!$B$2:$B$130, "None")</f>
        <v>collision detected in operational state for the 4th time in a row</v>
      </c>
      <c r="Q448" s="45" t="s">
        <v>3074</v>
      </c>
      <c r="R448" s="45"/>
      <c r="S448" t="s">
        <v>4531</v>
      </c>
      <c r="U448" s="81">
        <f>DATEVALUE(LEFT(F448,10))</f>
        <v>44895</v>
      </c>
    </row>
    <row r="449" spans="1:21" hidden="1">
      <c r="B449" s="56" t="s">
        <v>29</v>
      </c>
      <c r="C449" s="56" t="s">
        <v>4516</v>
      </c>
      <c r="D449" s="56" t="s">
        <v>388</v>
      </c>
      <c r="F449" s="56" t="s">
        <v>4532</v>
      </c>
      <c r="G449" s="56">
        <v>213</v>
      </c>
      <c r="H449" s="56">
        <v>211</v>
      </c>
      <c r="I449" s="58">
        <v>0.99061032863849763</v>
      </c>
      <c r="K449" s="56" t="s">
        <v>1893</v>
      </c>
      <c r="L449" s="56" t="s">
        <v>2942</v>
      </c>
      <c r="O449">
        <f>_xlfn.XLOOKUP(N449,'Error-codes'!$C$2:$C$130,'Error-codes'!$B$2:$B$130, "None")</f>
        <v>0</v>
      </c>
      <c r="U449" s="81">
        <f>DATEVALUE(LEFT(F449,10))</f>
        <v>44895</v>
      </c>
    </row>
    <row r="450" spans="1:21" hidden="1">
      <c r="A450" s="56"/>
      <c r="B450" s="56" t="s">
        <v>3771</v>
      </c>
      <c r="C450" s="56" t="s">
        <v>4533</v>
      </c>
      <c r="D450" s="56" t="s">
        <v>37</v>
      </c>
      <c r="E450" s="56" t="s">
        <v>2939</v>
      </c>
      <c r="F450" s="56" t="s">
        <v>4534</v>
      </c>
      <c r="G450" s="56">
        <v>144</v>
      </c>
      <c r="H450" s="56">
        <v>0</v>
      </c>
      <c r="I450" s="58">
        <v>0</v>
      </c>
      <c r="J450" s="56" t="s">
        <v>4445</v>
      </c>
      <c r="K450" s="56" t="s">
        <v>3207</v>
      </c>
      <c r="L450" s="56" t="s">
        <v>3775</v>
      </c>
      <c r="N450" s="56" t="s">
        <v>3426</v>
      </c>
      <c r="O450" t="str">
        <f>_xlfn.XLOOKUP(N450,'Error-codes'!$C$2:$C$130,'Error-codes'!$B$2:$B$130, "None")</f>
        <v>low level fsm is no longer executing the given command</v>
      </c>
      <c r="U450" s="81">
        <f>DATEVALUE(LEFT(F450,10))</f>
        <v>44895</v>
      </c>
    </row>
    <row r="451" spans="1:21" hidden="1">
      <c r="A451" s="56"/>
      <c r="B451" s="56" t="s">
        <v>3771</v>
      </c>
      <c r="C451" s="56" t="s">
        <v>4533</v>
      </c>
      <c r="D451" s="56" t="s">
        <v>37</v>
      </c>
      <c r="E451" s="56" t="s">
        <v>3776</v>
      </c>
      <c r="F451" s="56" t="s">
        <v>4535</v>
      </c>
      <c r="G451" s="56">
        <v>144</v>
      </c>
      <c r="H451" s="56">
        <v>1</v>
      </c>
      <c r="I451" s="58">
        <v>6.9444444444444441E-3</v>
      </c>
      <c r="J451" s="56" t="s">
        <v>4445</v>
      </c>
      <c r="K451" s="56" t="s">
        <v>3207</v>
      </c>
      <c r="L451" s="56" t="s">
        <v>3775</v>
      </c>
      <c r="N451" s="56" t="s">
        <v>3452</v>
      </c>
      <c r="O451" t="str">
        <f>_xlfn.XLOOKUP(N451,'Error-codes'!$C$2:$C$130,'Error-codes'!$B$2:$B$130, "None")</f>
        <v>ytheta sensor error</v>
      </c>
      <c r="U451" s="81">
        <f>DATEVALUE(LEFT(F451,10))</f>
        <v>44895</v>
      </c>
    </row>
    <row r="452" spans="1:21" hidden="1">
      <c r="A452" t="s">
        <v>4536</v>
      </c>
      <c r="B452" t="s">
        <v>3771</v>
      </c>
      <c r="F452" t="s">
        <v>4537</v>
      </c>
      <c r="I452" s="73"/>
      <c r="M452" s="61" t="str">
        <f>HYPERLINK(CONCATENATE("https://dribble.octin.io/?mode=Single+log&amp;log_id=", $A452),"URL")</f>
        <v>URL</v>
      </c>
      <c r="N452" t="s">
        <v>3454</v>
      </c>
      <c r="O452" t="str">
        <f>_xlfn.XLOOKUP(N452,'Error-codes'!$C$2:$C$130,'Error-codes'!$B$2:$B$130, "None")</f>
        <v>Veh low level FSM: safety was triggered</v>
      </c>
      <c r="U452" s="81">
        <f>DATEVALUE(LEFT(F452,10))</f>
        <v>44895</v>
      </c>
    </row>
    <row r="453" spans="1:21" hidden="1">
      <c r="A453" s="56" t="s">
        <v>4538</v>
      </c>
      <c r="B453" s="56" t="s">
        <v>2886</v>
      </c>
      <c r="C453" s="56" t="s">
        <v>4539</v>
      </c>
      <c r="D453" s="56" t="s">
        <v>37</v>
      </c>
      <c r="E453" s="56" t="s">
        <v>4228</v>
      </c>
      <c r="F453" s="56" t="s">
        <v>4540</v>
      </c>
      <c r="G453" s="56">
        <v>100</v>
      </c>
      <c r="H453" s="56">
        <v>8</v>
      </c>
      <c r="I453" s="74">
        <v>0.08</v>
      </c>
      <c r="J453" s="56" t="s">
        <v>3315</v>
      </c>
      <c r="K453" s="56" t="s">
        <v>2166</v>
      </c>
      <c r="L453" s="56" t="s">
        <v>2932</v>
      </c>
      <c r="M453" s="56" t="str">
        <f>HYPERLINK("https://dribble.octin.io/?mode=Single+log&amp;log_id=1678c0df-b65b-410c-beb7-4ff6e55077d1","URL")</f>
        <v>URL</v>
      </c>
      <c r="N453" s="56" t="s">
        <v>3454</v>
      </c>
      <c r="O453" t="str">
        <f>_xlfn.XLOOKUP(N453,'Error-codes'!$C$2:$C$130,'Error-codes'!$B$2:$B$130, "None")</f>
        <v>Veh low level FSM: safety was triggered</v>
      </c>
      <c r="U453" s="81">
        <f>DATEVALUE(LEFT(F453,10))</f>
        <v>44895</v>
      </c>
    </row>
    <row r="454" spans="1:21" ht="76.5" hidden="1">
      <c r="A454" s="56" t="s">
        <v>3070</v>
      </c>
      <c r="B454" s="56" t="s">
        <v>29</v>
      </c>
      <c r="C454" s="56" t="s">
        <v>3071</v>
      </c>
      <c r="D454" s="56" t="s">
        <v>37</v>
      </c>
      <c r="E454" s="56" t="s">
        <v>2939</v>
      </c>
      <c r="F454" s="56" t="s">
        <v>3072</v>
      </c>
      <c r="G454" s="56">
        <v>214</v>
      </c>
      <c r="H454" s="56">
        <v>86</v>
      </c>
      <c r="I454" s="58">
        <v>0.40186915887850466</v>
      </c>
      <c r="J454" s="56" t="s">
        <v>3073</v>
      </c>
      <c r="K454" s="56" t="s">
        <v>1893</v>
      </c>
      <c r="L454" s="56" t="s">
        <v>2942</v>
      </c>
      <c r="M454" s="56" t="str">
        <f>HYPERLINK("https://dribble.octin.io/?mode=Single+log&amp;log_id=056ef86c-a40d-4d4c-ab55-c4348f43add4","URL")</f>
        <v>URL</v>
      </c>
      <c r="N454" s="56" t="s">
        <v>2933</v>
      </c>
      <c r="O454" t="str">
        <f>_xlfn.XLOOKUP(N454,'Error-codes'!$C$2:$C$130,'Error-codes'!$B$2:$B$130, "None")</f>
        <v>inductive sensor error</v>
      </c>
      <c r="Q454" s="45" t="s">
        <v>3074</v>
      </c>
      <c r="R454" s="45"/>
      <c r="S454" s="46" t="s">
        <v>3075</v>
      </c>
      <c r="U454" s="81">
        <f>DATEVALUE(LEFT(F454,10))</f>
        <v>44895</v>
      </c>
    </row>
    <row r="455" spans="1:21" ht="45.75" hidden="1">
      <c r="A455" s="56" t="s">
        <v>4541</v>
      </c>
      <c r="B455" s="56" t="s">
        <v>29</v>
      </c>
      <c r="C455" s="56" t="s">
        <v>3071</v>
      </c>
      <c r="D455" s="56" t="s">
        <v>37</v>
      </c>
      <c r="E455" s="56" t="s">
        <v>4542</v>
      </c>
      <c r="F455" s="56" t="s">
        <v>4543</v>
      </c>
      <c r="G455" s="56">
        <v>214</v>
      </c>
      <c r="H455" s="56">
        <v>89</v>
      </c>
      <c r="I455" s="74">
        <v>0.41588785046728971</v>
      </c>
      <c r="J455" s="56" t="s">
        <v>4518</v>
      </c>
      <c r="K455" s="56" t="s">
        <v>1893</v>
      </c>
      <c r="L455" s="56" t="s">
        <v>2942</v>
      </c>
      <c r="M455" s="56" t="str">
        <f>HYPERLINK("https://dribble.octin.io/?mode=Single+log&amp;log_id=8c1827b5-9978-479c-bdbc-2ff05d7098a2","URL")</f>
        <v>URL</v>
      </c>
      <c r="N455" s="56" t="s">
        <v>3444</v>
      </c>
      <c r="O455" t="str">
        <f>_xlfn.XLOOKUP(N455,'Error-codes'!$C$2:$C$130,'Error-codes'!$B$2:$B$130, "None")</f>
        <v>collision detected in operational state for the 4th time in a row</v>
      </c>
      <c r="Q455" s="45" t="s">
        <v>3074</v>
      </c>
      <c r="R455" s="45"/>
      <c r="S455" s="46" t="s">
        <v>4544</v>
      </c>
      <c r="U455" s="81">
        <f>DATEVALUE(LEFT(F455,10))</f>
        <v>44895</v>
      </c>
    </row>
    <row r="456" spans="1:21" ht="30.75" hidden="1">
      <c r="A456" s="56" t="s">
        <v>4545</v>
      </c>
      <c r="B456" s="56" t="s">
        <v>295</v>
      </c>
      <c r="C456" s="56" t="s">
        <v>4546</v>
      </c>
      <c r="D456" s="56" t="s">
        <v>388</v>
      </c>
      <c r="E456" s="56" t="s">
        <v>2939</v>
      </c>
      <c r="F456" s="56" t="s">
        <v>4547</v>
      </c>
      <c r="G456" s="56">
        <v>140</v>
      </c>
      <c r="H456" s="56">
        <v>120</v>
      </c>
      <c r="I456" s="74">
        <v>0.8571428571428571</v>
      </c>
      <c r="J456" s="56" t="s">
        <v>466</v>
      </c>
      <c r="K456" s="56" t="s">
        <v>1873</v>
      </c>
      <c r="L456" s="56" t="s">
        <v>2942</v>
      </c>
      <c r="M456" s="56" t="str">
        <f>HYPERLINK("https://dribble.octin.io/?mode=Single+log&amp;log_id=ae19a442-8e3d-4b56-9d38-b2bebe8cd0bf","URL")</f>
        <v>URL</v>
      </c>
      <c r="N456" s="56" t="s">
        <v>3440</v>
      </c>
      <c r="O456" t="str">
        <f>_xlfn.XLOOKUP(N456,'Error-codes'!$C$2:$C$130,'Error-codes'!$B$2:$B$130, "None")</f>
        <v>Trajectory generation timeout</v>
      </c>
      <c r="Q456" s="51" t="s">
        <v>3081</v>
      </c>
      <c r="R456" s="51"/>
      <c r="S456" t="s">
        <v>4548</v>
      </c>
      <c r="U456" s="81">
        <f>DATEVALUE(LEFT(F456,10))</f>
        <v>44896</v>
      </c>
    </row>
    <row r="457" spans="1:21" hidden="1">
      <c r="B457" s="56" t="s">
        <v>295</v>
      </c>
      <c r="C457" s="56" t="s">
        <v>4546</v>
      </c>
      <c r="D457" s="56" t="s">
        <v>388</v>
      </c>
      <c r="F457" s="56" t="s">
        <v>4549</v>
      </c>
      <c r="G457" s="56">
        <v>140</v>
      </c>
      <c r="H457" s="56">
        <v>139</v>
      </c>
      <c r="I457" s="74">
        <v>0.99285714285714288</v>
      </c>
      <c r="K457" s="56" t="s">
        <v>1873</v>
      </c>
      <c r="L457" s="56" t="s">
        <v>2942</v>
      </c>
      <c r="O457">
        <f>_xlfn.XLOOKUP(N457,'Error-codes'!$C$2:$C$130,'Error-codes'!$B$2:$B$130, "None")</f>
        <v>0</v>
      </c>
      <c r="U457" s="81">
        <f>DATEVALUE(LEFT(F457,10))</f>
        <v>44896</v>
      </c>
    </row>
    <row r="458" spans="1:21" hidden="1">
      <c r="B458" s="56" t="s">
        <v>2886</v>
      </c>
      <c r="C458" s="56" t="s">
        <v>4550</v>
      </c>
      <c r="D458" s="56" t="s">
        <v>22</v>
      </c>
      <c r="F458" s="56" t="s">
        <v>4551</v>
      </c>
      <c r="G458" s="56">
        <v>2</v>
      </c>
      <c r="H458" s="56">
        <v>1</v>
      </c>
      <c r="I458" s="74">
        <v>0.5</v>
      </c>
      <c r="K458" s="56" t="s">
        <v>2166</v>
      </c>
      <c r="L458" s="56" t="s">
        <v>2932</v>
      </c>
      <c r="O458">
        <f>_xlfn.XLOOKUP(N458,'Error-codes'!$C$2:$C$130,'Error-codes'!$B$2:$B$130, "None")</f>
        <v>0</v>
      </c>
      <c r="U458" s="81">
        <f>DATEVALUE(LEFT(F458,10))</f>
        <v>44896</v>
      </c>
    </row>
    <row r="459" spans="1:21" hidden="1">
      <c r="B459" s="56" t="s">
        <v>2886</v>
      </c>
      <c r="C459" s="56" t="s">
        <v>4552</v>
      </c>
      <c r="D459" s="56" t="s">
        <v>22</v>
      </c>
      <c r="F459" s="56" t="s">
        <v>4553</v>
      </c>
      <c r="G459" s="56">
        <v>2</v>
      </c>
      <c r="H459" s="56">
        <v>1</v>
      </c>
      <c r="I459" s="74">
        <v>0.5</v>
      </c>
      <c r="K459" s="56" t="s">
        <v>2166</v>
      </c>
      <c r="L459" s="56" t="s">
        <v>2932</v>
      </c>
      <c r="O459">
        <f>_xlfn.XLOOKUP(N459,'Error-codes'!$C$2:$C$130,'Error-codes'!$B$2:$B$130, "None")</f>
        <v>0</v>
      </c>
      <c r="U459" s="81">
        <f>DATEVALUE(LEFT(F459,10))</f>
        <v>44896</v>
      </c>
    </row>
    <row r="460" spans="1:21" hidden="1">
      <c r="A460" s="56"/>
      <c r="B460" s="56" t="s">
        <v>295</v>
      </c>
      <c r="C460" s="56" t="s">
        <v>4554</v>
      </c>
      <c r="D460" s="56" t="s">
        <v>37</v>
      </c>
      <c r="E460" s="56" t="s">
        <v>4228</v>
      </c>
      <c r="F460" s="56" t="s">
        <v>4555</v>
      </c>
      <c r="G460" s="56">
        <v>33</v>
      </c>
      <c r="H460" s="56">
        <v>2</v>
      </c>
      <c r="I460" s="74">
        <v>6.0606060606060608E-2</v>
      </c>
      <c r="J460" s="56" t="s">
        <v>4556</v>
      </c>
      <c r="K460" s="56" t="s">
        <v>1893</v>
      </c>
      <c r="L460" s="56" t="s">
        <v>2942</v>
      </c>
      <c r="N460" s="56" t="s">
        <v>3454</v>
      </c>
      <c r="O460" t="str">
        <f>_xlfn.XLOOKUP(N460,'Error-codes'!$C$2:$C$130,'Error-codes'!$B$2:$B$130, "None")</f>
        <v>Veh low level FSM: safety was triggered</v>
      </c>
      <c r="U460" s="81">
        <f>DATEVALUE(LEFT(F460,10))</f>
        <v>44896</v>
      </c>
    </row>
    <row r="461" spans="1:21" hidden="1">
      <c r="A461" s="56"/>
      <c r="B461" s="56" t="s">
        <v>295</v>
      </c>
      <c r="C461" s="56" t="s">
        <v>4557</v>
      </c>
      <c r="D461" s="56" t="s">
        <v>37</v>
      </c>
      <c r="E461" s="56" t="s">
        <v>4228</v>
      </c>
      <c r="F461" s="56" t="s">
        <v>4558</v>
      </c>
      <c r="G461" s="56">
        <v>19</v>
      </c>
      <c r="H461" s="56">
        <v>4</v>
      </c>
      <c r="I461" s="74">
        <v>0.21052631578947367</v>
      </c>
      <c r="J461" s="56" t="s">
        <v>4559</v>
      </c>
      <c r="K461" s="56" t="s">
        <v>1893</v>
      </c>
      <c r="L461" s="56" t="s">
        <v>2942</v>
      </c>
      <c r="N461" s="56" t="s">
        <v>3454</v>
      </c>
      <c r="O461" t="str">
        <f>_xlfn.XLOOKUP(N461,'Error-codes'!$C$2:$C$130,'Error-codes'!$B$2:$B$130, "None")</f>
        <v>Veh low level FSM: safety was triggered</v>
      </c>
      <c r="U461" s="81">
        <f>DATEVALUE(LEFT(F461,10))</f>
        <v>44896</v>
      </c>
    </row>
    <row r="462" spans="1:21" hidden="1">
      <c r="A462" s="56" t="s">
        <v>4560</v>
      </c>
      <c r="B462" s="56" t="s">
        <v>3771</v>
      </c>
      <c r="C462" s="56" t="s">
        <v>4561</v>
      </c>
      <c r="D462" s="56" t="s">
        <v>37</v>
      </c>
      <c r="E462" s="56" t="s">
        <v>2939</v>
      </c>
      <c r="F462" s="56" t="s">
        <v>4562</v>
      </c>
      <c r="G462" s="56">
        <v>77</v>
      </c>
      <c r="H462" s="56">
        <v>0</v>
      </c>
      <c r="I462" s="74">
        <v>0</v>
      </c>
      <c r="J462" s="56" t="s">
        <v>4445</v>
      </c>
      <c r="K462" s="56" t="s">
        <v>3207</v>
      </c>
      <c r="L462" s="56" t="s">
        <v>3775</v>
      </c>
      <c r="M462" s="56" t="str">
        <f>HYPERLINK("https://dribble.octin.io/?mode=Single+log&amp;log_id=550e15e5-3a34-4c32-aa1d-09c4a498465a","URL")</f>
        <v>URL</v>
      </c>
      <c r="N462" s="56" t="s">
        <v>3452</v>
      </c>
      <c r="O462" t="str">
        <f>_xlfn.XLOOKUP(N462,'Error-codes'!$C$2:$C$130,'Error-codes'!$B$2:$B$130, "None")</f>
        <v>ytheta sensor error</v>
      </c>
      <c r="U462" s="81">
        <f>DATEVALUE(LEFT(F462,10))</f>
        <v>44896</v>
      </c>
    </row>
    <row r="463" spans="1:21" hidden="1">
      <c r="A463" s="56" t="s">
        <v>4563</v>
      </c>
      <c r="B463" s="56" t="s">
        <v>3771</v>
      </c>
      <c r="C463" s="56" t="s">
        <v>4561</v>
      </c>
      <c r="D463" s="56" t="s">
        <v>37</v>
      </c>
      <c r="E463" s="56" t="s">
        <v>4564</v>
      </c>
      <c r="F463" s="56" t="s">
        <v>4565</v>
      </c>
      <c r="G463" s="56">
        <v>77</v>
      </c>
      <c r="H463" s="56">
        <v>1</v>
      </c>
      <c r="I463" s="74">
        <v>1.2987012987012988E-2</v>
      </c>
      <c r="J463" s="56" t="s">
        <v>4445</v>
      </c>
      <c r="K463" s="56" t="s">
        <v>3207</v>
      </c>
      <c r="L463" s="56" t="s">
        <v>3775</v>
      </c>
      <c r="M463" s="56" t="str">
        <f>HYPERLINK("https://dribble.octin.io/?mode=Single+log&amp;log_id=727ae527-5987-4b18-8792-fcd22da9b5b3","URL")</f>
        <v>URL</v>
      </c>
      <c r="N463" s="56" t="s">
        <v>3452</v>
      </c>
      <c r="O463" t="str">
        <f>_xlfn.XLOOKUP(N463,'Error-codes'!$C$2:$C$130,'Error-codes'!$B$2:$B$130, "None")</f>
        <v>ytheta sensor error</v>
      </c>
      <c r="U463" s="81">
        <f>DATEVALUE(LEFT(F463,10))</f>
        <v>44896</v>
      </c>
    </row>
    <row r="464" spans="1:21" hidden="1">
      <c r="A464" s="56" t="s">
        <v>4566</v>
      </c>
      <c r="B464" s="56" t="s">
        <v>3771</v>
      </c>
      <c r="C464" s="56" t="s">
        <v>4567</v>
      </c>
      <c r="D464" s="56" t="s">
        <v>37</v>
      </c>
      <c r="E464" s="56" t="s">
        <v>4564</v>
      </c>
      <c r="F464" s="56" t="s">
        <v>4568</v>
      </c>
      <c r="G464" s="56">
        <v>76</v>
      </c>
      <c r="H464" s="56">
        <v>0</v>
      </c>
      <c r="I464" s="74">
        <v>0</v>
      </c>
      <c r="J464" s="56" t="s">
        <v>4445</v>
      </c>
      <c r="K464" s="56" t="s">
        <v>3207</v>
      </c>
      <c r="L464" s="56" t="s">
        <v>3775</v>
      </c>
      <c r="M464" s="56" t="str">
        <f>HYPERLINK("https://dribble.octin.io/?mode=Single+log&amp;log_id=eb3b5757-7ec8-4036-88b9-c592a232799c","URL")</f>
        <v>URL</v>
      </c>
      <c r="N464" s="56" t="s">
        <v>3452</v>
      </c>
      <c r="O464" t="str">
        <f>_xlfn.XLOOKUP(N464,'Error-codes'!$C$2:$C$130,'Error-codes'!$B$2:$B$130, "None")</f>
        <v>ytheta sensor error</v>
      </c>
      <c r="U464" s="81">
        <f>DATEVALUE(LEFT(F464,10))</f>
        <v>44896</v>
      </c>
    </row>
    <row r="465" spans="1:21" hidden="1">
      <c r="A465" s="56" t="s">
        <v>4569</v>
      </c>
      <c r="B465" s="56" t="s">
        <v>3771</v>
      </c>
      <c r="C465" s="56" t="s">
        <v>4570</v>
      </c>
      <c r="D465" s="56" t="s">
        <v>37</v>
      </c>
      <c r="E465" s="56" t="s">
        <v>4564</v>
      </c>
      <c r="F465" s="56" t="s">
        <v>4571</v>
      </c>
      <c r="G465" s="56">
        <v>77</v>
      </c>
      <c r="H465" s="56">
        <v>1</v>
      </c>
      <c r="I465" s="74">
        <v>1.2987012987012988E-2</v>
      </c>
      <c r="J465" s="56" t="s">
        <v>4445</v>
      </c>
      <c r="K465" s="56" t="s">
        <v>3207</v>
      </c>
      <c r="L465" s="56" t="s">
        <v>3775</v>
      </c>
      <c r="M465" s="56" t="str">
        <f>HYPERLINK("https://dribble.octin.io/?mode=Single+log&amp;log_id=6c1b4712-aa27-4c2f-ac5c-66ff9b2cd511","URL")</f>
        <v>URL</v>
      </c>
      <c r="N465" s="56" t="s">
        <v>3452</v>
      </c>
      <c r="O465" t="str">
        <f>_xlfn.XLOOKUP(N465,'Error-codes'!$C$2:$C$130,'Error-codes'!$B$2:$B$130, "None")</f>
        <v>ytheta sensor error</v>
      </c>
      <c r="U465" s="81">
        <f>DATEVALUE(LEFT(F465,10))</f>
        <v>44896</v>
      </c>
    </row>
    <row r="466" spans="1:21" hidden="1">
      <c r="A466" s="56" t="s">
        <v>4572</v>
      </c>
      <c r="B466" s="56" t="s">
        <v>228</v>
      </c>
      <c r="C466" s="56" t="s">
        <v>4573</v>
      </c>
      <c r="D466" s="56" t="s">
        <v>37</v>
      </c>
      <c r="E466" s="56" t="s">
        <v>4228</v>
      </c>
      <c r="F466" s="56" t="s">
        <v>4574</v>
      </c>
      <c r="G466" s="56">
        <v>6</v>
      </c>
      <c r="H466" s="56">
        <v>1</v>
      </c>
      <c r="I466" s="74">
        <v>0.16666666666666666</v>
      </c>
      <c r="J466" s="56" t="s">
        <v>4356</v>
      </c>
      <c r="K466" s="56" t="s">
        <v>2166</v>
      </c>
      <c r="L466" s="56" t="s">
        <v>2932</v>
      </c>
      <c r="M466" s="56" t="str">
        <f>HYPERLINK("https://dribble.octin.io/?mode=Single+log&amp;log_id=fdf2863b-bb47-4d52-bf5b-d41d6c414e5f","URL")</f>
        <v>URL</v>
      </c>
      <c r="N466" s="56" t="s">
        <v>3454</v>
      </c>
      <c r="O466" t="str">
        <f>_xlfn.XLOOKUP(N466,'Error-codes'!$C$2:$C$130,'Error-codes'!$B$2:$B$130, "None")</f>
        <v>Veh low level FSM: safety was triggered</v>
      </c>
      <c r="U466" s="81">
        <f>DATEVALUE(LEFT(F466,10))</f>
        <v>44896</v>
      </c>
    </row>
    <row r="467" spans="1:21" hidden="1">
      <c r="A467" s="56" t="s">
        <v>4575</v>
      </c>
      <c r="B467" s="56" t="s">
        <v>228</v>
      </c>
      <c r="C467" s="56" t="s">
        <v>4576</v>
      </c>
      <c r="D467" s="56" t="s">
        <v>37</v>
      </c>
      <c r="E467" s="56" t="s">
        <v>4358</v>
      </c>
      <c r="F467" s="56" t="s">
        <v>4577</v>
      </c>
      <c r="G467" s="56">
        <v>111</v>
      </c>
      <c r="H467" s="56">
        <v>1</v>
      </c>
      <c r="I467" s="74">
        <v>9.0090090090090089E-3</v>
      </c>
      <c r="J467" s="56" t="s">
        <v>3315</v>
      </c>
      <c r="K467" s="56" t="s">
        <v>2166</v>
      </c>
      <c r="L467" s="56" t="s">
        <v>2932</v>
      </c>
      <c r="M467" s="56" t="str">
        <f>HYPERLINK("https://dribble.octin.io/?mode=Single+log&amp;log_id=d867f237-8f9c-4c2c-b97b-0048d6b91340","URL")</f>
        <v>URL</v>
      </c>
      <c r="N467" s="56" t="s">
        <v>3468</v>
      </c>
      <c r="O467" t="str">
        <f>_xlfn.XLOOKUP(N467,'Error-codes'!$C$2:$C$130,'Error-codes'!$B$2:$B$130, "None")</f>
        <v>no vision heartbeat</v>
      </c>
      <c r="U467" s="81">
        <f>DATEVALUE(LEFT(F467,10))</f>
        <v>44896</v>
      </c>
    </row>
    <row r="468" spans="1:21" hidden="1">
      <c r="B468" s="56" t="s">
        <v>3771</v>
      </c>
      <c r="C468" s="56" t="s">
        <v>4578</v>
      </c>
      <c r="D468" s="56" t="s">
        <v>22</v>
      </c>
      <c r="F468" s="56" t="s">
        <v>4579</v>
      </c>
      <c r="G468" s="56">
        <v>77</v>
      </c>
      <c r="H468" s="56">
        <v>2</v>
      </c>
      <c r="I468" s="74">
        <v>2.5974025974025976E-2</v>
      </c>
      <c r="K468" s="56" t="s">
        <v>3207</v>
      </c>
      <c r="L468" s="56" t="s">
        <v>3775</v>
      </c>
      <c r="O468">
        <f>_xlfn.XLOOKUP(N468,'Error-codes'!$C$2:$C$130,'Error-codes'!$B$2:$B$130, "None")</f>
        <v>0</v>
      </c>
      <c r="U468" s="81">
        <f>DATEVALUE(LEFT(F468,10))</f>
        <v>44896</v>
      </c>
    </row>
    <row r="469" spans="1:21" hidden="1">
      <c r="B469" s="56" t="s">
        <v>3771</v>
      </c>
      <c r="C469" s="56" t="s">
        <v>4580</v>
      </c>
      <c r="D469" s="56" t="s">
        <v>22</v>
      </c>
      <c r="F469" s="56" t="s">
        <v>4581</v>
      </c>
      <c r="G469" s="56">
        <v>77</v>
      </c>
      <c r="H469" s="56">
        <v>2</v>
      </c>
      <c r="I469" s="74">
        <v>2.5974025974025976E-2</v>
      </c>
      <c r="K469" s="56" t="s">
        <v>3207</v>
      </c>
      <c r="L469" s="56" t="s">
        <v>3775</v>
      </c>
      <c r="O469">
        <f>_xlfn.XLOOKUP(N469,'Error-codes'!$C$2:$C$130,'Error-codes'!$B$2:$B$130, "None")</f>
        <v>0</v>
      </c>
      <c r="U469" s="81">
        <f>DATEVALUE(LEFT(F469,10))</f>
        <v>44896</v>
      </c>
    </row>
    <row r="470" spans="1:21" hidden="1">
      <c r="A470" s="56" t="s">
        <v>4582</v>
      </c>
      <c r="B470" s="56" t="s">
        <v>3771</v>
      </c>
      <c r="C470" s="56" t="s">
        <v>4583</v>
      </c>
      <c r="D470" s="56" t="s">
        <v>37</v>
      </c>
      <c r="E470" s="56" t="s">
        <v>4564</v>
      </c>
      <c r="F470" s="56" t="s">
        <v>4584</v>
      </c>
      <c r="G470" s="56">
        <v>116</v>
      </c>
      <c r="H470" s="56">
        <v>2</v>
      </c>
      <c r="I470" s="74">
        <v>1.7241379310344827E-2</v>
      </c>
      <c r="J470" s="56" t="s">
        <v>3315</v>
      </c>
      <c r="K470" s="56" t="s">
        <v>3207</v>
      </c>
      <c r="L470" s="56" t="s">
        <v>3775</v>
      </c>
      <c r="M470" s="56" t="str">
        <f>HYPERLINK("https://dribble.octin.io/?mode=Single+log&amp;log_id=04091267-0639-4d76-b135-c962c000be99","URL")</f>
        <v>URL</v>
      </c>
      <c r="N470" s="56"/>
      <c r="O470">
        <f>_xlfn.XLOOKUP(N470,'Error-codes'!$C$2:$C$130,'Error-codes'!$B$2:$B$130, "None")</f>
        <v>0</v>
      </c>
      <c r="U470" s="81">
        <f>DATEVALUE(LEFT(F470,10))</f>
        <v>44896</v>
      </c>
    </row>
    <row r="471" spans="1:21" hidden="1">
      <c r="A471" s="56"/>
      <c r="B471" s="56" t="s">
        <v>29</v>
      </c>
      <c r="C471" s="56" t="s">
        <v>4585</v>
      </c>
      <c r="D471" s="56" t="s">
        <v>37</v>
      </c>
      <c r="E471" s="56" t="s">
        <v>4222</v>
      </c>
      <c r="F471" s="56" t="s">
        <v>4586</v>
      </c>
      <c r="G471" s="56">
        <v>140</v>
      </c>
      <c r="H471" s="56">
        <v>9</v>
      </c>
      <c r="I471" s="74">
        <v>6.4285714285714279E-2</v>
      </c>
      <c r="J471" s="56" t="s">
        <v>4587</v>
      </c>
      <c r="K471" s="56" t="s">
        <v>1873</v>
      </c>
      <c r="L471" s="56" t="s">
        <v>2942</v>
      </c>
      <c r="N471" s="56" t="s">
        <v>3458</v>
      </c>
      <c r="O471" t="str">
        <f>_xlfn.XLOOKUP(N471,'Error-codes'!$C$2:$C$130,'Error-codes'!$B$2:$B$130, "None")</f>
        <v>motor drive: UNDER VOLTAGE</v>
      </c>
      <c r="U471" s="81">
        <f>DATEVALUE(LEFT(F471,10))</f>
        <v>44896</v>
      </c>
    </row>
    <row r="472" spans="1:21" hidden="1">
      <c r="B472" s="56" t="s">
        <v>29</v>
      </c>
      <c r="C472" s="56" t="s">
        <v>4588</v>
      </c>
      <c r="D472" s="56" t="s">
        <v>388</v>
      </c>
      <c r="F472" s="56" t="s">
        <v>4589</v>
      </c>
      <c r="G472" s="56">
        <v>2</v>
      </c>
      <c r="H472" s="56">
        <v>2</v>
      </c>
      <c r="I472" s="74">
        <v>1</v>
      </c>
      <c r="K472" s="56" t="s">
        <v>1873</v>
      </c>
      <c r="L472" s="56" t="s">
        <v>2942</v>
      </c>
      <c r="O472">
        <f>_xlfn.XLOOKUP(N472,'Error-codes'!$C$2:$C$130,'Error-codes'!$B$2:$B$130, "None")</f>
        <v>0</v>
      </c>
      <c r="U472" s="81">
        <f>DATEVALUE(LEFT(F472,10))</f>
        <v>44896</v>
      </c>
    </row>
    <row r="473" spans="1:21" hidden="1">
      <c r="A473" s="56" t="s">
        <v>4590</v>
      </c>
      <c r="B473" s="56" t="s">
        <v>29</v>
      </c>
      <c r="C473" s="56" t="s">
        <v>4591</v>
      </c>
      <c r="D473" s="56" t="s">
        <v>37</v>
      </c>
      <c r="E473" s="56" t="s">
        <v>4592</v>
      </c>
      <c r="F473" s="56" t="s">
        <v>4593</v>
      </c>
      <c r="G473" s="56">
        <v>3</v>
      </c>
      <c r="H473" s="56">
        <v>1</v>
      </c>
      <c r="I473" s="74">
        <v>0.33333333333333331</v>
      </c>
      <c r="J473" s="56" t="s">
        <v>4594</v>
      </c>
      <c r="K473" s="56" t="s">
        <v>1873</v>
      </c>
      <c r="L473" s="56" t="s">
        <v>2942</v>
      </c>
      <c r="M473" s="56" t="str">
        <f>HYPERLINK("https://dribble.octin.io/?mode=Single+log&amp;log_id=378a2dd6-5ca4-4e74-a9e5-0a6b60bb258b","URL")</f>
        <v>URL</v>
      </c>
      <c r="N473" s="56" t="s">
        <v>3474</v>
      </c>
      <c r="O473" t="str">
        <f>_xlfn.XLOOKUP(N473,'Error-codes'!$C$2:$C$130,'Error-codes'!$B$2:$B$130, "None")</f>
        <v>unexpected uv lamp state switch</v>
      </c>
      <c r="P473" t="s">
        <v>4595</v>
      </c>
      <c r="U473" s="81">
        <f>DATEVALUE(LEFT(F473,10))</f>
        <v>44896</v>
      </c>
    </row>
    <row r="474" spans="1:21" hidden="1">
      <c r="A474" s="56" t="s">
        <v>4596</v>
      </c>
      <c r="B474" s="56" t="s">
        <v>3771</v>
      </c>
      <c r="C474" s="56" t="s">
        <v>4597</v>
      </c>
      <c r="D474" s="56" t="s">
        <v>37</v>
      </c>
      <c r="E474" s="56" t="s">
        <v>4564</v>
      </c>
      <c r="F474" s="56" t="s">
        <v>4598</v>
      </c>
      <c r="G474" s="56">
        <v>116</v>
      </c>
      <c r="H474" s="56">
        <v>2</v>
      </c>
      <c r="I474" s="74">
        <v>1.7241379310344827E-2</v>
      </c>
      <c r="J474" s="56" t="s">
        <v>4445</v>
      </c>
      <c r="K474" s="56" t="s">
        <v>3207</v>
      </c>
      <c r="L474" s="56" t="s">
        <v>3775</v>
      </c>
      <c r="M474" s="56" t="str">
        <f>HYPERLINK("https://dribble.octin.io/?mode=Single+log&amp;log_id=570a2683-4c65-4747-82aa-9d4165b6f8ff","URL")</f>
        <v>URL</v>
      </c>
      <c r="N474" s="56" t="s">
        <v>3452</v>
      </c>
      <c r="O474" t="str">
        <f>_xlfn.XLOOKUP(N474,'Error-codes'!$C$2:$C$130,'Error-codes'!$B$2:$B$130, "None")</f>
        <v>ytheta sensor error</v>
      </c>
      <c r="U474" s="81">
        <f>DATEVALUE(LEFT(F474,10))</f>
        <v>44896</v>
      </c>
    </row>
    <row r="475" spans="1:21" hidden="1">
      <c r="A475" s="56"/>
      <c r="B475" s="56" t="s">
        <v>2886</v>
      </c>
      <c r="C475" s="56" t="s">
        <v>4599</v>
      </c>
      <c r="D475" s="56" t="s">
        <v>37</v>
      </c>
      <c r="E475" s="56" t="s">
        <v>4398</v>
      </c>
      <c r="F475" s="56" t="s">
        <v>4600</v>
      </c>
      <c r="G475" s="56">
        <v>94</v>
      </c>
      <c r="H475" s="56">
        <v>1</v>
      </c>
      <c r="I475" s="74">
        <v>1.0638297872340425E-2</v>
      </c>
      <c r="J475" s="56" t="s">
        <v>4356</v>
      </c>
      <c r="K475" s="56" t="s">
        <v>2166</v>
      </c>
      <c r="L475" s="56" t="s">
        <v>2932</v>
      </c>
      <c r="N475" s="56" t="s">
        <v>3466</v>
      </c>
      <c r="O475" t="str">
        <f>_xlfn.XLOOKUP(N475,'Error-codes'!$C$2:$C$130,'Error-codes'!$B$2:$B$130, "None")</f>
        <v>vision error</v>
      </c>
      <c r="U475" s="81">
        <f>DATEVALUE(LEFT(F475,10))</f>
        <v>44896</v>
      </c>
    </row>
    <row r="476" spans="1:21" hidden="1">
      <c r="A476" s="56"/>
      <c r="B476" s="56" t="s">
        <v>2886</v>
      </c>
      <c r="C476" s="56" t="s">
        <v>4601</v>
      </c>
      <c r="D476" s="56" t="s">
        <v>37</v>
      </c>
      <c r="E476" s="56" t="s">
        <v>3253</v>
      </c>
      <c r="F476" s="56" t="s">
        <v>4602</v>
      </c>
      <c r="G476" s="56">
        <v>94</v>
      </c>
      <c r="H476" s="56">
        <v>1</v>
      </c>
      <c r="I476" s="74">
        <v>1.0638297872340425E-2</v>
      </c>
      <c r="J476" s="56" t="s">
        <v>3315</v>
      </c>
      <c r="K476" s="56" t="s">
        <v>2166</v>
      </c>
      <c r="L476" s="56" t="s">
        <v>2932</v>
      </c>
      <c r="N476" s="56" t="s">
        <v>3454</v>
      </c>
      <c r="O476" t="str">
        <f>_xlfn.XLOOKUP(N476,'Error-codes'!$C$2:$C$130,'Error-codes'!$B$2:$B$130, "None")</f>
        <v>Veh low level FSM: safety was triggered</v>
      </c>
      <c r="U476" s="81">
        <f>DATEVALUE(LEFT(F476,10))</f>
        <v>44896</v>
      </c>
    </row>
    <row r="477" spans="1:21" hidden="1">
      <c r="A477" s="56" t="s">
        <v>4603</v>
      </c>
      <c r="B477" s="56" t="s">
        <v>2886</v>
      </c>
      <c r="C477" s="56" t="s">
        <v>4604</v>
      </c>
      <c r="D477" s="56" t="s">
        <v>37</v>
      </c>
      <c r="E477" s="56" t="s">
        <v>2939</v>
      </c>
      <c r="F477" s="56" t="s">
        <v>4605</v>
      </c>
      <c r="G477" s="56">
        <v>50</v>
      </c>
      <c r="H477" s="56">
        <v>1</v>
      </c>
      <c r="I477" s="74">
        <v>0.02</v>
      </c>
      <c r="J477" s="56" t="s">
        <v>3315</v>
      </c>
      <c r="K477" s="56" t="s">
        <v>2166</v>
      </c>
      <c r="L477" s="56" t="s">
        <v>2932</v>
      </c>
      <c r="M477" s="56" t="str">
        <f>HYPERLINK("https://dribble.octin.io/?mode=Single+log&amp;log_id=b20c8386-406f-4144-9021-aa758b4948a6","URL")</f>
        <v>URL</v>
      </c>
      <c r="N477" s="56" t="s">
        <v>3454</v>
      </c>
      <c r="O477" t="str">
        <f>_xlfn.XLOOKUP(N477,'Error-codes'!$C$2:$C$130,'Error-codes'!$B$2:$B$130, "None")</f>
        <v>Veh low level FSM: safety was triggered</v>
      </c>
      <c r="U477" s="81">
        <f>DATEVALUE(LEFT(F477,10))</f>
        <v>44896</v>
      </c>
    </row>
    <row r="478" spans="1:21" hidden="1">
      <c r="A478" s="56"/>
      <c r="B478" s="56" t="s">
        <v>2886</v>
      </c>
      <c r="C478" s="56" t="s">
        <v>4604</v>
      </c>
      <c r="D478" s="56" t="s">
        <v>37</v>
      </c>
      <c r="E478" s="56" t="s">
        <v>3253</v>
      </c>
      <c r="F478" s="56" t="s">
        <v>4606</v>
      </c>
      <c r="G478" s="56">
        <v>50</v>
      </c>
      <c r="H478" s="56">
        <v>3</v>
      </c>
      <c r="I478" s="74">
        <v>0.06</v>
      </c>
      <c r="J478" s="56" t="s">
        <v>4356</v>
      </c>
      <c r="K478" s="56" t="s">
        <v>2166</v>
      </c>
      <c r="L478" s="56" t="s">
        <v>2932</v>
      </c>
      <c r="N478" s="56" t="s">
        <v>3454</v>
      </c>
      <c r="O478" t="str">
        <f>_xlfn.XLOOKUP(N478,'Error-codes'!$C$2:$C$130,'Error-codes'!$B$2:$B$130, "None")</f>
        <v>Veh low level FSM: safety was triggered</v>
      </c>
      <c r="U478" s="81">
        <f>DATEVALUE(LEFT(F478,10))</f>
        <v>44896</v>
      </c>
    </row>
    <row r="479" spans="1:21" hidden="1">
      <c r="B479" s="56" t="s">
        <v>2886</v>
      </c>
      <c r="C479" s="56" t="s">
        <v>4607</v>
      </c>
      <c r="D479" s="56" t="s">
        <v>22</v>
      </c>
      <c r="F479" s="56" t="s">
        <v>4608</v>
      </c>
      <c r="G479" s="56">
        <v>48</v>
      </c>
      <c r="H479" s="56">
        <v>1</v>
      </c>
      <c r="I479" s="74">
        <v>2.0833333333333332E-2</v>
      </c>
      <c r="K479" s="56" t="s">
        <v>2166</v>
      </c>
      <c r="L479" s="56" t="s">
        <v>2932</v>
      </c>
      <c r="O479">
        <f>_xlfn.XLOOKUP(N479,'Error-codes'!$C$2:$C$130,'Error-codes'!$B$2:$B$130, "None")</f>
        <v>0</v>
      </c>
      <c r="U479" s="81">
        <f>DATEVALUE(LEFT(F479,10))</f>
        <v>44896</v>
      </c>
    </row>
    <row r="480" spans="1:21" hidden="1">
      <c r="B480" s="56" t="s">
        <v>2886</v>
      </c>
      <c r="C480" s="56" t="s">
        <v>4609</v>
      </c>
      <c r="D480" s="56" t="s">
        <v>22</v>
      </c>
      <c r="F480" s="56" t="s">
        <v>4610</v>
      </c>
      <c r="G480" s="56">
        <v>40</v>
      </c>
      <c r="H480" s="56">
        <v>1</v>
      </c>
      <c r="I480" s="74">
        <v>2.5000000000000001E-2</v>
      </c>
      <c r="K480" s="56" t="s">
        <v>2166</v>
      </c>
      <c r="L480" s="56" t="s">
        <v>2932</v>
      </c>
      <c r="O480">
        <f>_xlfn.XLOOKUP(N480,'Error-codes'!$C$2:$C$130,'Error-codes'!$B$2:$B$130, "None")</f>
        <v>0</v>
      </c>
      <c r="U480" s="81">
        <f>DATEVALUE(LEFT(F480,10))</f>
        <v>44896</v>
      </c>
    </row>
    <row r="481" spans="1:21" hidden="1">
      <c r="A481" s="56" t="s">
        <v>4611</v>
      </c>
      <c r="B481" s="56" t="s">
        <v>228</v>
      </c>
      <c r="C481" s="56" t="s">
        <v>4612</v>
      </c>
      <c r="D481" s="56" t="s">
        <v>37</v>
      </c>
      <c r="E481" s="56" t="s">
        <v>3253</v>
      </c>
      <c r="F481" s="56" t="s">
        <v>4613</v>
      </c>
      <c r="G481" s="56">
        <v>48</v>
      </c>
      <c r="H481" s="56">
        <v>11</v>
      </c>
      <c r="I481" s="74">
        <v>0.22916666666666666</v>
      </c>
      <c r="J481" s="56" t="s">
        <v>4614</v>
      </c>
      <c r="K481" s="56" t="s">
        <v>2166</v>
      </c>
      <c r="L481" s="56" t="s">
        <v>2932</v>
      </c>
      <c r="M481" s="56" t="str">
        <f>HYPERLINK("https://dribble.octin.io/?mode=Single+log&amp;log_id=313ddea6-fd1d-461d-86cd-e4836611ae72","URL")</f>
        <v>URL</v>
      </c>
      <c r="N481" s="56" t="s">
        <v>3454</v>
      </c>
      <c r="O481" t="str">
        <f>_xlfn.XLOOKUP(N481,'Error-codes'!$C$2:$C$130,'Error-codes'!$B$2:$B$130, "None")</f>
        <v>Veh low level FSM: safety was triggered</v>
      </c>
      <c r="U481" s="81">
        <f>DATEVALUE(LEFT(F481,10))</f>
        <v>44896</v>
      </c>
    </row>
    <row r="482" spans="1:21" hidden="1">
      <c r="B482" s="56" t="s">
        <v>228</v>
      </c>
      <c r="C482" s="56" t="s">
        <v>4615</v>
      </c>
      <c r="D482" s="56" t="s">
        <v>22</v>
      </c>
      <c r="F482" s="56" t="s">
        <v>4616</v>
      </c>
      <c r="G482" s="56">
        <v>42</v>
      </c>
      <c r="H482" s="56">
        <v>1</v>
      </c>
      <c r="I482" s="74">
        <v>2.3809523809523808E-2</v>
      </c>
      <c r="K482" s="56" t="s">
        <v>2166</v>
      </c>
      <c r="L482" s="56" t="s">
        <v>2932</v>
      </c>
      <c r="O482">
        <f>_xlfn.XLOOKUP(N482,'Error-codes'!$C$2:$C$130,'Error-codes'!$B$2:$B$130, "None")</f>
        <v>0</v>
      </c>
      <c r="U482" s="81">
        <f>DATEVALUE(LEFT(F482,10))</f>
        <v>44896</v>
      </c>
    </row>
    <row r="483" spans="1:21" hidden="1">
      <c r="B483" s="56" t="s">
        <v>228</v>
      </c>
      <c r="C483" s="56" t="s">
        <v>4617</v>
      </c>
      <c r="D483" s="56"/>
      <c r="F483" s="56" t="s">
        <v>4618</v>
      </c>
      <c r="G483" s="56">
        <v>42</v>
      </c>
      <c r="H483" s="56">
        <v>4</v>
      </c>
      <c r="I483" s="74">
        <v>9.5238095238095233E-2</v>
      </c>
      <c r="K483" s="56" t="s">
        <v>2166</v>
      </c>
      <c r="L483" s="56" t="s">
        <v>2932</v>
      </c>
      <c r="O483">
        <f>_xlfn.XLOOKUP(N483,'Error-codes'!$C$2:$C$130,'Error-codes'!$B$2:$B$130, "None")</f>
        <v>0</v>
      </c>
      <c r="U483" s="81">
        <f>DATEVALUE(LEFT(F483,10))</f>
        <v>44896</v>
      </c>
    </row>
    <row r="484" spans="1:21" hidden="1">
      <c r="B484" s="56" t="s">
        <v>2886</v>
      </c>
      <c r="C484" s="56" t="s">
        <v>4619</v>
      </c>
      <c r="D484" s="56" t="s">
        <v>22</v>
      </c>
      <c r="F484" s="56" t="s">
        <v>4620</v>
      </c>
      <c r="G484" s="56">
        <v>34</v>
      </c>
      <c r="H484" s="56">
        <v>1</v>
      </c>
      <c r="I484" s="74">
        <v>2.9411764705882353E-2</v>
      </c>
      <c r="K484" s="56" t="s">
        <v>3090</v>
      </c>
      <c r="L484" s="56" t="s">
        <v>2932</v>
      </c>
      <c r="O484">
        <f>_xlfn.XLOOKUP(N484,'Error-codes'!$C$2:$C$130,'Error-codes'!$B$2:$B$130, "None")</f>
        <v>0</v>
      </c>
      <c r="U484" s="81">
        <f>DATEVALUE(LEFT(F484,10))</f>
        <v>44896</v>
      </c>
    </row>
    <row r="485" spans="1:21" hidden="1">
      <c r="B485" s="56" t="s">
        <v>29</v>
      </c>
      <c r="C485" s="56" t="s">
        <v>4621</v>
      </c>
      <c r="D485" s="56" t="s">
        <v>388</v>
      </c>
      <c r="F485" s="56" t="s">
        <v>4622</v>
      </c>
      <c r="G485" s="56">
        <v>129</v>
      </c>
      <c r="H485" s="56">
        <v>129</v>
      </c>
      <c r="I485" s="74">
        <v>1</v>
      </c>
      <c r="K485" s="56" t="s">
        <v>1873</v>
      </c>
      <c r="L485" s="56" t="s">
        <v>2942</v>
      </c>
      <c r="O485">
        <f>_xlfn.XLOOKUP(N485,'Error-codes'!$C$2:$C$130,'Error-codes'!$B$2:$B$130, "None")</f>
        <v>0</v>
      </c>
      <c r="U485" s="81">
        <f>DATEVALUE(LEFT(F485,10))</f>
        <v>44897</v>
      </c>
    </row>
    <row r="486" spans="1:21" hidden="1">
      <c r="A486" s="56" t="s">
        <v>3083</v>
      </c>
      <c r="B486" s="56" t="s">
        <v>295</v>
      </c>
      <c r="C486" s="56" t="s">
        <v>3084</v>
      </c>
      <c r="D486" s="56" t="s">
        <v>388</v>
      </c>
      <c r="E486" s="56" t="s">
        <v>2939</v>
      </c>
      <c r="F486" s="56" t="s">
        <v>3085</v>
      </c>
      <c r="G486" s="56">
        <v>214</v>
      </c>
      <c r="H486" s="56">
        <v>179</v>
      </c>
      <c r="I486" s="74">
        <v>0.83644859813084116</v>
      </c>
      <c r="J486" s="56" t="s">
        <v>365</v>
      </c>
      <c r="K486" s="56" t="s">
        <v>1893</v>
      </c>
      <c r="L486" s="56" t="s">
        <v>2942</v>
      </c>
      <c r="M486" s="56" t="str">
        <f>HYPERLINK("https://dribble.octin.io/?mode=Single+log&amp;log_id=01eac3c2-9a39-471d-9caa-a9dea936fcf7","URL")</f>
        <v>URL</v>
      </c>
      <c r="N486" s="56" t="s">
        <v>2933</v>
      </c>
      <c r="O486" t="str">
        <f>_xlfn.XLOOKUP(N486,'Error-codes'!$C$2:$C$130,'Error-codes'!$B$2:$B$130, "None")</f>
        <v>inductive sensor error</v>
      </c>
      <c r="P486" t="s">
        <v>3086</v>
      </c>
      <c r="U486" s="81">
        <f>DATEVALUE(LEFT(F486,10))</f>
        <v>44897</v>
      </c>
    </row>
    <row r="487" spans="1:21" hidden="1">
      <c r="B487" s="56" t="s">
        <v>295</v>
      </c>
      <c r="C487" s="56" t="s">
        <v>3084</v>
      </c>
      <c r="D487" s="56" t="s">
        <v>388</v>
      </c>
      <c r="F487" s="56" t="s">
        <v>4623</v>
      </c>
      <c r="G487" s="56">
        <v>214</v>
      </c>
      <c r="H487" s="56">
        <v>213</v>
      </c>
      <c r="I487" s="74">
        <v>0.99532710280373837</v>
      </c>
      <c r="K487" s="56" t="s">
        <v>1893</v>
      </c>
      <c r="L487" s="56" t="s">
        <v>2942</v>
      </c>
      <c r="O487">
        <f>_xlfn.XLOOKUP(N487,'Error-codes'!$C$2:$C$130,'Error-codes'!$B$2:$B$130, "None")</f>
        <v>0</v>
      </c>
      <c r="U487" s="81">
        <f>DATEVALUE(LEFT(F487,10))</f>
        <v>44897</v>
      </c>
    </row>
    <row r="488" spans="1:21" hidden="1">
      <c r="A488" s="56"/>
      <c r="B488" s="56" t="s">
        <v>228</v>
      </c>
      <c r="C488" s="56" t="s">
        <v>4624</v>
      </c>
      <c r="D488" s="56" t="s">
        <v>37</v>
      </c>
      <c r="E488" s="56" t="s">
        <v>3204</v>
      </c>
      <c r="F488" s="56" t="s">
        <v>4625</v>
      </c>
      <c r="G488" s="56">
        <v>27</v>
      </c>
      <c r="H488" s="56">
        <v>1</v>
      </c>
      <c r="I488" s="74">
        <v>3.7037037037037035E-2</v>
      </c>
      <c r="J488" s="56" t="s">
        <v>4626</v>
      </c>
      <c r="K488" s="56" t="s">
        <v>3090</v>
      </c>
      <c r="L488" s="56" t="s">
        <v>2932</v>
      </c>
      <c r="N488" s="56" t="s">
        <v>3426</v>
      </c>
      <c r="O488" t="str">
        <f>_xlfn.XLOOKUP(N488,'Error-codes'!$C$2:$C$130,'Error-codes'!$B$2:$B$130, "None")</f>
        <v>low level fsm is no longer executing the given command</v>
      </c>
      <c r="U488" s="81">
        <f>DATEVALUE(LEFT(F488,10))</f>
        <v>44897</v>
      </c>
    </row>
    <row r="489" spans="1:21" hidden="1">
      <c r="A489" s="56" t="s">
        <v>4627</v>
      </c>
      <c r="B489" s="56" t="s">
        <v>228</v>
      </c>
      <c r="C489" s="56" t="s">
        <v>4628</v>
      </c>
      <c r="D489" s="56" t="s">
        <v>37</v>
      </c>
      <c r="E489" s="56" t="s">
        <v>3253</v>
      </c>
      <c r="F489" s="56" t="s">
        <v>4629</v>
      </c>
      <c r="G489" s="56">
        <v>27</v>
      </c>
      <c r="H489" s="56">
        <v>4</v>
      </c>
      <c r="I489" s="74">
        <v>0.14814814814814814</v>
      </c>
      <c r="J489" s="56" t="s">
        <v>3315</v>
      </c>
      <c r="K489" s="56" t="s">
        <v>3090</v>
      </c>
      <c r="L489" s="56" t="s">
        <v>2932</v>
      </c>
      <c r="M489" s="56" t="str">
        <f>HYPERLINK("https://dribble.octin.io/?mode=Single+log&amp;log_id=aa60efb5-985b-4b98-95a4-01adc1f3d435","URL")</f>
        <v>URL</v>
      </c>
      <c r="N489" s="56" t="s">
        <v>3454</v>
      </c>
      <c r="O489" t="str">
        <f>_xlfn.XLOOKUP(N489,'Error-codes'!$C$2:$C$130,'Error-codes'!$B$2:$B$130, "None")</f>
        <v>Veh low level FSM: safety was triggered</v>
      </c>
      <c r="U489" s="81">
        <f>DATEVALUE(LEFT(F489,10))</f>
        <v>44897</v>
      </c>
    </row>
    <row r="490" spans="1:21" hidden="1">
      <c r="A490" s="56"/>
      <c r="B490" s="56" t="s">
        <v>2886</v>
      </c>
      <c r="C490" s="56" t="s">
        <v>4630</v>
      </c>
      <c r="D490" s="56" t="s">
        <v>37</v>
      </c>
      <c r="E490" s="56" t="s">
        <v>4222</v>
      </c>
      <c r="F490" s="56" t="s">
        <v>4631</v>
      </c>
      <c r="G490" s="56">
        <v>46</v>
      </c>
      <c r="H490" s="56">
        <v>3</v>
      </c>
      <c r="I490" s="74">
        <v>6.5217391304347824E-2</v>
      </c>
      <c r="J490" s="56" t="s">
        <v>4356</v>
      </c>
      <c r="K490" s="56" t="s">
        <v>2166</v>
      </c>
      <c r="L490" s="56" t="s">
        <v>2932</v>
      </c>
      <c r="N490" s="56" t="s">
        <v>3458</v>
      </c>
      <c r="O490" t="str">
        <f>_xlfn.XLOOKUP(N490,'Error-codes'!$C$2:$C$130,'Error-codes'!$B$2:$B$130, "None")</f>
        <v>motor drive: UNDER VOLTAGE</v>
      </c>
      <c r="U490" s="81">
        <f>DATEVALUE(LEFT(F490,10))</f>
        <v>44897</v>
      </c>
    </row>
    <row r="491" spans="1:21" hidden="1">
      <c r="A491" s="56" t="s">
        <v>4632</v>
      </c>
      <c r="B491" s="56" t="s">
        <v>228</v>
      </c>
      <c r="C491" s="56" t="s">
        <v>4633</v>
      </c>
      <c r="D491" s="56" t="s">
        <v>37</v>
      </c>
      <c r="E491" s="56" t="s">
        <v>4351</v>
      </c>
      <c r="F491" s="56" t="s">
        <v>4634</v>
      </c>
      <c r="G491" s="56">
        <v>37</v>
      </c>
      <c r="H491" s="56">
        <v>7</v>
      </c>
      <c r="I491" s="74">
        <v>0.1891891891891892</v>
      </c>
      <c r="J491" s="56" t="s">
        <v>4635</v>
      </c>
      <c r="K491" s="56" t="s">
        <v>3090</v>
      </c>
      <c r="L491" s="56" t="s">
        <v>2932</v>
      </c>
      <c r="M491" s="56" t="str">
        <f>HYPERLINK("https://dribble.octin.io/?mode=Single+log&amp;log_id=e7c8dfa1-ed78-4d79-aec5-adff6908d7f6","URL")</f>
        <v>URL</v>
      </c>
      <c r="N491" s="56" t="s">
        <v>3472</v>
      </c>
      <c r="O491" t="str">
        <f>_xlfn.XLOOKUP(N491,'Error-codes'!$C$2:$C$130,'Error-codes'!$B$2:$B$130, "None")</f>
        <v>Excessive slip detected</v>
      </c>
      <c r="U491" s="81">
        <f>DATEVALUE(LEFT(F491,10))</f>
        <v>44897</v>
      </c>
    </row>
    <row r="492" spans="1:21" hidden="1">
      <c r="A492" s="56" t="s">
        <v>4636</v>
      </c>
      <c r="B492" s="56" t="s">
        <v>228</v>
      </c>
      <c r="C492" s="56" t="s">
        <v>4637</v>
      </c>
      <c r="D492" s="56" t="s">
        <v>388</v>
      </c>
      <c r="E492" s="56" t="s">
        <v>2939</v>
      </c>
      <c r="F492" s="56" t="s">
        <v>4638</v>
      </c>
      <c r="G492" s="56">
        <v>21</v>
      </c>
      <c r="H492" s="56">
        <v>1</v>
      </c>
      <c r="I492" s="74">
        <v>4.7619047619047616E-2</v>
      </c>
      <c r="J492" s="56" t="s">
        <v>3315</v>
      </c>
      <c r="K492" s="56" t="s">
        <v>3090</v>
      </c>
      <c r="L492" s="56" t="s">
        <v>2932</v>
      </c>
      <c r="M492" s="56" t="str">
        <f>HYPERLINK("https://dribble.octin.io/?mode=Single+log&amp;log_id=1c76649e-195d-405d-86e7-7e94222a2c6a","URL")</f>
        <v>URL</v>
      </c>
      <c r="N492" s="56" t="s">
        <v>3468</v>
      </c>
      <c r="O492" t="str">
        <f>_xlfn.XLOOKUP(N492,'Error-codes'!$C$2:$C$130,'Error-codes'!$B$2:$B$130, "None")</f>
        <v>no vision heartbeat</v>
      </c>
      <c r="U492" s="81">
        <f>DATEVALUE(LEFT(F492,10))</f>
        <v>44897</v>
      </c>
    </row>
    <row r="493" spans="1:21" hidden="1">
      <c r="A493" s="56"/>
      <c r="B493" s="56" t="s">
        <v>2886</v>
      </c>
      <c r="C493" s="56" t="s">
        <v>4639</v>
      </c>
      <c r="D493" s="56" t="s">
        <v>37</v>
      </c>
      <c r="E493" s="56" t="s">
        <v>4415</v>
      </c>
      <c r="F493" s="56" t="s">
        <v>4640</v>
      </c>
      <c r="G493" s="56">
        <v>42</v>
      </c>
      <c r="H493" s="56">
        <v>1</v>
      </c>
      <c r="I493" s="74">
        <v>2.3809523809523808E-2</v>
      </c>
      <c r="J493" s="56" t="s">
        <v>4641</v>
      </c>
      <c r="K493" s="56" t="s">
        <v>3090</v>
      </c>
      <c r="L493" s="56" t="s">
        <v>2932</v>
      </c>
      <c r="N493" s="56" t="s">
        <v>3468</v>
      </c>
      <c r="O493" t="str">
        <f>_xlfn.XLOOKUP(N493,'Error-codes'!$C$2:$C$130,'Error-codes'!$B$2:$B$130, "None")</f>
        <v>no vision heartbeat</v>
      </c>
      <c r="U493" s="81">
        <f>DATEVALUE(LEFT(F493,10))</f>
        <v>44897</v>
      </c>
    </row>
    <row r="494" spans="1:21" hidden="1">
      <c r="A494" s="56"/>
      <c r="B494" s="56" t="s">
        <v>2886</v>
      </c>
      <c r="C494" s="56" t="s">
        <v>4642</v>
      </c>
      <c r="D494" s="56" t="s">
        <v>37</v>
      </c>
      <c r="E494" s="56" t="s">
        <v>4415</v>
      </c>
      <c r="F494" s="56" t="s">
        <v>4643</v>
      </c>
      <c r="G494" s="56">
        <v>38</v>
      </c>
      <c r="H494" s="56">
        <v>1</v>
      </c>
      <c r="I494" s="74">
        <v>2.6315789473684209E-2</v>
      </c>
      <c r="J494" s="56" t="s">
        <v>4641</v>
      </c>
      <c r="K494" s="56" t="s">
        <v>3090</v>
      </c>
      <c r="L494" s="56" t="s">
        <v>2932</v>
      </c>
      <c r="N494" s="56" t="s">
        <v>3468</v>
      </c>
      <c r="O494" t="str">
        <f>_xlfn.XLOOKUP(N494,'Error-codes'!$C$2:$C$130,'Error-codes'!$B$2:$B$130, "None")</f>
        <v>no vision heartbeat</v>
      </c>
      <c r="U494" s="81">
        <f>DATEVALUE(LEFT(F494,10))</f>
        <v>44897</v>
      </c>
    </row>
    <row r="495" spans="1:21" hidden="1">
      <c r="A495" s="56" t="s">
        <v>4644</v>
      </c>
      <c r="B495" s="56" t="s">
        <v>228</v>
      </c>
      <c r="C495" s="56" t="s">
        <v>4637</v>
      </c>
      <c r="D495" s="56" t="s">
        <v>388</v>
      </c>
      <c r="E495" s="56" t="s">
        <v>2939</v>
      </c>
      <c r="F495" s="56" t="s">
        <v>4645</v>
      </c>
      <c r="G495" s="56">
        <v>21</v>
      </c>
      <c r="H495" s="56">
        <v>12</v>
      </c>
      <c r="I495" s="74">
        <v>0.5714285714285714</v>
      </c>
      <c r="J495" s="56" t="s">
        <v>4646</v>
      </c>
      <c r="K495" s="56" t="s">
        <v>3090</v>
      </c>
      <c r="L495" s="56" t="s">
        <v>2932</v>
      </c>
      <c r="M495" s="56" t="str">
        <f>HYPERLINK("https://dribble.octin.io/?mode=Single+log&amp;log_id=f1a55604-4d93-4389-8ad1-ae25a3ebe3b8","URL")</f>
        <v>URL</v>
      </c>
      <c r="N495" s="56" t="s">
        <v>3440</v>
      </c>
      <c r="O495" t="str">
        <f>_xlfn.XLOOKUP(N495,'Error-codes'!$C$2:$C$130,'Error-codes'!$B$2:$B$130, "None")</f>
        <v>Trajectory generation timeout</v>
      </c>
      <c r="U495" s="81">
        <f>DATEVALUE(LEFT(F495,10))</f>
        <v>44897</v>
      </c>
    </row>
    <row r="496" spans="1:21" hidden="1">
      <c r="B496" s="56" t="s">
        <v>228</v>
      </c>
      <c r="C496" s="56" t="s">
        <v>4637</v>
      </c>
      <c r="D496" s="56" t="s">
        <v>388</v>
      </c>
      <c r="F496" s="56" t="s">
        <v>4647</v>
      </c>
      <c r="G496" s="56">
        <v>21</v>
      </c>
      <c r="H496" s="56">
        <v>19</v>
      </c>
      <c r="I496" s="74">
        <v>0.90476190476190477</v>
      </c>
      <c r="K496" s="56" t="s">
        <v>3090</v>
      </c>
      <c r="L496" s="56" t="s">
        <v>2932</v>
      </c>
      <c r="O496">
        <f>_xlfn.XLOOKUP(N496,'Error-codes'!$C$2:$C$130,'Error-codes'!$B$2:$B$130, "None")</f>
        <v>0</v>
      </c>
      <c r="U496" s="81">
        <f>DATEVALUE(LEFT(F496,10))</f>
        <v>44897</v>
      </c>
    </row>
    <row r="497" spans="1:21" hidden="1">
      <c r="A497" s="56" t="s">
        <v>4648</v>
      </c>
      <c r="B497" s="56" t="s">
        <v>228</v>
      </c>
      <c r="C497" s="56" t="s">
        <v>4649</v>
      </c>
      <c r="D497" s="56" t="s">
        <v>37</v>
      </c>
      <c r="E497" s="56" t="s">
        <v>4650</v>
      </c>
      <c r="F497" s="56" t="s">
        <v>4651</v>
      </c>
      <c r="G497" s="56">
        <v>13</v>
      </c>
      <c r="H497" s="56">
        <v>1</v>
      </c>
      <c r="I497" s="74">
        <v>7.6923076923076927E-2</v>
      </c>
      <c r="J497" s="56" t="s">
        <v>4652</v>
      </c>
      <c r="K497" s="56" t="s">
        <v>3090</v>
      </c>
      <c r="L497" s="56" t="s">
        <v>2932</v>
      </c>
      <c r="M497" s="56" t="str">
        <f>HYPERLINK("https://dribble.octin.io/?mode=Single+log&amp;log_id=0f1d6f71-ea13-4c43-9987-740dcc2884c7","URL")</f>
        <v>URL</v>
      </c>
      <c r="N497" s="56" t="s">
        <v>3440</v>
      </c>
      <c r="O497" t="str">
        <f>_xlfn.XLOOKUP(N497,'Error-codes'!$C$2:$C$130,'Error-codes'!$B$2:$B$130, "None")</f>
        <v>Trajectory generation timeout</v>
      </c>
      <c r="U497" s="81">
        <f>DATEVALUE(LEFT(F497,10))</f>
        <v>44897</v>
      </c>
    </row>
    <row r="498" spans="1:21" hidden="1">
      <c r="A498" s="56"/>
      <c r="B498" s="56" t="s">
        <v>2886</v>
      </c>
      <c r="C498" s="56" t="s">
        <v>4653</v>
      </c>
      <c r="D498" s="56" t="s">
        <v>37</v>
      </c>
      <c r="E498" s="56" t="s">
        <v>4650</v>
      </c>
      <c r="F498" s="56" t="s">
        <v>4654</v>
      </c>
      <c r="G498" s="56">
        <v>38</v>
      </c>
      <c r="H498" s="56">
        <v>28</v>
      </c>
      <c r="I498" s="74">
        <v>0.73684210526315785</v>
      </c>
      <c r="J498" s="56" t="s">
        <v>4655</v>
      </c>
      <c r="K498" s="56" t="s">
        <v>3090</v>
      </c>
      <c r="L498" s="56" t="s">
        <v>2932</v>
      </c>
      <c r="N498" s="56" t="s">
        <v>3440</v>
      </c>
      <c r="O498" t="str">
        <f>_xlfn.XLOOKUP(N498,'Error-codes'!$C$2:$C$130,'Error-codes'!$B$2:$B$130, "None")</f>
        <v>Trajectory generation timeout</v>
      </c>
      <c r="U498" s="81">
        <f>DATEVALUE(LEFT(F498,10))</f>
        <v>44897</v>
      </c>
    </row>
    <row r="499" spans="1:21" hidden="1">
      <c r="B499" s="56" t="s">
        <v>228</v>
      </c>
      <c r="C499" s="56" t="s">
        <v>4656</v>
      </c>
      <c r="D499" s="56" t="s">
        <v>22</v>
      </c>
      <c r="F499" s="56" t="s">
        <v>4657</v>
      </c>
      <c r="G499" s="56">
        <v>10</v>
      </c>
      <c r="H499" s="56">
        <v>6</v>
      </c>
      <c r="I499" s="74">
        <v>0.6</v>
      </c>
      <c r="K499" s="56" t="s">
        <v>3090</v>
      </c>
      <c r="L499" s="56" t="s">
        <v>2932</v>
      </c>
      <c r="O499">
        <f>_xlfn.XLOOKUP(N499,'Error-codes'!$C$2:$C$130,'Error-codes'!$B$2:$B$130, "None")</f>
        <v>0</v>
      </c>
      <c r="U499" s="81">
        <f>DATEVALUE(LEFT(F499,10))</f>
        <v>44897</v>
      </c>
    </row>
    <row r="500" spans="1:21" hidden="1">
      <c r="B500" s="56" t="s">
        <v>2886</v>
      </c>
      <c r="C500" s="56" t="s">
        <v>4658</v>
      </c>
      <c r="D500" s="56" t="s">
        <v>388</v>
      </c>
      <c r="F500" s="56" t="s">
        <v>4659</v>
      </c>
      <c r="G500" s="56">
        <v>3</v>
      </c>
      <c r="H500" s="56">
        <v>3</v>
      </c>
      <c r="I500" s="74">
        <v>1</v>
      </c>
      <c r="K500" s="56" t="s">
        <v>2166</v>
      </c>
      <c r="L500" s="56" t="s">
        <v>2932</v>
      </c>
      <c r="O500">
        <f>_xlfn.XLOOKUP(N500,'Error-codes'!$C$2:$C$130,'Error-codes'!$B$2:$B$130, "None")</f>
        <v>0</v>
      </c>
      <c r="U500" s="81">
        <f>DATEVALUE(LEFT(F500,10))</f>
        <v>44897</v>
      </c>
    </row>
    <row r="501" spans="1:21" hidden="1">
      <c r="B501" s="56" t="s">
        <v>228</v>
      </c>
      <c r="C501" s="56" t="s">
        <v>4660</v>
      </c>
      <c r="D501" s="56" t="s">
        <v>22</v>
      </c>
      <c r="F501" s="56" t="s">
        <v>4661</v>
      </c>
      <c r="G501" s="56">
        <v>89</v>
      </c>
      <c r="H501" s="56">
        <v>1</v>
      </c>
      <c r="I501" s="74">
        <v>1.1235955056179775E-2</v>
      </c>
      <c r="K501" s="56" t="s">
        <v>3103</v>
      </c>
      <c r="L501" s="56" t="s">
        <v>2932</v>
      </c>
      <c r="O501">
        <f>_xlfn.XLOOKUP(N501,'Error-codes'!$C$2:$C$130,'Error-codes'!$B$2:$B$130, "None")</f>
        <v>0</v>
      </c>
      <c r="U501" s="81">
        <f>DATEVALUE(LEFT(F501,10))</f>
        <v>44897</v>
      </c>
    </row>
    <row r="502" spans="1:21" hidden="1">
      <c r="A502" s="56" t="s">
        <v>4662</v>
      </c>
      <c r="B502" s="56" t="s">
        <v>2886</v>
      </c>
      <c r="C502" s="56" t="s">
        <v>4663</v>
      </c>
      <c r="D502" s="56" t="s">
        <v>37</v>
      </c>
      <c r="E502" s="56" t="s">
        <v>4650</v>
      </c>
      <c r="F502" s="56" t="s">
        <v>4664</v>
      </c>
      <c r="G502" s="56">
        <v>9</v>
      </c>
      <c r="H502" s="56">
        <v>5</v>
      </c>
      <c r="I502" s="74">
        <v>0.55555555555555558</v>
      </c>
      <c r="J502" s="56" t="s">
        <v>3315</v>
      </c>
      <c r="K502" s="56" t="s">
        <v>3090</v>
      </c>
      <c r="L502" s="56" t="s">
        <v>2932</v>
      </c>
      <c r="M502" s="56" t="str">
        <f>HYPERLINK("https://dribble.octin.io/?mode=Single+log&amp;log_id=d907ac13-be5e-4a99-88f3-e2169a6e95da","URL")</f>
        <v>URL</v>
      </c>
      <c r="N502" s="56" t="s">
        <v>3454</v>
      </c>
      <c r="O502" t="str">
        <f>_xlfn.XLOOKUP(N502,'Error-codes'!$C$2:$C$130,'Error-codes'!$B$2:$B$130, "None")</f>
        <v>Veh low level FSM: safety was triggered</v>
      </c>
      <c r="P502" t="s">
        <v>4665</v>
      </c>
      <c r="S502" s="46" t="s">
        <v>4666</v>
      </c>
      <c r="U502" s="81">
        <f>DATEVALUE(LEFT(F502,10))</f>
        <v>44897</v>
      </c>
    </row>
    <row r="503" spans="1:21" hidden="1">
      <c r="B503" s="56" t="s">
        <v>2886</v>
      </c>
      <c r="C503" s="56" t="s">
        <v>4667</v>
      </c>
      <c r="D503" s="56"/>
      <c r="F503" s="56" t="s">
        <v>4668</v>
      </c>
      <c r="G503" s="56">
        <v>55</v>
      </c>
      <c r="H503" s="56">
        <v>14</v>
      </c>
      <c r="I503" s="74">
        <v>0.25454545454545452</v>
      </c>
      <c r="K503" s="56" t="s">
        <v>3090</v>
      </c>
      <c r="L503" s="56" t="s">
        <v>2932</v>
      </c>
      <c r="O503">
        <f>_xlfn.XLOOKUP(N503,'Error-codes'!$C$2:$C$130,'Error-codes'!$B$2:$B$130, "None")</f>
        <v>0</v>
      </c>
      <c r="U503" s="81">
        <f>DATEVALUE(LEFT(F503,10))</f>
        <v>44897</v>
      </c>
    </row>
    <row r="504" spans="1:21" hidden="1">
      <c r="A504" s="56"/>
      <c r="B504" s="56" t="s">
        <v>228</v>
      </c>
      <c r="C504" s="56" t="s">
        <v>4669</v>
      </c>
      <c r="D504" s="56" t="s">
        <v>37</v>
      </c>
      <c r="E504" s="56" t="s">
        <v>3253</v>
      </c>
      <c r="F504" s="56" t="s">
        <v>4670</v>
      </c>
      <c r="G504" s="56">
        <v>89</v>
      </c>
      <c r="H504" s="56">
        <v>25</v>
      </c>
      <c r="I504" s="74">
        <v>0.2808988764044944</v>
      </c>
      <c r="J504" s="56" t="s">
        <v>4671</v>
      </c>
      <c r="K504" s="56" t="s">
        <v>3103</v>
      </c>
      <c r="L504" s="56" t="s">
        <v>2932</v>
      </c>
      <c r="N504" s="56" t="s">
        <v>3454</v>
      </c>
      <c r="O504" t="str">
        <f>_xlfn.XLOOKUP(N504,'Error-codes'!$C$2:$C$130,'Error-codes'!$B$2:$B$130, "None")</f>
        <v>Veh low level FSM: safety was triggered</v>
      </c>
      <c r="U504" s="81">
        <f>DATEVALUE(LEFT(F504,10))</f>
        <v>44897</v>
      </c>
    </row>
    <row r="505" spans="1:21" hidden="1">
      <c r="B505" s="56" t="s">
        <v>228</v>
      </c>
      <c r="C505" s="56" t="s">
        <v>4672</v>
      </c>
      <c r="D505" s="56" t="s">
        <v>22</v>
      </c>
      <c r="F505" s="56" t="s">
        <v>4673</v>
      </c>
      <c r="G505" s="56">
        <v>26</v>
      </c>
      <c r="H505" s="56">
        <v>1</v>
      </c>
      <c r="I505" s="74">
        <v>3.8461538461538464E-2</v>
      </c>
      <c r="K505" s="56" t="s">
        <v>2171</v>
      </c>
      <c r="L505" s="56" t="s">
        <v>2932</v>
      </c>
      <c r="O505">
        <f>_xlfn.XLOOKUP(N505,'Error-codes'!$C$2:$C$130,'Error-codes'!$B$2:$B$130, "None")</f>
        <v>0</v>
      </c>
      <c r="U505" s="81">
        <f>DATEVALUE(LEFT(F505,10))</f>
        <v>44897</v>
      </c>
    </row>
    <row r="506" spans="1:21" hidden="1">
      <c r="A506" s="56" t="s">
        <v>4674</v>
      </c>
      <c r="B506" s="56" t="s">
        <v>228</v>
      </c>
      <c r="C506" s="56" t="s">
        <v>4675</v>
      </c>
      <c r="D506" s="56" t="s">
        <v>37</v>
      </c>
      <c r="E506" s="56" t="s">
        <v>4228</v>
      </c>
      <c r="F506" s="56" t="s">
        <v>4676</v>
      </c>
      <c r="G506" s="56">
        <v>21</v>
      </c>
      <c r="H506" s="56">
        <v>3</v>
      </c>
      <c r="I506" s="74">
        <v>0.14285714285714285</v>
      </c>
      <c r="J506" s="56" t="s">
        <v>4677</v>
      </c>
      <c r="K506" s="56" t="s">
        <v>2171</v>
      </c>
      <c r="L506" s="56" t="s">
        <v>2932</v>
      </c>
      <c r="M506" s="56" t="str">
        <f>HYPERLINK("https://dribble.octin.io/?mode=Single+log&amp;log_id=7ca7916b-258e-4fa3-9e1a-226f6d817445","URL")</f>
        <v>URL</v>
      </c>
      <c r="N506" s="56" t="s">
        <v>3454</v>
      </c>
      <c r="O506" t="str">
        <f>_xlfn.XLOOKUP(N506,'Error-codes'!$C$2:$C$130,'Error-codes'!$B$2:$B$130, "None")</f>
        <v>Veh low level FSM: safety was triggered</v>
      </c>
      <c r="U506" s="81">
        <f>DATEVALUE(LEFT(F506,10))</f>
        <v>44897</v>
      </c>
    </row>
    <row r="507" spans="1:21" hidden="1">
      <c r="A507" s="56"/>
      <c r="B507" s="56" t="s">
        <v>2886</v>
      </c>
      <c r="C507" s="56" t="s">
        <v>4678</v>
      </c>
      <c r="D507" s="56" t="s">
        <v>4149</v>
      </c>
      <c r="E507" s="56" t="s">
        <v>2939</v>
      </c>
      <c r="F507" s="56" t="s">
        <v>4679</v>
      </c>
      <c r="G507" s="56">
        <v>11</v>
      </c>
      <c r="H507" s="56">
        <v>2</v>
      </c>
      <c r="I507" s="74">
        <v>0.18181818181818182</v>
      </c>
      <c r="J507" s="56" t="s">
        <v>2422</v>
      </c>
      <c r="K507" s="56" t="s">
        <v>2166</v>
      </c>
      <c r="L507" s="56" t="s">
        <v>2932</v>
      </c>
      <c r="N507" s="56" t="s">
        <v>3472</v>
      </c>
      <c r="O507" t="str">
        <f>_xlfn.XLOOKUP(N507,'Error-codes'!$C$2:$C$130,'Error-codes'!$B$2:$B$130, "None")</f>
        <v>Excessive slip detected</v>
      </c>
      <c r="U507" s="81">
        <f>DATEVALUE(LEFT(F507,10))</f>
        <v>44897</v>
      </c>
    </row>
    <row r="508" spans="1:21" hidden="1">
      <c r="B508" s="56" t="s">
        <v>228</v>
      </c>
      <c r="C508" s="56" t="s">
        <v>4680</v>
      </c>
      <c r="D508" s="56" t="s">
        <v>22</v>
      </c>
      <c r="F508" s="56" t="s">
        <v>4681</v>
      </c>
      <c r="G508" s="56">
        <v>34</v>
      </c>
      <c r="H508" s="56">
        <v>8</v>
      </c>
      <c r="I508" s="74">
        <v>0.23529411764705882</v>
      </c>
      <c r="K508" s="56" t="s">
        <v>3103</v>
      </c>
      <c r="L508" s="56" t="s">
        <v>2932</v>
      </c>
      <c r="O508">
        <f>_xlfn.XLOOKUP(N508,'Error-codes'!$C$2:$C$130,'Error-codes'!$B$2:$B$130, "None")</f>
        <v>0</v>
      </c>
      <c r="U508" s="81">
        <f>DATEVALUE(LEFT(F508,10))</f>
        <v>44897</v>
      </c>
    </row>
    <row r="509" spans="1:21" hidden="1">
      <c r="A509" s="56"/>
      <c r="B509" s="56" t="s">
        <v>2886</v>
      </c>
      <c r="C509" s="56" t="s">
        <v>4682</v>
      </c>
      <c r="D509" s="56" t="s">
        <v>37</v>
      </c>
      <c r="E509" s="56" t="s">
        <v>2939</v>
      </c>
      <c r="F509" s="56" t="s">
        <v>4683</v>
      </c>
      <c r="G509" s="56">
        <v>43</v>
      </c>
      <c r="H509" s="56">
        <v>1</v>
      </c>
      <c r="I509" s="74">
        <v>2.3255813953488372E-2</v>
      </c>
      <c r="J509" s="56" t="s">
        <v>4684</v>
      </c>
      <c r="K509" s="56" t="s">
        <v>2171</v>
      </c>
      <c r="L509" s="56" t="s">
        <v>2932</v>
      </c>
      <c r="N509" s="56" t="s">
        <v>3472</v>
      </c>
      <c r="O509" t="str">
        <f>_xlfn.XLOOKUP(N509,'Error-codes'!$C$2:$C$130,'Error-codes'!$B$2:$B$130, "None")</f>
        <v>Excessive slip detected</v>
      </c>
      <c r="U509" s="81">
        <f>DATEVALUE(LEFT(F509,10))</f>
        <v>44897</v>
      </c>
    </row>
    <row r="510" spans="1:21" hidden="1">
      <c r="A510" s="56" t="s">
        <v>4685</v>
      </c>
      <c r="B510" s="56" t="s">
        <v>228</v>
      </c>
      <c r="C510" s="56" t="s">
        <v>4686</v>
      </c>
      <c r="D510" s="56" t="s">
        <v>37</v>
      </c>
      <c r="E510" s="56" t="s">
        <v>2939</v>
      </c>
      <c r="F510" s="56" t="s">
        <v>4687</v>
      </c>
      <c r="G510" s="56">
        <v>31</v>
      </c>
      <c r="H510" s="56">
        <v>7</v>
      </c>
      <c r="I510" s="74">
        <v>0.22580645161290322</v>
      </c>
      <c r="J510" s="56" t="s">
        <v>4688</v>
      </c>
      <c r="K510" s="56" t="s">
        <v>2171</v>
      </c>
      <c r="L510" s="56" t="s">
        <v>2932</v>
      </c>
      <c r="M510" s="56" t="str">
        <f>HYPERLINK("https://dribble.octin.io/?mode=Single+log&amp;log_id=9fc6a8b8-ea4a-4d41-8a76-70c9f7c5cdf9","URL")</f>
        <v>URL</v>
      </c>
      <c r="N510" s="56" t="s">
        <v>3438</v>
      </c>
      <c r="O510" t="str">
        <f>_xlfn.XLOOKUP(N510,'Error-codes'!$C$2:$C$130,'Error-codes'!$B$2:$B$130, "None")</f>
        <v>Failed to find feasible path</v>
      </c>
      <c r="U510" s="81">
        <f>DATEVALUE(LEFT(F510,10))</f>
        <v>44897</v>
      </c>
    </row>
    <row r="511" spans="1:21" hidden="1">
      <c r="A511" s="56" t="s">
        <v>4689</v>
      </c>
      <c r="B511" s="56" t="s">
        <v>228</v>
      </c>
      <c r="C511" s="56" t="s">
        <v>4686</v>
      </c>
      <c r="D511" s="56" t="s">
        <v>37</v>
      </c>
      <c r="E511" s="56" t="s">
        <v>4690</v>
      </c>
      <c r="F511" s="56" t="s">
        <v>4691</v>
      </c>
      <c r="G511" s="56">
        <v>31</v>
      </c>
      <c r="H511" s="56">
        <v>9</v>
      </c>
      <c r="I511" s="74">
        <v>0.29032258064516131</v>
      </c>
      <c r="J511" s="56" t="s">
        <v>4688</v>
      </c>
      <c r="K511" s="56" t="s">
        <v>2171</v>
      </c>
      <c r="L511" s="56" t="s">
        <v>2932</v>
      </c>
      <c r="M511" s="56" t="str">
        <f>HYPERLINK("https://dribble.octin.io/?mode=Single+log&amp;log_id=4b087083-2bd1-4fb1-bea5-5a845be8813c","URL")</f>
        <v>URL</v>
      </c>
      <c r="N511" s="56" t="s">
        <v>3438</v>
      </c>
      <c r="O511" t="str">
        <f>_xlfn.XLOOKUP(N511,'Error-codes'!$C$2:$C$130,'Error-codes'!$B$2:$B$130, "None")</f>
        <v>Failed to find feasible path</v>
      </c>
      <c r="U511" s="81">
        <f>DATEVALUE(LEFT(F511,10))</f>
        <v>44897</v>
      </c>
    </row>
    <row r="512" spans="1:21" hidden="1">
      <c r="A512" s="56" t="s">
        <v>4692</v>
      </c>
      <c r="B512" s="56" t="s">
        <v>228</v>
      </c>
      <c r="C512" s="56" t="s">
        <v>4693</v>
      </c>
      <c r="D512" s="56" t="s">
        <v>37</v>
      </c>
      <c r="E512" s="56" t="s">
        <v>2939</v>
      </c>
      <c r="F512" s="56" t="s">
        <v>4694</v>
      </c>
      <c r="G512" s="56">
        <v>15</v>
      </c>
      <c r="H512" s="56">
        <v>1</v>
      </c>
      <c r="I512" s="74">
        <v>6.6666666666666666E-2</v>
      </c>
      <c r="J512" s="56" t="s">
        <v>4688</v>
      </c>
      <c r="K512" s="56" t="s">
        <v>3103</v>
      </c>
      <c r="L512" s="56" t="s">
        <v>2932</v>
      </c>
      <c r="M512" s="56" t="str">
        <f>HYPERLINK("https://dribble.octin.io/?mode=Single+log&amp;log_id=890cd30c-a708-4d6a-a7e4-62c2c9b874f7","URL")</f>
        <v>URL</v>
      </c>
      <c r="N512" s="56" t="s">
        <v>3442</v>
      </c>
      <c r="O512" t="str">
        <f>_xlfn.XLOOKUP(N512,'Error-codes'!$C$2:$C$130,'Error-codes'!$B$2:$B$130, "None")</f>
        <v>vehicle diverged too far from trajectory</v>
      </c>
      <c r="U512" s="81">
        <f>DATEVALUE(LEFT(F512,10))</f>
        <v>44897</v>
      </c>
    </row>
    <row r="513" spans="1:21" hidden="1">
      <c r="A513" s="56" t="s">
        <v>4692</v>
      </c>
      <c r="B513" s="56" t="s">
        <v>228</v>
      </c>
      <c r="C513" s="56" t="s">
        <v>4693</v>
      </c>
      <c r="D513" s="56" t="s">
        <v>37</v>
      </c>
      <c r="E513" s="56" t="s">
        <v>4695</v>
      </c>
      <c r="F513" s="56" t="s">
        <v>4694</v>
      </c>
      <c r="G513" s="56">
        <v>15</v>
      </c>
      <c r="H513" s="56">
        <v>3</v>
      </c>
      <c r="I513" s="74">
        <v>0.2</v>
      </c>
      <c r="J513" s="56" t="s">
        <v>4696</v>
      </c>
      <c r="K513" s="56" t="s">
        <v>3103</v>
      </c>
      <c r="L513" s="56" t="s">
        <v>2932</v>
      </c>
      <c r="M513" s="56" t="str">
        <f>HYPERLINK("https://dribble.octin.io/?mode=Single+log&amp;log_id=890cd30c-a708-4d6a-a7e4-62c2c9b874f7","URL")</f>
        <v>URL</v>
      </c>
      <c r="N513" s="56" t="s">
        <v>3442</v>
      </c>
      <c r="O513" t="str">
        <f>_xlfn.XLOOKUP(N513,'Error-codes'!$C$2:$C$130,'Error-codes'!$B$2:$B$130, "None")</f>
        <v>vehicle diverged too far from trajectory</v>
      </c>
      <c r="U513" s="81">
        <f>DATEVALUE(LEFT(F513,10))</f>
        <v>44897</v>
      </c>
    </row>
    <row r="514" spans="1:21" hidden="1">
      <c r="A514" s="56" t="s">
        <v>4692</v>
      </c>
      <c r="B514" s="56" t="s">
        <v>228</v>
      </c>
      <c r="C514" s="56" t="s">
        <v>4697</v>
      </c>
      <c r="D514" s="56" t="s">
        <v>37</v>
      </c>
      <c r="E514" s="56" t="s">
        <v>4690</v>
      </c>
      <c r="F514" s="56" t="s">
        <v>4694</v>
      </c>
      <c r="G514" s="56">
        <v>5</v>
      </c>
      <c r="H514" s="56">
        <v>1</v>
      </c>
      <c r="I514" s="74">
        <v>0.2</v>
      </c>
      <c r="J514" s="56" t="s">
        <v>3315</v>
      </c>
      <c r="K514" s="56" t="s">
        <v>2171</v>
      </c>
      <c r="L514" s="56" t="s">
        <v>2932</v>
      </c>
      <c r="M514" s="56" t="str">
        <f>HYPERLINK("https://dribble.octin.io/?mode=Single+log&amp;log_id=890cd30c-a708-4d6a-a7e4-62c2c9b874f7","URL")</f>
        <v>URL</v>
      </c>
      <c r="N514" s="56" t="s">
        <v>3468</v>
      </c>
      <c r="O514" t="str">
        <f>_xlfn.XLOOKUP(N514,'Error-codes'!$C$2:$C$130,'Error-codes'!$B$2:$B$130, "None")</f>
        <v>no vision heartbeat</v>
      </c>
      <c r="U514" s="81">
        <f>DATEVALUE(LEFT(F514,10))</f>
        <v>44897</v>
      </c>
    </row>
    <row r="515" spans="1:21" hidden="1">
      <c r="A515" s="56" t="s">
        <v>4698</v>
      </c>
      <c r="B515" s="56" t="s">
        <v>228</v>
      </c>
      <c r="C515" s="56" t="s">
        <v>4699</v>
      </c>
      <c r="D515" s="56" t="s">
        <v>37</v>
      </c>
      <c r="E515" s="56" t="s">
        <v>2939</v>
      </c>
      <c r="F515" s="56" t="s">
        <v>4700</v>
      </c>
      <c r="G515" s="56">
        <v>14</v>
      </c>
      <c r="H515" s="56">
        <v>1</v>
      </c>
      <c r="I515" s="74">
        <v>7.1428571428571425E-2</v>
      </c>
      <c r="J515" s="56" t="s">
        <v>4696</v>
      </c>
      <c r="K515" s="56" t="s">
        <v>3103</v>
      </c>
      <c r="L515" s="56" t="s">
        <v>2932</v>
      </c>
      <c r="M515" s="56" t="str">
        <f>HYPERLINK("https://dribble.octin.io/?mode=Single+log&amp;log_id=8c05c9d7-8963-4cac-9dd6-a62b6416d301","URL")</f>
        <v>URL</v>
      </c>
      <c r="N515" s="56" t="s">
        <v>3442</v>
      </c>
      <c r="O515" t="str">
        <f>_xlfn.XLOOKUP(N515,'Error-codes'!$C$2:$C$130,'Error-codes'!$B$2:$B$130, "None")</f>
        <v>vehicle diverged too far from trajectory</v>
      </c>
      <c r="U515" s="81">
        <f>DATEVALUE(LEFT(F515,10))</f>
        <v>44897</v>
      </c>
    </row>
    <row r="516" spans="1:21" hidden="1">
      <c r="A516" s="56" t="s">
        <v>4698</v>
      </c>
      <c r="B516" s="56" t="s">
        <v>228</v>
      </c>
      <c r="C516" s="56" t="s">
        <v>4699</v>
      </c>
      <c r="D516" s="56" t="s">
        <v>37</v>
      </c>
      <c r="E516" s="56" t="s">
        <v>4701</v>
      </c>
      <c r="F516" s="56" t="s">
        <v>4700</v>
      </c>
      <c r="G516" s="56">
        <v>14</v>
      </c>
      <c r="H516" s="56">
        <v>3</v>
      </c>
      <c r="I516" s="74">
        <v>0.21428571428571427</v>
      </c>
      <c r="J516" s="56" t="s">
        <v>4702</v>
      </c>
      <c r="K516" s="56" t="s">
        <v>3103</v>
      </c>
      <c r="L516" s="56" t="s">
        <v>2932</v>
      </c>
      <c r="M516" s="56" t="str">
        <f>HYPERLINK("https://dribble.octin.io/?mode=Single+log&amp;log_id=8c05c9d7-8963-4cac-9dd6-a62b6416d301","URL")</f>
        <v>URL</v>
      </c>
      <c r="N516" s="56" t="s">
        <v>3436</v>
      </c>
      <c r="O516" t="str">
        <f>_xlfn.XLOOKUP(N516,'Error-codes'!$C$2:$C$130,'Error-codes'!$B$2:$B$130, "None")</f>
        <v>Obstacle avoidance (AStar) timeout</v>
      </c>
      <c r="U516" s="81">
        <f>DATEVALUE(LEFT(F516,10))</f>
        <v>44897</v>
      </c>
    </row>
    <row r="517" spans="1:21" hidden="1">
      <c r="B517" s="56" t="s">
        <v>228</v>
      </c>
      <c r="C517" s="56" t="s">
        <v>4703</v>
      </c>
      <c r="D517" s="56" t="s">
        <v>22</v>
      </c>
      <c r="F517" s="56" t="s">
        <v>4704</v>
      </c>
      <c r="G517" s="56">
        <v>6</v>
      </c>
      <c r="H517" s="56">
        <v>1</v>
      </c>
      <c r="I517" s="74">
        <v>0.16666666666666666</v>
      </c>
      <c r="K517" s="56" t="s">
        <v>2171</v>
      </c>
      <c r="L517" s="56" t="s">
        <v>2932</v>
      </c>
      <c r="O517">
        <f>_xlfn.XLOOKUP(N517,'Error-codes'!$C$2:$C$130,'Error-codes'!$B$2:$B$130, "None")</f>
        <v>0</v>
      </c>
      <c r="U517" s="81">
        <f>DATEVALUE(LEFT(F517,10))</f>
        <v>44897</v>
      </c>
    </row>
    <row r="518" spans="1:21" hidden="1">
      <c r="A518" s="56"/>
      <c r="B518" s="56" t="s">
        <v>2886</v>
      </c>
      <c r="C518" s="56" t="s">
        <v>4682</v>
      </c>
      <c r="D518" s="56" t="s">
        <v>37</v>
      </c>
      <c r="E518" s="56" t="s">
        <v>4690</v>
      </c>
      <c r="F518" s="56" t="s">
        <v>4705</v>
      </c>
      <c r="G518" s="56">
        <v>43</v>
      </c>
      <c r="H518" s="56">
        <v>10</v>
      </c>
      <c r="I518" s="74">
        <v>0.23255813953488372</v>
      </c>
      <c r="J518" s="56" t="s">
        <v>4706</v>
      </c>
      <c r="K518" s="56" t="s">
        <v>2171</v>
      </c>
      <c r="L518" s="56" t="s">
        <v>2932</v>
      </c>
      <c r="N518" s="56" t="s">
        <v>3438</v>
      </c>
      <c r="O518" t="str">
        <f>_xlfn.XLOOKUP(N518,'Error-codes'!$C$2:$C$130,'Error-codes'!$B$2:$B$130, "None")</f>
        <v>Failed to find feasible path</v>
      </c>
      <c r="U518" s="81">
        <f>DATEVALUE(LEFT(F518,10))</f>
        <v>44897</v>
      </c>
    </row>
    <row r="519" spans="1:21" hidden="1">
      <c r="A519" s="56"/>
      <c r="B519" s="56" t="s">
        <v>2886</v>
      </c>
      <c r="C519" s="56" t="s">
        <v>4707</v>
      </c>
      <c r="D519" s="56" t="s">
        <v>37</v>
      </c>
      <c r="E519" s="56" t="s">
        <v>2939</v>
      </c>
      <c r="F519" s="56" t="s">
        <v>4708</v>
      </c>
      <c r="G519" s="56">
        <v>31</v>
      </c>
      <c r="H519" s="56">
        <v>1</v>
      </c>
      <c r="I519" s="74">
        <v>3.2258064516129031E-2</v>
      </c>
      <c r="J519" s="56" t="s">
        <v>4709</v>
      </c>
      <c r="K519" s="56" t="s">
        <v>3103</v>
      </c>
      <c r="L519" s="56" t="s">
        <v>2932</v>
      </c>
      <c r="N519" s="56" t="s">
        <v>3442</v>
      </c>
      <c r="O519" t="str">
        <f>_xlfn.XLOOKUP(N519,'Error-codes'!$C$2:$C$130,'Error-codes'!$B$2:$B$130, "None")</f>
        <v>vehicle diverged too far from trajectory</v>
      </c>
      <c r="U519" s="81">
        <f>DATEVALUE(LEFT(F519,10))</f>
        <v>44897</v>
      </c>
    </row>
    <row r="520" spans="1:21" hidden="1">
      <c r="A520" s="56"/>
      <c r="B520" s="56" t="s">
        <v>2886</v>
      </c>
      <c r="C520" s="56" t="s">
        <v>4707</v>
      </c>
      <c r="D520" s="56" t="s">
        <v>37</v>
      </c>
      <c r="E520" s="56" t="s">
        <v>4710</v>
      </c>
      <c r="F520" s="56" t="s">
        <v>4711</v>
      </c>
      <c r="G520" s="56">
        <v>31</v>
      </c>
      <c r="H520" s="56">
        <v>3</v>
      </c>
      <c r="I520" s="74">
        <v>9.6774193548387094E-2</v>
      </c>
      <c r="J520" s="56" t="s">
        <v>4712</v>
      </c>
      <c r="K520" s="56" t="s">
        <v>3103</v>
      </c>
      <c r="L520" s="56" t="s">
        <v>2932</v>
      </c>
      <c r="N520" s="56" t="s">
        <v>3442</v>
      </c>
      <c r="O520" t="str">
        <f>_xlfn.XLOOKUP(N520,'Error-codes'!$C$2:$C$130,'Error-codes'!$B$2:$B$130, "None")</f>
        <v>vehicle diverged too far from trajectory</v>
      </c>
      <c r="U520" s="81">
        <f>DATEVALUE(LEFT(F520,10))</f>
        <v>44897</v>
      </c>
    </row>
    <row r="521" spans="1:21" hidden="1">
      <c r="A521" s="56"/>
      <c r="B521" s="56" t="s">
        <v>2886</v>
      </c>
      <c r="C521" s="56" t="s">
        <v>4713</v>
      </c>
      <c r="D521" s="56"/>
      <c r="E521" s="56"/>
      <c r="F521" s="56" t="s">
        <v>4714</v>
      </c>
      <c r="G521" s="56">
        <v>30</v>
      </c>
      <c r="H521" s="56">
        <v>1</v>
      </c>
      <c r="I521" s="74">
        <v>3.3333333333333333E-2</v>
      </c>
      <c r="J521" s="56" t="s">
        <v>4709</v>
      </c>
      <c r="K521" s="56" t="s">
        <v>3103</v>
      </c>
      <c r="L521" s="56" t="s">
        <v>2932</v>
      </c>
      <c r="N521" s="56" t="s">
        <v>3442</v>
      </c>
      <c r="O521" t="str">
        <f>_xlfn.XLOOKUP(N521,'Error-codes'!$C$2:$C$130,'Error-codes'!$B$2:$B$130, "None")</f>
        <v>vehicle diverged too far from trajectory</v>
      </c>
      <c r="U521" s="81">
        <f>DATEVALUE(LEFT(F521,10))</f>
        <v>44897</v>
      </c>
    </row>
    <row r="522" spans="1:21" hidden="1">
      <c r="A522" s="56"/>
      <c r="B522" s="56" t="s">
        <v>2886</v>
      </c>
      <c r="C522" s="56" t="s">
        <v>4715</v>
      </c>
      <c r="D522" s="56" t="s">
        <v>37</v>
      </c>
      <c r="E522" s="56" t="s">
        <v>4690</v>
      </c>
      <c r="F522" s="56" t="s">
        <v>4716</v>
      </c>
      <c r="G522" s="56">
        <v>28</v>
      </c>
      <c r="H522" s="56">
        <v>7</v>
      </c>
      <c r="I522" s="74">
        <v>0.25</v>
      </c>
      <c r="J522" s="56" t="s">
        <v>3062</v>
      </c>
      <c r="K522" s="56" t="s">
        <v>3103</v>
      </c>
      <c r="L522" s="56" t="s">
        <v>2932</v>
      </c>
      <c r="N522" s="56" t="s">
        <v>3438</v>
      </c>
      <c r="O522" t="str">
        <f>_xlfn.XLOOKUP(N522,'Error-codes'!$C$2:$C$130,'Error-codes'!$B$2:$B$130, "None")</f>
        <v>Failed to find feasible path</v>
      </c>
      <c r="U522" s="81">
        <f>DATEVALUE(LEFT(F522,10))</f>
        <v>44897</v>
      </c>
    </row>
    <row r="523" spans="1:21" hidden="1">
      <c r="A523" s="56" t="s">
        <v>4717</v>
      </c>
      <c r="B523" s="56" t="s">
        <v>228</v>
      </c>
      <c r="C523" s="56" t="s">
        <v>4718</v>
      </c>
      <c r="D523" s="56" t="s">
        <v>37</v>
      </c>
      <c r="E523" s="56" t="s">
        <v>4690</v>
      </c>
      <c r="F523" s="56" t="s">
        <v>4719</v>
      </c>
      <c r="G523" s="56">
        <v>17</v>
      </c>
      <c r="H523" s="56">
        <v>9</v>
      </c>
      <c r="I523" s="74">
        <v>0.52941176470588236</v>
      </c>
      <c r="J523" s="56" t="s">
        <v>4720</v>
      </c>
      <c r="K523" s="56" t="s">
        <v>2171</v>
      </c>
      <c r="L523" s="56" t="s">
        <v>2932</v>
      </c>
      <c r="M523" s="56" t="str">
        <f>HYPERLINK("https://dribble.octin.io/?mode=Single+log&amp;log_id=a33af10f-9be1-4853-a0b1-b2c6ee66c3ff","URL")</f>
        <v>URL</v>
      </c>
      <c r="N523" s="56" t="s">
        <v>3438</v>
      </c>
      <c r="O523" t="str">
        <f>_xlfn.XLOOKUP(N523,'Error-codes'!$C$2:$C$130,'Error-codes'!$B$2:$B$130, "None")</f>
        <v>Failed to find feasible path</v>
      </c>
      <c r="U523" s="81">
        <f>DATEVALUE(LEFT(F523,10))</f>
        <v>44897</v>
      </c>
    </row>
    <row r="524" spans="1:21" hidden="1">
      <c r="B524" s="56" t="s">
        <v>295</v>
      </c>
      <c r="C524" s="56" t="s">
        <v>4721</v>
      </c>
      <c r="D524" s="56" t="s">
        <v>22</v>
      </c>
      <c r="F524" s="56" t="s">
        <v>4722</v>
      </c>
      <c r="G524" s="56">
        <v>140</v>
      </c>
      <c r="H524" s="56">
        <v>8</v>
      </c>
      <c r="I524" s="74">
        <v>5.7142857142857141E-2</v>
      </c>
      <c r="K524" s="56" t="s">
        <v>1873</v>
      </c>
      <c r="L524" s="56" t="s">
        <v>2942</v>
      </c>
      <c r="O524">
        <f>_xlfn.XLOOKUP(N524,'Error-codes'!$C$2:$C$130,'Error-codes'!$B$2:$B$130, "None")</f>
        <v>0</v>
      </c>
      <c r="U524" s="81">
        <f>DATEVALUE(LEFT(F524,10))</f>
        <v>44900</v>
      </c>
    </row>
    <row r="525" spans="1:21" hidden="1">
      <c r="B525" s="56" t="s">
        <v>228</v>
      </c>
      <c r="C525" s="56" t="s">
        <v>4723</v>
      </c>
      <c r="D525" s="56" t="s">
        <v>22</v>
      </c>
      <c r="F525" s="56" t="s">
        <v>4724</v>
      </c>
      <c r="G525" s="56">
        <v>102</v>
      </c>
      <c r="H525" s="56">
        <v>1</v>
      </c>
      <c r="I525" s="74">
        <v>9.8039215686274508E-3</v>
      </c>
      <c r="K525" s="56" t="s">
        <v>2166</v>
      </c>
      <c r="L525" s="56" t="s">
        <v>2932</v>
      </c>
      <c r="O525">
        <f>_xlfn.XLOOKUP(N525,'Error-codes'!$C$2:$C$130,'Error-codes'!$B$2:$B$130, "None")</f>
        <v>0</v>
      </c>
      <c r="U525" s="81">
        <f>DATEVALUE(LEFT(F525,10))</f>
        <v>44900</v>
      </c>
    </row>
    <row r="526" spans="1:21" hidden="1">
      <c r="B526" s="56" t="s">
        <v>2886</v>
      </c>
      <c r="C526" s="56" t="s">
        <v>4725</v>
      </c>
      <c r="D526" s="56" t="s">
        <v>22</v>
      </c>
      <c r="F526" s="56" t="s">
        <v>4726</v>
      </c>
      <c r="G526" s="56">
        <v>101</v>
      </c>
      <c r="H526" s="56">
        <v>1</v>
      </c>
      <c r="I526" s="74">
        <v>9.9009900990099011E-3</v>
      </c>
      <c r="K526" s="56" t="s">
        <v>2166</v>
      </c>
      <c r="L526" s="56" t="s">
        <v>2948</v>
      </c>
      <c r="O526">
        <f>_xlfn.XLOOKUP(N526,'Error-codes'!$C$2:$C$130,'Error-codes'!$B$2:$B$130, "None")</f>
        <v>0</v>
      </c>
      <c r="U526" s="81">
        <f>DATEVALUE(LEFT(F526,10))</f>
        <v>44900</v>
      </c>
    </row>
    <row r="527" spans="1:21" hidden="1">
      <c r="A527" s="56"/>
      <c r="B527" s="56" t="s">
        <v>2886</v>
      </c>
      <c r="C527" s="56" t="s">
        <v>4727</v>
      </c>
      <c r="D527" s="56" t="s">
        <v>37</v>
      </c>
      <c r="E527" s="56" t="s">
        <v>4351</v>
      </c>
      <c r="F527" s="56" t="s">
        <v>4728</v>
      </c>
      <c r="G527" s="56">
        <v>89</v>
      </c>
      <c r="H527" s="56">
        <v>6</v>
      </c>
      <c r="I527" s="74">
        <v>6.741573033707865E-2</v>
      </c>
      <c r="J527" s="56" t="s">
        <v>331</v>
      </c>
      <c r="K527" s="56" t="s">
        <v>3090</v>
      </c>
      <c r="L527" s="56" t="s">
        <v>2932</v>
      </c>
      <c r="N527" s="56" t="s">
        <v>3472</v>
      </c>
      <c r="O527" t="str">
        <f>_xlfn.XLOOKUP(N527,'Error-codes'!$C$2:$C$130,'Error-codes'!$B$2:$B$130, "None")</f>
        <v>Excessive slip detected</v>
      </c>
      <c r="U527" s="81">
        <f>DATEVALUE(LEFT(F527,10))</f>
        <v>44900</v>
      </c>
    </row>
    <row r="528" spans="1:21" hidden="1">
      <c r="A528" s="56" t="s">
        <v>4729</v>
      </c>
      <c r="B528" s="56" t="s">
        <v>228</v>
      </c>
      <c r="C528" s="56" t="s">
        <v>4730</v>
      </c>
      <c r="D528" s="56" t="s">
        <v>37</v>
      </c>
      <c r="E528" s="56" t="s">
        <v>4731</v>
      </c>
      <c r="F528" s="56" t="s">
        <v>4732</v>
      </c>
      <c r="G528" s="56">
        <v>75</v>
      </c>
      <c r="H528" s="56">
        <v>33</v>
      </c>
      <c r="I528" s="74">
        <v>0.44</v>
      </c>
      <c r="J528" s="56" t="s">
        <v>4696</v>
      </c>
      <c r="K528" s="56" t="s">
        <v>3103</v>
      </c>
      <c r="L528" s="56" t="s">
        <v>2932</v>
      </c>
      <c r="M528" s="56" t="str">
        <f>HYPERLINK("https://dribble.octin.io/?mode=Single+log&amp;log_id=c78b1d76-c75b-4ed3-97ac-e1886426a04d","URL")</f>
        <v>URL</v>
      </c>
      <c r="N528" s="56" t="s">
        <v>3460</v>
      </c>
      <c r="O528" t="str">
        <f>_xlfn.XLOOKUP(N528,'Error-codes'!$C$2:$C$130,'Error-codes'!$B$2:$B$130, "None")</f>
        <v>motor drive: DRV8353 FAULT</v>
      </c>
      <c r="U528" s="81">
        <f>DATEVALUE(LEFT(F528,10))</f>
        <v>44900</v>
      </c>
    </row>
    <row r="529" spans="1:21" hidden="1">
      <c r="A529" s="56"/>
      <c r="B529" s="56" t="s">
        <v>2886</v>
      </c>
      <c r="C529" s="56" t="s">
        <v>4733</v>
      </c>
      <c r="D529" s="56" t="s">
        <v>37</v>
      </c>
      <c r="E529" s="56"/>
      <c r="F529" s="56" t="s">
        <v>4734</v>
      </c>
      <c r="G529" s="56">
        <v>84</v>
      </c>
      <c r="H529" s="56">
        <v>1</v>
      </c>
      <c r="I529" s="74">
        <v>1.1904761904761904E-2</v>
      </c>
      <c r="J529" s="56" t="s">
        <v>331</v>
      </c>
      <c r="K529" s="56" t="s">
        <v>3090</v>
      </c>
      <c r="L529" s="56" t="s">
        <v>2932</v>
      </c>
      <c r="N529" s="56" t="s">
        <v>3444</v>
      </c>
      <c r="O529" t="str">
        <f>_xlfn.XLOOKUP(N529,'Error-codes'!$C$2:$C$130,'Error-codes'!$B$2:$B$130, "None")</f>
        <v>collision detected in operational state for the 4th time in a row</v>
      </c>
      <c r="U529" s="81">
        <f>DATEVALUE(LEFT(F529,10))</f>
        <v>44900</v>
      </c>
    </row>
    <row r="530" spans="1:21" hidden="1">
      <c r="B530" s="56" t="s">
        <v>2886</v>
      </c>
      <c r="C530" s="56" t="s">
        <v>4735</v>
      </c>
      <c r="D530" s="56" t="s">
        <v>4149</v>
      </c>
      <c r="F530" s="56" t="s">
        <v>4736</v>
      </c>
      <c r="G530" s="56">
        <v>2</v>
      </c>
      <c r="H530" s="56">
        <v>2</v>
      </c>
      <c r="I530" s="74">
        <v>1</v>
      </c>
      <c r="K530" s="56" t="s">
        <v>3090</v>
      </c>
      <c r="L530" s="56" t="s">
        <v>2932</v>
      </c>
      <c r="O530">
        <f>_xlfn.XLOOKUP(N530,'Error-codes'!$C$2:$C$130,'Error-codes'!$B$2:$B$130, "None")</f>
        <v>0</v>
      </c>
      <c r="U530" s="81">
        <f>DATEVALUE(LEFT(F530,10))</f>
        <v>44900</v>
      </c>
    </row>
    <row r="531" spans="1:21" hidden="1">
      <c r="B531" s="56" t="s">
        <v>228</v>
      </c>
      <c r="C531" s="56" t="s">
        <v>4737</v>
      </c>
      <c r="D531" s="56" t="s">
        <v>388</v>
      </c>
      <c r="F531" s="56" t="s">
        <v>4738</v>
      </c>
      <c r="G531" s="56">
        <v>43</v>
      </c>
      <c r="H531" s="56">
        <v>43</v>
      </c>
      <c r="I531" s="74">
        <v>1</v>
      </c>
      <c r="K531" s="56" t="s">
        <v>3103</v>
      </c>
      <c r="L531" s="56" t="s">
        <v>2932</v>
      </c>
      <c r="O531">
        <f>_xlfn.XLOOKUP(N531,'Error-codes'!$C$2:$C$130,'Error-codes'!$B$2:$B$130, "None")</f>
        <v>0</v>
      </c>
      <c r="U531" s="81">
        <f>DATEVALUE(LEFT(F531,10))</f>
        <v>44900</v>
      </c>
    </row>
    <row r="532" spans="1:21" hidden="1">
      <c r="A532" s="56"/>
      <c r="B532" s="56" t="s">
        <v>2886</v>
      </c>
      <c r="C532" s="56" t="s">
        <v>3087</v>
      </c>
      <c r="D532" s="56" t="s">
        <v>37</v>
      </c>
      <c r="E532" s="56" t="s">
        <v>2939</v>
      </c>
      <c r="F532" s="56" t="s">
        <v>3088</v>
      </c>
      <c r="G532" s="56">
        <v>85</v>
      </c>
      <c r="H532" s="56">
        <v>42</v>
      </c>
      <c r="I532" s="74">
        <v>0.49411764705882355</v>
      </c>
      <c r="J532" s="56" t="s">
        <v>3089</v>
      </c>
      <c r="K532" s="56" t="s">
        <v>3090</v>
      </c>
      <c r="L532" s="56" t="s">
        <v>2932</v>
      </c>
      <c r="N532" s="56" t="s">
        <v>2933</v>
      </c>
      <c r="O532" t="str">
        <f>_xlfn.XLOOKUP(N532,'Error-codes'!$C$2:$C$130,'Error-codes'!$B$2:$B$130, "None")</f>
        <v>inductive sensor error</v>
      </c>
      <c r="U532" s="81">
        <f>DATEVALUE(LEFT(F532,10))</f>
        <v>44900</v>
      </c>
    </row>
    <row r="533" spans="1:21" hidden="1">
      <c r="A533" s="56"/>
      <c r="B533" s="56" t="s">
        <v>2886</v>
      </c>
      <c r="C533" s="56" t="s">
        <v>3087</v>
      </c>
      <c r="D533" s="56" t="s">
        <v>37</v>
      </c>
      <c r="E533" s="56" t="s">
        <v>2939</v>
      </c>
      <c r="F533" s="56" t="s">
        <v>4739</v>
      </c>
      <c r="G533" s="56">
        <v>85</v>
      </c>
      <c r="H533" s="56">
        <v>45</v>
      </c>
      <c r="I533" s="74">
        <v>0.52941176470588236</v>
      </c>
      <c r="J533" s="56" t="s">
        <v>2422</v>
      </c>
      <c r="K533" s="56" t="s">
        <v>3090</v>
      </c>
      <c r="L533" s="56" t="s">
        <v>2932</v>
      </c>
      <c r="N533" s="56" t="s">
        <v>3472</v>
      </c>
      <c r="O533" t="str">
        <f>_xlfn.XLOOKUP(N533,'Error-codes'!$C$2:$C$130,'Error-codes'!$B$2:$B$130, "None")</f>
        <v>Excessive slip detected</v>
      </c>
      <c r="U533" s="81">
        <f>DATEVALUE(LEFT(F533,10))</f>
        <v>44900</v>
      </c>
    </row>
    <row r="534" spans="1:21" hidden="1">
      <c r="A534" s="56"/>
      <c r="B534" s="56" t="s">
        <v>2886</v>
      </c>
      <c r="C534" s="56" t="s">
        <v>3087</v>
      </c>
      <c r="D534" s="56" t="s">
        <v>37</v>
      </c>
      <c r="E534" s="56" t="s">
        <v>3253</v>
      </c>
      <c r="F534" s="56" t="s">
        <v>4740</v>
      </c>
      <c r="G534" s="56">
        <v>85</v>
      </c>
      <c r="H534" s="56">
        <v>80</v>
      </c>
      <c r="I534" s="74">
        <v>0.94117647058823528</v>
      </c>
      <c r="J534" s="56" t="s">
        <v>4741</v>
      </c>
      <c r="K534" s="56" t="s">
        <v>3090</v>
      </c>
      <c r="L534" s="56" t="s">
        <v>2932</v>
      </c>
      <c r="N534" s="56" t="s">
        <v>3454</v>
      </c>
      <c r="O534" t="str">
        <f>_xlfn.XLOOKUP(N534,'Error-codes'!$C$2:$C$130,'Error-codes'!$B$2:$B$130, "None")</f>
        <v>Veh low level FSM: safety was triggered</v>
      </c>
      <c r="U534" s="81">
        <f>DATEVALUE(LEFT(F534,10))</f>
        <v>44901</v>
      </c>
    </row>
    <row r="535" spans="1:21" hidden="1">
      <c r="A535" s="56"/>
      <c r="B535" s="56" t="s">
        <v>295</v>
      </c>
      <c r="C535" s="56" t="s">
        <v>4742</v>
      </c>
      <c r="D535" s="56" t="s">
        <v>388</v>
      </c>
      <c r="E535" s="56" t="s">
        <v>2939</v>
      </c>
      <c r="F535" s="56" t="s">
        <v>4743</v>
      </c>
      <c r="G535" s="56">
        <v>132</v>
      </c>
      <c r="H535" s="56">
        <v>91</v>
      </c>
      <c r="I535" s="74">
        <v>0.68939393939393945</v>
      </c>
      <c r="J535" s="56" t="s">
        <v>3979</v>
      </c>
      <c r="K535" s="56" t="s">
        <v>1873</v>
      </c>
      <c r="L535" s="56" t="s">
        <v>2942</v>
      </c>
      <c r="N535" s="56" t="s">
        <v>3444</v>
      </c>
      <c r="O535" t="str">
        <f>_xlfn.XLOOKUP(N535,'Error-codes'!$C$2:$C$130,'Error-codes'!$B$2:$B$130, "None")</f>
        <v>collision detected in operational state for the 4th time in a row</v>
      </c>
      <c r="U535" s="81">
        <f>DATEVALUE(LEFT(F535,10))</f>
        <v>44901</v>
      </c>
    </row>
    <row r="536" spans="1:21" hidden="1">
      <c r="A536" s="56"/>
      <c r="B536" s="56" t="s">
        <v>29</v>
      </c>
      <c r="C536" s="56" t="s">
        <v>3095</v>
      </c>
      <c r="D536" s="56" t="s">
        <v>37</v>
      </c>
      <c r="E536" s="56" t="s">
        <v>2939</v>
      </c>
      <c r="F536" s="56" t="s">
        <v>3096</v>
      </c>
      <c r="G536" s="56">
        <v>166</v>
      </c>
      <c r="H536" s="56">
        <v>131</v>
      </c>
      <c r="I536" s="74">
        <v>0.78915662650602414</v>
      </c>
      <c r="J536" s="56" t="s">
        <v>365</v>
      </c>
      <c r="K536" s="56" t="s">
        <v>1893</v>
      </c>
      <c r="L536" s="56" t="s">
        <v>2942</v>
      </c>
      <c r="N536" s="56" t="s">
        <v>2933</v>
      </c>
      <c r="O536" t="str">
        <f>_xlfn.XLOOKUP(N536,'Error-codes'!$C$2:$C$130,'Error-codes'!$B$2:$B$130, "None")</f>
        <v>inductive sensor error</v>
      </c>
      <c r="U536" s="81">
        <f>DATEVALUE(LEFT(F536,10))</f>
        <v>44901</v>
      </c>
    </row>
    <row r="537" spans="1:21" hidden="1">
      <c r="B537" s="56" t="s">
        <v>295</v>
      </c>
      <c r="C537" s="56" t="s">
        <v>4742</v>
      </c>
      <c r="D537" s="56" t="s">
        <v>388</v>
      </c>
      <c r="F537" s="56" t="s">
        <v>4744</v>
      </c>
      <c r="G537" s="56">
        <v>132</v>
      </c>
      <c r="H537" s="56">
        <v>131</v>
      </c>
      <c r="I537" s="74">
        <v>0.99242424242424243</v>
      </c>
      <c r="K537" s="56" t="s">
        <v>1873</v>
      </c>
      <c r="L537" s="56" t="s">
        <v>2942</v>
      </c>
      <c r="O537">
        <f>_xlfn.XLOOKUP(N537,'Error-codes'!$C$2:$C$130,'Error-codes'!$B$2:$B$130, "None")</f>
        <v>0</v>
      </c>
      <c r="U537" s="81">
        <f>DATEVALUE(LEFT(F537,10))</f>
        <v>44901</v>
      </c>
    </row>
    <row r="538" spans="1:21" hidden="1">
      <c r="A538" s="56"/>
      <c r="B538" s="56" t="s">
        <v>29</v>
      </c>
      <c r="C538" s="56" t="s">
        <v>3095</v>
      </c>
      <c r="D538" s="56" t="s">
        <v>37</v>
      </c>
      <c r="E538" s="56" t="s">
        <v>4358</v>
      </c>
      <c r="F538" s="56" t="s">
        <v>4745</v>
      </c>
      <c r="G538" s="56">
        <v>166</v>
      </c>
      <c r="H538" s="56">
        <v>164</v>
      </c>
      <c r="I538" s="74">
        <v>0.98795180722891562</v>
      </c>
      <c r="J538" s="56" t="s">
        <v>3886</v>
      </c>
      <c r="K538" s="56" t="s">
        <v>1893</v>
      </c>
      <c r="L538" s="56" t="s">
        <v>2942</v>
      </c>
      <c r="N538" s="56" t="s">
        <v>3458</v>
      </c>
      <c r="O538" t="str">
        <f>_xlfn.XLOOKUP(N538,'Error-codes'!$C$2:$C$130,'Error-codes'!$B$2:$B$130, "None")</f>
        <v>motor drive: UNDER VOLTAGE</v>
      </c>
      <c r="U538" s="81">
        <f>DATEVALUE(LEFT(F538,10))</f>
        <v>44901</v>
      </c>
    </row>
    <row r="539" spans="1:21" hidden="1">
      <c r="A539" s="56" t="s">
        <v>4746</v>
      </c>
      <c r="B539" s="56" t="s">
        <v>295</v>
      </c>
      <c r="C539" s="56" t="s">
        <v>4747</v>
      </c>
      <c r="D539" s="56" t="s">
        <v>37</v>
      </c>
      <c r="E539" s="56" t="s">
        <v>2939</v>
      </c>
      <c r="F539" s="56" t="s">
        <v>4748</v>
      </c>
      <c r="G539" s="56">
        <v>200</v>
      </c>
      <c r="H539" s="56">
        <v>20</v>
      </c>
      <c r="I539" s="74">
        <v>0.1</v>
      </c>
      <c r="J539" s="56" t="s">
        <v>4159</v>
      </c>
      <c r="K539" s="56" t="s">
        <v>1893</v>
      </c>
      <c r="L539" s="56" t="s">
        <v>2942</v>
      </c>
      <c r="M539" s="56" t="str">
        <f>HYPERLINK("https://dribble.octin.io/?mode=Single+log&amp;log_id=7182139c-b2bc-43c6-9292-621435075697","URL")</f>
        <v>URL</v>
      </c>
      <c r="N539" s="56" t="s">
        <v>3444</v>
      </c>
      <c r="O539" t="str">
        <f>_xlfn.XLOOKUP(N539,'Error-codes'!$C$2:$C$130,'Error-codes'!$B$2:$B$130, "None")</f>
        <v>collision detected in operational state for the 4th time in a row</v>
      </c>
      <c r="S539" t="s">
        <v>4749</v>
      </c>
      <c r="U539" s="81">
        <f>DATEVALUE(LEFT(F539,10))</f>
        <v>44901</v>
      </c>
    </row>
    <row r="540" spans="1:21" hidden="1">
      <c r="A540" s="56" t="s">
        <v>4750</v>
      </c>
      <c r="B540" s="56" t="s">
        <v>295</v>
      </c>
      <c r="C540" s="56" t="s">
        <v>4747</v>
      </c>
      <c r="D540" s="56" t="s">
        <v>37</v>
      </c>
      <c r="E540" s="56" t="s">
        <v>2939</v>
      </c>
      <c r="F540" s="56" t="s">
        <v>4751</v>
      </c>
      <c r="G540" s="56">
        <v>200</v>
      </c>
      <c r="H540" s="56">
        <v>23</v>
      </c>
      <c r="I540" s="74">
        <v>0.115</v>
      </c>
      <c r="J540" s="56" t="s">
        <v>4752</v>
      </c>
      <c r="K540" s="56" t="s">
        <v>1893</v>
      </c>
      <c r="L540" s="56" t="s">
        <v>2942</v>
      </c>
      <c r="M540" s="56" t="str">
        <f>HYPERLINK("https://dribble.octin.io/?mode=Single+log&amp;log_id=5030f963-2525-4667-a45f-124474f19d3f","URL")</f>
        <v>URL</v>
      </c>
      <c r="N540" s="56" t="s">
        <v>3444</v>
      </c>
      <c r="O540" t="str">
        <f>_xlfn.XLOOKUP(N540,'Error-codes'!$C$2:$C$130,'Error-codes'!$B$2:$B$130, "None")</f>
        <v>collision detected in operational state for the 4th time in a row</v>
      </c>
      <c r="S540" t="s">
        <v>4749</v>
      </c>
      <c r="U540" s="81">
        <f>DATEVALUE(LEFT(F540,10))</f>
        <v>44901</v>
      </c>
    </row>
    <row r="541" spans="1:21" hidden="1">
      <c r="A541" s="56"/>
      <c r="B541" s="56" t="s">
        <v>228</v>
      </c>
      <c r="C541" s="56" t="s">
        <v>4753</v>
      </c>
      <c r="D541" s="56" t="s">
        <v>37</v>
      </c>
      <c r="E541" s="56" t="s">
        <v>4650</v>
      </c>
      <c r="F541" s="56" t="s">
        <v>4754</v>
      </c>
      <c r="G541" s="56">
        <v>83</v>
      </c>
      <c r="H541" s="56">
        <v>43</v>
      </c>
      <c r="I541" s="74">
        <v>0.51807228915662651</v>
      </c>
      <c r="J541" s="56" t="s">
        <v>4755</v>
      </c>
      <c r="K541" s="56" t="s">
        <v>3090</v>
      </c>
      <c r="L541" s="56" t="s">
        <v>2932</v>
      </c>
      <c r="N541" s="56" t="s">
        <v>3440</v>
      </c>
      <c r="O541" t="str">
        <f>_xlfn.XLOOKUP(N541,'Error-codes'!$C$2:$C$130,'Error-codes'!$B$2:$B$130, "None")</f>
        <v>Trajectory generation timeout</v>
      </c>
      <c r="S541" s="46" t="s">
        <v>4756</v>
      </c>
      <c r="U541" s="81">
        <f>DATEVALUE(LEFT(F541,10))</f>
        <v>44901</v>
      </c>
    </row>
    <row r="542" spans="1:21" hidden="1">
      <c r="A542" s="56" t="s">
        <v>4757</v>
      </c>
      <c r="B542" s="56" t="s">
        <v>2886</v>
      </c>
      <c r="C542" s="56" t="s">
        <v>4758</v>
      </c>
      <c r="D542" s="56" t="s">
        <v>37</v>
      </c>
      <c r="E542" s="56" t="s">
        <v>2939</v>
      </c>
      <c r="F542" s="56" t="s">
        <v>4759</v>
      </c>
      <c r="G542" s="56">
        <v>90</v>
      </c>
      <c r="H542" s="56">
        <v>44</v>
      </c>
      <c r="I542" s="74">
        <v>0.48888888888888887</v>
      </c>
      <c r="J542" s="56" t="s">
        <v>4760</v>
      </c>
      <c r="K542" s="56" t="s">
        <v>3103</v>
      </c>
      <c r="L542" s="56" t="s">
        <v>2932</v>
      </c>
      <c r="M542" s="56" t="str">
        <f>HYPERLINK("https://dribble.octin.io/?mode=Single+log&amp;log_id=e253e89e-bcc7-4115-96e8-12478db9aaf0","URL")</f>
        <v>URL</v>
      </c>
      <c r="N542" s="56" t="s">
        <v>3444</v>
      </c>
      <c r="O542" t="str">
        <f>_xlfn.XLOOKUP(N542,'Error-codes'!$C$2:$C$130,'Error-codes'!$B$2:$B$130, "None")</f>
        <v>collision detected in operational state for the 4th time in a row</v>
      </c>
      <c r="U542" s="81">
        <f>DATEVALUE(LEFT(F542,10))</f>
        <v>44901</v>
      </c>
    </row>
    <row r="543" spans="1:21" hidden="1">
      <c r="A543" s="56" t="s">
        <v>4761</v>
      </c>
      <c r="B543" s="56" t="s">
        <v>2886</v>
      </c>
      <c r="C543" s="56" t="s">
        <v>4758</v>
      </c>
      <c r="D543" s="56" t="s">
        <v>37</v>
      </c>
      <c r="E543" s="56" t="s">
        <v>4222</v>
      </c>
      <c r="F543" s="56" t="s">
        <v>4762</v>
      </c>
      <c r="G543" s="56">
        <v>90</v>
      </c>
      <c r="H543" s="56">
        <v>49</v>
      </c>
      <c r="I543" s="74">
        <v>0.5444444444444444</v>
      </c>
      <c r="J543" s="56" t="s">
        <v>4688</v>
      </c>
      <c r="K543" s="56" t="s">
        <v>3103</v>
      </c>
      <c r="L543" s="56" t="s">
        <v>2932</v>
      </c>
      <c r="M543" s="56" t="str">
        <f>HYPERLINK("https://dribble.octin.io/?mode=Single+log&amp;log_id=7eae3a8d-c268-41d1-867f-f18e5ec036e7","URL")</f>
        <v>URL</v>
      </c>
      <c r="N543" s="56" t="s">
        <v>3458</v>
      </c>
      <c r="O543" t="str">
        <f>_xlfn.XLOOKUP(N543,'Error-codes'!$C$2:$C$130,'Error-codes'!$B$2:$B$130, "None")</f>
        <v>motor drive: UNDER VOLTAGE</v>
      </c>
      <c r="P543" t="s">
        <v>4763</v>
      </c>
      <c r="U543" s="81">
        <f>DATEVALUE(LEFT(F543,10))</f>
        <v>44901</v>
      </c>
    </row>
    <row r="544" spans="1:21" hidden="1">
      <c r="A544" s="56" t="s">
        <v>3091</v>
      </c>
      <c r="B544" s="56" t="s">
        <v>2886</v>
      </c>
      <c r="C544" s="56" t="s">
        <v>3092</v>
      </c>
      <c r="D544" s="56" t="s">
        <v>37</v>
      </c>
      <c r="E544" s="56" t="s">
        <v>2939</v>
      </c>
      <c r="F544" s="56" t="s">
        <v>3093</v>
      </c>
      <c r="G544" s="56">
        <v>62</v>
      </c>
      <c r="H544" s="56">
        <v>6</v>
      </c>
      <c r="I544" s="74">
        <v>9.6774193548387094E-2</v>
      </c>
      <c r="J544" s="56" t="s">
        <v>3094</v>
      </c>
      <c r="K544" s="56" t="s">
        <v>2171</v>
      </c>
      <c r="L544" s="56" t="s">
        <v>2932</v>
      </c>
      <c r="M544" s="56" t="str">
        <f>HYPERLINK("https://dribble.octin.io/?mode=Single+log&amp;log_id=0e13c37c-9732-42bf-9316-13b201fa2d81","URL")</f>
        <v>URL</v>
      </c>
      <c r="N544" s="56" t="s">
        <v>2933</v>
      </c>
      <c r="O544" t="str">
        <f>_xlfn.XLOOKUP(N544,'Error-codes'!$C$2:$C$130,'Error-codes'!$B$2:$B$130, "None")</f>
        <v>inductive sensor error</v>
      </c>
      <c r="U544" s="81">
        <f>DATEVALUE(LEFT(F544,10))</f>
        <v>44901</v>
      </c>
    </row>
    <row r="545" spans="1:21" hidden="1">
      <c r="A545" s="56" t="s">
        <v>4764</v>
      </c>
      <c r="B545" s="56" t="s">
        <v>2886</v>
      </c>
      <c r="C545" s="56" t="s">
        <v>3092</v>
      </c>
      <c r="D545" s="56" t="s">
        <v>37</v>
      </c>
      <c r="E545" s="56" t="s">
        <v>2939</v>
      </c>
      <c r="F545" s="56" t="s">
        <v>4765</v>
      </c>
      <c r="G545" s="56">
        <v>62</v>
      </c>
      <c r="H545" s="56">
        <v>9</v>
      </c>
      <c r="I545" s="74">
        <v>0.14516129032258066</v>
      </c>
      <c r="J545" s="56" t="s">
        <v>4760</v>
      </c>
      <c r="K545" s="56" t="s">
        <v>2171</v>
      </c>
      <c r="L545" s="56" t="s">
        <v>2932</v>
      </c>
      <c r="M545" s="56" t="str">
        <f>HYPERLINK("https://dribble.octin.io/?mode=Single+log&amp;log_id=08c91041-dde9-4994-ba66-0a974ed123b8","URL")</f>
        <v>URL</v>
      </c>
      <c r="N545" s="56" t="s">
        <v>3472</v>
      </c>
      <c r="O545" t="str">
        <f>_xlfn.XLOOKUP(N545,'Error-codes'!$C$2:$C$130,'Error-codes'!$B$2:$B$130, "None")</f>
        <v>Excessive slip detected</v>
      </c>
      <c r="U545" s="81">
        <f>DATEVALUE(LEFT(F545,10))</f>
        <v>44901</v>
      </c>
    </row>
    <row r="546" spans="1:21" hidden="1">
      <c r="A546" s="56" t="s">
        <v>4766</v>
      </c>
      <c r="B546" s="56" t="s">
        <v>2886</v>
      </c>
      <c r="C546" s="56" t="s">
        <v>3092</v>
      </c>
      <c r="D546" s="56" t="s">
        <v>37</v>
      </c>
      <c r="E546" s="56" t="s">
        <v>4690</v>
      </c>
      <c r="F546" s="56" t="s">
        <v>4767</v>
      </c>
      <c r="G546" s="56">
        <v>62</v>
      </c>
      <c r="H546" s="56">
        <v>11</v>
      </c>
      <c r="I546" s="74">
        <v>0.17741935483870969</v>
      </c>
      <c r="J546" s="56" t="s">
        <v>4768</v>
      </c>
      <c r="K546" s="56" t="s">
        <v>2171</v>
      </c>
      <c r="L546" s="56" t="s">
        <v>2932</v>
      </c>
      <c r="M546" s="56" t="str">
        <f>HYPERLINK("https://dribble.octin.io/?mode=Single+log&amp;log_id=2ddf27dd-ccc5-4305-a1d7-79eaa46398c3","URL")</f>
        <v>URL</v>
      </c>
      <c r="N546" s="56" t="s">
        <v>3438</v>
      </c>
      <c r="O546" t="str">
        <f>_xlfn.XLOOKUP(N546,'Error-codes'!$C$2:$C$130,'Error-codes'!$B$2:$B$130, "None")</f>
        <v>Failed to find feasible path</v>
      </c>
      <c r="P546" t="s">
        <v>4769</v>
      </c>
      <c r="U546" s="81">
        <f>DATEVALUE(LEFT(F546,10))</f>
        <v>44901</v>
      </c>
    </row>
    <row r="547" spans="1:21" hidden="1">
      <c r="A547" s="56"/>
      <c r="B547" s="56" t="s">
        <v>29</v>
      </c>
      <c r="C547" s="56" t="s">
        <v>4770</v>
      </c>
      <c r="D547" s="56" t="s">
        <v>388</v>
      </c>
      <c r="E547" s="56" t="s">
        <v>2939</v>
      </c>
      <c r="F547" s="56" t="s">
        <v>4771</v>
      </c>
      <c r="G547" s="56">
        <v>140</v>
      </c>
      <c r="H547" s="56">
        <v>99</v>
      </c>
      <c r="I547" s="74">
        <v>0.70714285714285718</v>
      </c>
      <c r="J547" s="56" t="s">
        <v>3979</v>
      </c>
      <c r="K547" s="56" t="s">
        <v>1873</v>
      </c>
      <c r="L547" s="56" t="s">
        <v>2942</v>
      </c>
      <c r="N547" s="56" t="s">
        <v>3440</v>
      </c>
      <c r="O547" t="str">
        <f>_xlfn.XLOOKUP(N547,'Error-codes'!$C$2:$C$130,'Error-codes'!$B$2:$B$130, "None")</f>
        <v>Trajectory generation timeout</v>
      </c>
      <c r="U547" s="81">
        <f>DATEVALUE(LEFT(F547,10))</f>
        <v>44901</v>
      </c>
    </row>
    <row r="548" spans="1:21" hidden="1">
      <c r="B548" s="56" t="s">
        <v>29</v>
      </c>
      <c r="C548" s="56" t="s">
        <v>4770</v>
      </c>
      <c r="D548" s="56" t="s">
        <v>388</v>
      </c>
      <c r="F548" s="56" t="s">
        <v>4772</v>
      </c>
      <c r="G548" s="56">
        <v>140</v>
      </c>
      <c r="H548" s="56">
        <v>139</v>
      </c>
      <c r="I548" s="74">
        <v>0.99285714285714288</v>
      </c>
      <c r="K548" s="56" t="s">
        <v>1873</v>
      </c>
      <c r="L548" s="56" t="s">
        <v>2942</v>
      </c>
      <c r="O548">
        <f>_xlfn.XLOOKUP(N548,'Error-codes'!$C$2:$C$130,'Error-codes'!$B$2:$B$130, "None")</f>
        <v>0</v>
      </c>
      <c r="U548" s="81">
        <f>DATEVALUE(LEFT(F548,10))</f>
        <v>44902</v>
      </c>
    </row>
    <row r="549" spans="1:21" ht="30.75" hidden="1">
      <c r="A549" s="56" t="s">
        <v>4773</v>
      </c>
      <c r="B549" s="56" t="s">
        <v>295</v>
      </c>
      <c r="C549" s="56" t="s">
        <v>4747</v>
      </c>
      <c r="D549" s="56" t="s">
        <v>37</v>
      </c>
      <c r="E549" s="56" t="s">
        <v>4774</v>
      </c>
      <c r="F549" s="56" t="s">
        <v>4775</v>
      </c>
      <c r="G549" s="56">
        <v>200</v>
      </c>
      <c r="H549" s="56">
        <v>162</v>
      </c>
      <c r="I549" s="74">
        <v>0.81</v>
      </c>
      <c r="J549" s="56" t="s">
        <v>4776</v>
      </c>
      <c r="K549" s="56" t="s">
        <v>1893</v>
      </c>
      <c r="L549" s="56" t="s">
        <v>2942</v>
      </c>
      <c r="M549" s="56" t="str">
        <f>HYPERLINK("https://dribble.octin.io/?mode=Single+log&amp;log_id=e5f3dc06-3d7a-4cc9-8c6b-3bb111446f74","URL")</f>
        <v>URL</v>
      </c>
      <c r="N549" s="56" t="s">
        <v>3450</v>
      </c>
      <c r="O549" t="str">
        <f>_xlfn.XLOOKUP(N549,'Error-codes'!$C$2:$C$130,'Error-codes'!$B$2:$B$130, "None")</f>
        <v>xtheta sensor error</v>
      </c>
      <c r="P549" t="s">
        <v>4777</v>
      </c>
      <c r="Q549" s="51" t="s">
        <v>3081</v>
      </c>
      <c r="R549" s="51"/>
      <c r="S549" s="46" t="s">
        <v>4778</v>
      </c>
      <c r="U549" s="81">
        <f>DATEVALUE(LEFT(F549,10))</f>
        <v>44902</v>
      </c>
    </row>
    <row r="550" spans="1:21" hidden="1">
      <c r="B550" s="56" t="s">
        <v>29</v>
      </c>
      <c r="C550" s="56" t="s">
        <v>4779</v>
      </c>
      <c r="D550" s="56" t="s">
        <v>388</v>
      </c>
      <c r="F550" s="56" t="s">
        <v>4780</v>
      </c>
      <c r="G550" s="56">
        <v>3</v>
      </c>
      <c r="H550" s="56">
        <v>3</v>
      </c>
      <c r="I550" s="74">
        <v>1</v>
      </c>
      <c r="K550" s="56" t="s">
        <v>1893</v>
      </c>
      <c r="L550" s="56" t="s">
        <v>2942</v>
      </c>
      <c r="O550">
        <f>_xlfn.XLOOKUP(N550,'Error-codes'!$C$2:$C$130,'Error-codes'!$B$2:$B$130, "None")</f>
        <v>0</v>
      </c>
      <c r="U550" s="81">
        <f>DATEVALUE(LEFT(F550,10))</f>
        <v>44902</v>
      </c>
    </row>
    <row r="551" spans="1:21" hidden="1">
      <c r="B551" s="56" t="s">
        <v>29</v>
      </c>
      <c r="C551" s="56" t="s">
        <v>4781</v>
      </c>
      <c r="D551" s="56" t="s">
        <v>388</v>
      </c>
      <c r="F551" s="56" t="s">
        <v>4782</v>
      </c>
      <c r="G551" s="56">
        <v>4</v>
      </c>
      <c r="H551" s="56">
        <v>4</v>
      </c>
      <c r="I551" s="74">
        <v>1</v>
      </c>
      <c r="K551" s="56" t="s">
        <v>1893</v>
      </c>
      <c r="L551" s="56" t="s">
        <v>2942</v>
      </c>
      <c r="O551">
        <f>_xlfn.XLOOKUP(N551,'Error-codes'!$C$2:$C$130,'Error-codes'!$B$2:$B$130, "None")</f>
        <v>0</v>
      </c>
      <c r="U551" s="81">
        <f>DATEVALUE(LEFT(F551,10))</f>
        <v>44902</v>
      </c>
    </row>
    <row r="552" spans="1:21" hidden="1">
      <c r="B552" s="56" t="s">
        <v>29</v>
      </c>
      <c r="C552" s="56" t="s">
        <v>4783</v>
      </c>
      <c r="D552" s="56" t="s">
        <v>22</v>
      </c>
      <c r="F552" s="56" t="s">
        <v>4784</v>
      </c>
      <c r="G552" s="56">
        <v>5</v>
      </c>
      <c r="H552" s="56">
        <v>0</v>
      </c>
      <c r="I552" s="74">
        <v>0</v>
      </c>
      <c r="K552" s="56" t="s">
        <v>1893</v>
      </c>
      <c r="L552" s="56" t="s">
        <v>2942</v>
      </c>
      <c r="O552">
        <f>_xlfn.XLOOKUP(N552,'Error-codes'!$C$2:$C$130,'Error-codes'!$B$2:$B$130, "None")</f>
        <v>0</v>
      </c>
      <c r="U552" s="81">
        <f>DATEVALUE(LEFT(F552,10))</f>
        <v>44902</v>
      </c>
    </row>
    <row r="553" spans="1:21" hidden="1">
      <c r="A553" s="56"/>
      <c r="B553" s="56" t="s">
        <v>3771</v>
      </c>
      <c r="C553" s="56" t="s">
        <v>4785</v>
      </c>
      <c r="D553" s="56" t="s">
        <v>37</v>
      </c>
      <c r="E553" s="56" t="s">
        <v>2939</v>
      </c>
      <c r="F553" s="56" t="s">
        <v>4786</v>
      </c>
      <c r="G553" s="56">
        <v>9</v>
      </c>
      <c r="H553" s="56">
        <v>1</v>
      </c>
      <c r="I553" s="74">
        <v>0.1111111111111111</v>
      </c>
      <c r="J553" s="56" t="s">
        <v>3315</v>
      </c>
      <c r="K553" s="56" t="s">
        <v>3207</v>
      </c>
      <c r="L553" s="56" t="s">
        <v>3775</v>
      </c>
      <c r="N553" s="56"/>
      <c r="O553">
        <f>_xlfn.XLOOKUP(N553,'Error-codes'!$C$2:$C$130,'Error-codes'!$B$2:$B$130, "None")</f>
        <v>0</v>
      </c>
      <c r="U553" s="81">
        <f>DATEVALUE(LEFT(F553,10))</f>
        <v>44902</v>
      </c>
    </row>
    <row r="554" spans="1:21" hidden="1">
      <c r="A554" s="56"/>
      <c r="B554" s="56" t="s">
        <v>29</v>
      </c>
      <c r="C554" s="56" t="s">
        <v>4787</v>
      </c>
      <c r="D554" s="56" t="s">
        <v>37</v>
      </c>
      <c r="E554" s="56" t="s">
        <v>4788</v>
      </c>
      <c r="F554" s="56" t="s">
        <v>4789</v>
      </c>
      <c r="G554" s="56">
        <v>5</v>
      </c>
      <c r="H554" s="56">
        <v>4</v>
      </c>
      <c r="I554" s="74">
        <v>0.8</v>
      </c>
      <c r="J554" s="56" t="s">
        <v>4790</v>
      </c>
      <c r="K554" s="56" t="s">
        <v>1893</v>
      </c>
      <c r="L554" s="56" t="s">
        <v>2942</v>
      </c>
      <c r="N554" s="56" t="s">
        <v>3440</v>
      </c>
      <c r="O554" t="str">
        <f>_xlfn.XLOOKUP(N554,'Error-codes'!$C$2:$C$130,'Error-codes'!$B$2:$B$130, "None")</f>
        <v>Trajectory generation timeout</v>
      </c>
      <c r="U554" s="81">
        <f>DATEVALUE(LEFT(F554,10))</f>
        <v>44902</v>
      </c>
    </row>
    <row r="555" spans="1:21" hidden="1">
      <c r="A555" s="56"/>
      <c r="B555" s="56" t="s">
        <v>3771</v>
      </c>
      <c r="C555" s="56" t="s">
        <v>4785</v>
      </c>
      <c r="D555" s="56" t="s">
        <v>37</v>
      </c>
      <c r="E555" s="56" t="s">
        <v>4564</v>
      </c>
      <c r="F555" s="56" t="s">
        <v>4791</v>
      </c>
      <c r="G555" s="56">
        <v>9</v>
      </c>
      <c r="H555" s="56">
        <v>3</v>
      </c>
      <c r="I555" s="74">
        <v>0.33333333333333331</v>
      </c>
      <c r="J555" s="56" t="s">
        <v>4445</v>
      </c>
      <c r="K555" s="56" t="s">
        <v>3207</v>
      </c>
      <c r="L555" s="56" t="s">
        <v>3775</v>
      </c>
      <c r="N555" s="56" t="s">
        <v>3426</v>
      </c>
      <c r="O555" t="str">
        <f>_xlfn.XLOOKUP(N555,'Error-codes'!$C$2:$C$130,'Error-codes'!$B$2:$B$130, "None")</f>
        <v>low level fsm is no longer executing the given command</v>
      </c>
      <c r="U555" s="81">
        <f>DATEVALUE(LEFT(F555,10))</f>
        <v>44902</v>
      </c>
    </row>
    <row r="556" spans="1:21" hidden="1">
      <c r="A556" s="56"/>
      <c r="B556" s="56" t="s">
        <v>3771</v>
      </c>
      <c r="C556" s="56" t="s">
        <v>4792</v>
      </c>
      <c r="D556" s="56" t="s">
        <v>37</v>
      </c>
      <c r="E556" s="56" t="s">
        <v>2939</v>
      </c>
      <c r="F556" s="56" t="s">
        <v>4793</v>
      </c>
      <c r="G556" s="56">
        <v>8</v>
      </c>
      <c r="H556" s="56">
        <v>1</v>
      </c>
      <c r="I556" s="74">
        <v>0.125</v>
      </c>
      <c r="J556" s="56" t="s">
        <v>4794</v>
      </c>
      <c r="K556" s="56" t="s">
        <v>3207</v>
      </c>
      <c r="L556" s="56" t="s">
        <v>3775</v>
      </c>
      <c r="N556" s="56" t="s">
        <v>3448</v>
      </c>
      <c r="O556" t="str">
        <f>_xlfn.XLOOKUP(N556,'Error-codes'!$C$2:$C$130,'Error-codes'!$B$2:$B$130, "None")</f>
        <v>end of lane open sensor error</v>
      </c>
      <c r="U556" s="81">
        <f>DATEVALUE(LEFT(F556,10))</f>
        <v>44902</v>
      </c>
    </row>
    <row r="557" spans="1:21" hidden="1">
      <c r="A557" s="56"/>
      <c r="B557" s="56" t="s">
        <v>3771</v>
      </c>
      <c r="C557" s="56" t="s">
        <v>4792</v>
      </c>
      <c r="D557" s="56" t="s">
        <v>37</v>
      </c>
      <c r="E557" s="56" t="s">
        <v>4564</v>
      </c>
      <c r="F557" s="56" t="s">
        <v>4795</v>
      </c>
      <c r="G557" s="56">
        <v>8</v>
      </c>
      <c r="H557" s="56">
        <v>3</v>
      </c>
      <c r="I557" s="74">
        <v>0.375</v>
      </c>
      <c r="J557" s="56" t="s">
        <v>3784</v>
      </c>
      <c r="K557" s="56" t="s">
        <v>3207</v>
      </c>
      <c r="L557" s="56" t="s">
        <v>3775</v>
      </c>
      <c r="N557" s="56" t="s">
        <v>3452</v>
      </c>
      <c r="O557" t="str">
        <f>_xlfn.XLOOKUP(N557,'Error-codes'!$C$2:$C$130,'Error-codes'!$B$2:$B$130, "None")</f>
        <v>ytheta sensor error</v>
      </c>
      <c r="U557" s="81">
        <f>DATEVALUE(LEFT(F557,10))</f>
        <v>44902</v>
      </c>
    </row>
    <row r="558" spans="1:21" hidden="1">
      <c r="B558" s="56" t="s">
        <v>3771</v>
      </c>
      <c r="C558" s="56" t="s">
        <v>4796</v>
      </c>
      <c r="D558" s="56" t="s">
        <v>22</v>
      </c>
      <c r="F558" s="56" t="s">
        <v>4797</v>
      </c>
      <c r="G558" s="56">
        <v>57</v>
      </c>
      <c r="H558" s="56">
        <v>2</v>
      </c>
      <c r="I558" s="74">
        <v>3.5087719298245612E-2</v>
      </c>
      <c r="K558" s="56" t="s">
        <v>3207</v>
      </c>
      <c r="L558" s="56" t="s">
        <v>3775</v>
      </c>
      <c r="O558">
        <f>_xlfn.XLOOKUP(N558,'Error-codes'!$C$2:$C$130,'Error-codes'!$B$2:$B$130, "None")</f>
        <v>0</v>
      </c>
      <c r="U558" s="81">
        <f>DATEVALUE(LEFT(F558,10))</f>
        <v>44902</v>
      </c>
    </row>
    <row r="559" spans="1:21" hidden="1">
      <c r="A559" s="56" t="s">
        <v>4798</v>
      </c>
      <c r="B559" s="56" t="s">
        <v>3771</v>
      </c>
      <c r="C559" s="56" t="s">
        <v>4799</v>
      </c>
      <c r="D559" s="56" t="s">
        <v>37</v>
      </c>
      <c r="E559" s="56" t="s">
        <v>4564</v>
      </c>
      <c r="F559" s="56" t="s">
        <v>4800</v>
      </c>
      <c r="G559" s="56">
        <v>57</v>
      </c>
      <c r="H559" s="56">
        <v>1</v>
      </c>
      <c r="I559" s="74">
        <v>1.7543859649122806E-2</v>
      </c>
      <c r="J559" s="56" t="s">
        <v>3784</v>
      </c>
      <c r="K559" s="56" t="s">
        <v>3207</v>
      </c>
      <c r="L559" s="56" t="s">
        <v>3775</v>
      </c>
      <c r="M559" s="56" t="str">
        <f>HYPERLINK("https://dribble.octin.io/?mode=Single+log&amp;log_id=d864e37a-bca6-429c-afee-162ea2d0b46a","URL")</f>
        <v>URL</v>
      </c>
      <c r="N559" s="56" t="s">
        <v>3452</v>
      </c>
      <c r="O559" t="str">
        <f>_xlfn.XLOOKUP(N559,'Error-codes'!$C$2:$C$130,'Error-codes'!$B$2:$B$130, "None")</f>
        <v>ytheta sensor error</v>
      </c>
      <c r="U559" s="81">
        <f>DATEVALUE(LEFT(F559,10))</f>
        <v>44902</v>
      </c>
    </row>
    <row r="560" spans="1:21" hidden="1">
      <c r="B560" s="56" t="s">
        <v>3771</v>
      </c>
      <c r="C560" s="56" t="s">
        <v>4801</v>
      </c>
      <c r="D560" s="56" t="s">
        <v>22</v>
      </c>
      <c r="F560" s="56" t="s">
        <v>4802</v>
      </c>
      <c r="G560" s="56">
        <v>61</v>
      </c>
      <c r="H560" s="56">
        <v>2</v>
      </c>
      <c r="I560" s="74">
        <v>3.2786885245901641E-2</v>
      </c>
      <c r="K560" s="56" t="s">
        <v>3207</v>
      </c>
      <c r="L560" s="56" t="s">
        <v>3775</v>
      </c>
      <c r="O560">
        <f>_xlfn.XLOOKUP(N560,'Error-codes'!$C$2:$C$130,'Error-codes'!$B$2:$B$130, "None")</f>
        <v>0</v>
      </c>
      <c r="U560" s="81">
        <f>DATEVALUE(LEFT(F560,10))</f>
        <v>44902</v>
      </c>
    </row>
    <row r="561" spans="1:21" hidden="1">
      <c r="A561" s="56" t="s">
        <v>4803</v>
      </c>
      <c r="B561" s="56" t="s">
        <v>3771</v>
      </c>
      <c r="C561" s="56" t="s">
        <v>4804</v>
      </c>
      <c r="D561" s="56" t="s">
        <v>37</v>
      </c>
      <c r="E561" s="56" t="s">
        <v>4564</v>
      </c>
      <c r="F561" s="56" t="s">
        <v>4805</v>
      </c>
      <c r="G561" s="56">
        <v>61</v>
      </c>
      <c r="H561" s="56">
        <v>7</v>
      </c>
      <c r="I561" s="74">
        <v>0.11475409836065574</v>
      </c>
      <c r="J561" s="56" t="s">
        <v>4806</v>
      </c>
      <c r="K561" s="56" t="s">
        <v>3207</v>
      </c>
      <c r="L561" s="56" t="s">
        <v>3775</v>
      </c>
      <c r="M561" s="56" t="str">
        <f>HYPERLINK("https://dribble.octin.io/?mode=Single+log&amp;log_id=248ffa38-dd52-4941-9c65-dc1cf908b7e3","URL")</f>
        <v>URL</v>
      </c>
      <c r="N561" s="56" t="s">
        <v>3458</v>
      </c>
      <c r="O561" t="str">
        <f>_xlfn.XLOOKUP(N561,'Error-codes'!$C$2:$C$130,'Error-codes'!$B$2:$B$130, "None")</f>
        <v>motor drive: UNDER VOLTAGE</v>
      </c>
      <c r="U561" s="81">
        <f>DATEVALUE(LEFT(F561,10))</f>
        <v>44902</v>
      </c>
    </row>
    <row r="562" spans="1:21" hidden="1">
      <c r="A562" s="56" t="s">
        <v>4807</v>
      </c>
      <c r="B562" s="56" t="s">
        <v>3771</v>
      </c>
      <c r="C562" s="56" t="s">
        <v>4808</v>
      </c>
      <c r="D562" s="56" t="s">
        <v>37</v>
      </c>
      <c r="E562" s="56" t="s">
        <v>4564</v>
      </c>
      <c r="F562" s="56" t="s">
        <v>4809</v>
      </c>
      <c r="G562" s="56">
        <v>58</v>
      </c>
      <c r="H562" s="56">
        <v>4</v>
      </c>
      <c r="I562" s="74">
        <v>6.8965517241379309E-2</v>
      </c>
      <c r="J562" s="56" t="s">
        <v>4806</v>
      </c>
      <c r="K562" s="56" t="s">
        <v>3207</v>
      </c>
      <c r="L562" s="56" t="s">
        <v>3775</v>
      </c>
      <c r="M562" s="56" t="str">
        <f>HYPERLINK("https://dribble.octin.io/?mode=Single+log&amp;log_id=2876da3c-3ac9-4f1c-b3e6-f3342835c799","URL")</f>
        <v>URL</v>
      </c>
      <c r="N562" s="56" t="s">
        <v>3460</v>
      </c>
      <c r="O562" t="str">
        <f>_xlfn.XLOOKUP(N562,'Error-codes'!$C$2:$C$130,'Error-codes'!$B$2:$B$130, "None")</f>
        <v>motor drive: DRV8353 FAULT</v>
      </c>
      <c r="U562" s="81">
        <f>DATEVALUE(LEFT(F562,10))</f>
        <v>44902</v>
      </c>
    </row>
    <row r="563" spans="1:21" hidden="1">
      <c r="A563" s="56" t="s">
        <v>4810</v>
      </c>
      <c r="B563" s="56" t="s">
        <v>3771</v>
      </c>
      <c r="C563" s="56" t="s">
        <v>4811</v>
      </c>
      <c r="D563" s="56" t="s">
        <v>37</v>
      </c>
      <c r="E563" s="56" t="s">
        <v>4564</v>
      </c>
      <c r="F563" s="56" t="s">
        <v>4812</v>
      </c>
      <c r="G563" s="56">
        <v>6</v>
      </c>
      <c r="H563" s="56">
        <v>4</v>
      </c>
      <c r="I563" s="74">
        <v>0.66666666666666663</v>
      </c>
      <c r="J563" s="56" t="s">
        <v>4071</v>
      </c>
      <c r="K563" s="56" t="s">
        <v>3207</v>
      </c>
      <c r="L563" s="56" t="s">
        <v>3775</v>
      </c>
      <c r="M563" s="56" t="str">
        <f>HYPERLINK("https://dribble.octin.io/?mode=Single+log&amp;log_id=99c87a44-1b83-4538-a714-8479915c0a62","URL")</f>
        <v>URL</v>
      </c>
      <c r="N563" s="56" t="s">
        <v>3454</v>
      </c>
      <c r="O563" t="str">
        <f>_xlfn.XLOOKUP(N563,'Error-codes'!$C$2:$C$130,'Error-codes'!$B$2:$B$130, "None")</f>
        <v>Veh low level FSM: safety was triggered</v>
      </c>
      <c r="U563" s="81">
        <f>DATEVALUE(LEFT(F563,10))</f>
        <v>44902</v>
      </c>
    </row>
    <row r="564" spans="1:21" hidden="1">
      <c r="A564" s="56" t="s">
        <v>4813</v>
      </c>
      <c r="B564" s="56" t="s">
        <v>3771</v>
      </c>
      <c r="C564" s="56" t="s">
        <v>4814</v>
      </c>
      <c r="D564" s="56" t="s">
        <v>37</v>
      </c>
      <c r="E564" s="56" t="s">
        <v>4564</v>
      </c>
      <c r="F564" s="56" t="s">
        <v>4815</v>
      </c>
      <c r="G564" s="56">
        <v>10</v>
      </c>
      <c r="H564" s="56">
        <v>6</v>
      </c>
      <c r="I564" s="74">
        <v>0.6</v>
      </c>
      <c r="J564" s="56" t="s">
        <v>4816</v>
      </c>
      <c r="K564" s="56" t="s">
        <v>3207</v>
      </c>
      <c r="L564" s="56" t="s">
        <v>3775</v>
      </c>
      <c r="M564" s="56" t="str">
        <f>HYPERLINK("https://dribble.octin.io/?mode=Single+log&amp;log_id=50cba127-cdc2-444f-89b7-7852fae17bfb","URL")</f>
        <v>URL</v>
      </c>
      <c r="N564" s="56" t="s">
        <v>3460</v>
      </c>
      <c r="O564" t="str">
        <f>_xlfn.XLOOKUP(N564,'Error-codes'!$C$2:$C$130,'Error-codes'!$B$2:$B$130, "None")</f>
        <v>motor drive: DRV8353 FAULT</v>
      </c>
      <c r="U564" s="81">
        <f>DATEVALUE(LEFT(F564,10))</f>
        <v>44902</v>
      </c>
    </row>
    <row r="565" spans="1:21" hidden="1">
      <c r="B565" s="56" t="s">
        <v>295</v>
      </c>
      <c r="C565" s="56" t="s">
        <v>4817</v>
      </c>
      <c r="D565" s="56" t="s">
        <v>388</v>
      </c>
      <c r="F565" s="56" t="s">
        <v>4818</v>
      </c>
      <c r="G565" s="56">
        <v>5</v>
      </c>
      <c r="H565" s="56">
        <v>5</v>
      </c>
      <c r="I565" s="74">
        <v>1</v>
      </c>
      <c r="K565" s="56" t="s">
        <v>1893</v>
      </c>
      <c r="L565" s="56" t="s">
        <v>2942</v>
      </c>
      <c r="O565">
        <f>_xlfn.XLOOKUP(N565,'Error-codes'!$C$2:$C$130,'Error-codes'!$B$2:$B$130, "None")</f>
        <v>0</v>
      </c>
      <c r="U565" s="81">
        <f>DATEVALUE(LEFT(F565,10))</f>
        <v>44902</v>
      </c>
    </row>
    <row r="566" spans="1:21" hidden="1">
      <c r="B566" s="56" t="s">
        <v>295</v>
      </c>
      <c r="C566" s="56" t="s">
        <v>4819</v>
      </c>
      <c r="D566" s="56" t="s">
        <v>388</v>
      </c>
      <c r="F566" s="56" t="s">
        <v>4820</v>
      </c>
      <c r="G566" s="56">
        <v>18</v>
      </c>
      <c r="H566" s="56">
        <v>18</v>
      </c>
      <c r="I566" s="74">
        <v>1</v>
      </c>
      <c r="K566" s="56" t="s">
        <v>1893</v>
      </c>
      <c r="L566" s="56" t="s">
        <v>2942</v>
      </c>
      <c r="O566">
        <f>_xlfn.XLOOKUP(N566,'Error-codes'!$C$2:$C$130,'Error-codes'!$B$2:$B$130, "None")</f>
        <v>0</v>
      </c>
      <c r="U566" s="81">
        <f>DATEVALUE(LEFT(F566,10))</f>
        <v>44902</v>
      </c>
    </row>
    <row r="567" spans="1:21" hidden="1">
      <c r="A567" s="56"/>
      <c r="B567" s="56" t="s">
        <v>3771</v>
      </c>
      <c r="C567" s="56" t="s">
        <v>4821</v>
      </c>
      <c r="D567" s="56" t="s">
        <v>37</v>
      </c>
      <c r="E567" s="56" t="s">
        <v>4564</v>
      </c>
      <c r="F567" s="56" t="s">
        <v>4822</v>
      </c>
      <c r="G567" s="56">
        <v>4</v>
      </c>
      <c r="H567" s="56">
        <v>2</v>
      </c>
      <c r="I567" s="74">
        <v>0.5</v>
      </c>
      <c r="J567" s="56" t="s">
        <v>3315</v>
      </c>
      <c r="K567" s="56" t="s">
        <v>3207</v>
      </c>
      <c r="L567" s="56" t="s">
        <v>3775</v>
      </c>
      <c r="N567" s="56"/>
      <c r="O567">
        <f>_xlfn.XLOOKUP(N567,'Error-codes'!$C$2:$C$130,'Error-codes'!$B$2:$B$130, "None")</f>
        <v>0</v>
      </c>
      <c r="U567" s="81">
        <f>DATEVALUE(LEFT(F567,10))</f>
        <v>44902</v>
      </c>
    </row>
    <row r="568" spans="1:21" hidden="1">
      <c r="A568" s="56"/>
      <c r="B568" s="56" t="s">
        <v>3771</v>
      </c>
      <c r="C568" s="56" t="s">
        <v>4823</v>
      </c>
      <c r="D568" s="56" t="s">
        <v>37</v>
      </c>
      <c r="E568" s="56" t="s">
        <v>4564</v>
      </c>
      <c r="F568" s="56" t="s">
        <v>4824</v>
      </c>
      <c r="G568" s="56">
        <v>134</v>
      </c>
      <c r="H568" s="56">
        <v>2</v>
      </c>
      <c r="I568" s="74">
        <v>1.4925373134328358E-2</v>
      </c>
      <c r="J568" s="56" t="s">
        <v>4445</v>
      </c>
      <c r="K568" s="56" t="s">
        <v>3207</v>
      </c>
      <c r="L568" s="56" t="s">
        <v>3775</v>
      </c>
      <c r="N568" s="56" t="s">
        <v>3432</v>
      </c>
      <c r="O568" t="str">
        <f>_xlfn.XLOOKUP(N568,'Error-codes'!$C$2:$C$130,'Error-codes'!$B$2:$B$130, "None")</f>
        <v>vision did not initialize in time</v>
      </c>
      <c r="U568" s="81">
        <f>DATEVALUE(LEFT(F568,10))</f>
        <v>44902</v>
      </c>
    </row>
    <row r="569" spans="1:21" hidden="1">
      <c r="A569" s="56"/>
      <c r="B569" s="56" t="s">
        <v>29</v>
      </c>
      <c r="C569" s="56" t="s">
        <v>3097</v>
      </c>
      <c r="D569" s="56" t="s">
        <v>388</v>
      </c>
      <c r="E569" s="56" t="s">
        <v>2939</v>
      </c>
      <c r="F569" s="56" t="s">
        <v>3098</v>
      </c>
      <c r="G569" s="56">
        <v>140</v>
      </c>
      <c r="H569" s="56">
        <v>3</v>
      </c>
      <c r="I569" s="74">
        <v>2.1428571428571429E-2</v>
      </c>
      <c r="J569" s="56" t="s">
        <v>3099</v>
      </c>
      <c r="K569" s="56" t="s">
        <v>1873</v>
      </c>
      <c r="L569" s="56" t="s">
        <v>2942</v>
      </c>
      <c r="N569" s="56" t="s">
        <v>2933</v>
      </c>
      <c r="O569" t="str">
        <f>_xlfn.XLOOKUP(N569,'Error-codes'!$C$2:$C$130,'Error-codes'!$B$2:$B$130, "None")</f>
        <v>inductive sensor error</v>
      </c>
      <c r="U569" s="81">
        <f>DATEVALUE(LEFT(F569,10))</f>
        <v>44902</v>
      </c>
    </row>
    <row r="570" spans="1:21" hidden="1">
      <c r="A570" s="56" t="s">
        <v>4825</v>
      </c>
      <c r="B570" s="56" t="s">
        <v>2886</v>
      </c>
      <c r="C570" s="56" t="s">
        <v>4826</v>
      </c>
      <c r="D570" s="56" t="s">
        <v>388</v>
      </c>
      <c r="E570" s="56" t="s">
        <v>2939</v>
      </c>
      <c r="F570" s="56" t="s">
        <v>4827</v>
      </c>
      <c r="G570" s="56">
        <v>83</v>
      </c>
      <c r="H570" s="56">
        <v>37</v>
      </c>
      <c r="I570" s="74">
        <v>0.44578313253012047</v>
      </c>
      <c r="J570" s="56" t="s">
        <v>4760</v>
      </c>
      <c r="K570" s="56" t="s">
        <v>3103</v>
      </c>
      <c r="L570" s="56" t="s">
        <v>2932</v>
      </c>
      <c r="M570" s="56" t="str">
        <f>HYPERLINK("https://dribble.octin.io/?mode=Single+log&amp;log_id=2d5fc3a2-5304-4cd1-b943-bbc8a495abda","URL")</f>
        <v>URL</v>
      </c>
      <c r="N570" s="56" t="s">
        <v>3472</v>
      </c>
      <c r="O570" t="str">
        <f>_xlfn.XLOOKUP(N570,'Error-codes'!$C$2:$C$130,'Error-codes'!$B$2:$B$130, "None")</f>
        <v>Excessive slip detected</v>
      </c>
      <c r="U570" s="81">
        <f>DATEVALUE(LEFT(F570,10))</f>
        <v>44902</v>
      </c>
    </row>
    <row r="571" spans="1:21" hidden="1">
      <c r="A571" s="56" t="s">
        <v>4828</v>
      </c>
      <c r="B571" s="56" t="s">
        <v>295</v>
      </c>
      <c r="C571" s="56" t="s">
        <v>3105</v>
      </c>
      <c r="D571" s="56" t="s">
        <v>388</v>
      </c>
      <c r="E571" s="56" t="s">
        <v>2939</v>
      </c>
      <c r="F571" s="56" t="s">
        <v>4829</v>
      </c>
      <c r="G571" s="56">
        <v>194</v>
      </c>
      <c r="H571" s="56">
        <v>16</v>
      </c>
      <c r="I571" s="74">
        <v>8.247422680412371E-2</v>
      </c>
      <c r="J571" s="56" t="s">
        <v>4752</v>
      </c>
      <c r="K571" s="56" t="s">
        <v>1893</v>
      </c>
      <c r="L571" s="56" t="s">
        <v>2942</v>
      </c>
      <c r="M571" s="56" t="str">
        <f>HYPERLINK("https://dribble.octin.io/?mode=Single+log&amp;log_id=7e8a60dd-6fc3-4410-a10d-ed23ecd84c42","URL")</f>
        <v>URL</v>
      </c>
      <c r="N571" s="56" t="s">
        <v>3472</v>
      </c>
      <c r="O571" t="str">
        <f>_xlfn.XLOOKUP(N571,'Error-codes'!$C$2:$C$130,'Error-codes'!$B$2:$B$130, "None")</f>
        <v>Excessive slip detected</v>
      </c>
      <c r="Q571" s="51" t="s">
        <v>3081</v>
      </c>
      <c r="R571" s="51"/>
      <c r="S571" t="s">
        <v>4830</v>
      </c>
      <c r="U571" s="81">
        <f>DATEVALUE(LEFT(F571,10))</f>
        <v>44902</v>
      </c>
    </row>
    <row r="572" spans="1:21" hidden="1">
      <c r="A572" s="56" t="s">
        <v>4828</v>
      </c>
      <c r="B572" s="56" t="s">
        <v>295</v>
      </c>
      <c r="C572" s="56" t="s">
        <v>3105</v>
      </c>
      <c r="D572" s="56" t="s">
        <v>388</v>
      </c>
      <c r="E572" s="56" t="s">
        <v>2939</v>
      </c>
      <c r="F572" s="56" t="s">
        <v>4829</v>
      </c>
      <c r="G572" s="56">
        <v>194</v>
      </c>
      <c r="H572" s="56">
        <v>16</v>
      </c>
      <c r="I572" s="56">
        <v>8.247422680412371E-2</v>
      </c>
      <c r="J572" s="56" t="s">
        <v>4752</v>
      </c>
      <c r="K572" s="56" t="s">
        <v>1893</v>
      </c>
      <c r="L572" s="56" t="s">
        <v>2942</v>
      </c>
      <c r="M572" s="56" t="str">
        <f>HYPERLINK("https://dribble.octin.io/?mode=Single+log&amp;log_id=7e8a60dd-6fc3-4410-a10d-ed23ecd84c42","URL")</f>
        <v>URL</v>
      </c>
      <c r="N572" s="56" t="s">
        <v>3472</v>
      </c>
      <c r="O572" t="str">
        <f>_xlfn.XLOOKUP(N572,'Error-codes'!$C$2:$C$130,'Error-codes'!$B$2:$B$130, "None")</f>
        <v>Excessive slip detected</v>
      </c>
      <c r="U572" s="81">
        <f>DATEVALUE(LEFT(F572,10))</f>
        <v>44902</v>
      </c>
    </row>
    <row r="573" spans="1:21" hidden="1">
      <c r="A573" s="56" t="s">
        <v>4831</v>
      </c>
      <c r="B573" s="56" t="s">
        <v>228</v>
      </c>
      <c r="C573" s="56" t="s">
        <v>4832</v>
      </c>
      <c r="D573" s="56" t="s">
        <v>37</v>
      </c>
      <c r="E573" s="56" t="s">
        <v>4650</v>
      </c>
      <c r="F573" s="56" t="s">
        <v>4833</v>
      </c>
      <c r="G573" s="56">
        <v>90</v>
      </c>
      <c r="H573" s="56">
        <v>38</v>
      </c>
      <c r="I573" s="74">
        <v>0.42222222222222222</v>
      </c>
      <c r="J573" s="56" t="s">
        <v>4834</v>
      </c>
      <c r="K573" s="56" t="s">
        <v>3090</v>
      </c>
      <c r="L573" s="56" t="s">
        <v>2932</v>
      </c>
      <c r="M573" s="56" t="str">
        <f>HYPERLINK("https://dribble.octin.io/?mode=Single+log&amp;log_id=17bd235f-040b-4146-9d92-90c7a200a004","URL")</f>
        <v>URL</v>
      </c>
      <c r="N573" s="56" t="s">
        <v>3440</v>
      </c>
      <c r="O573" t="str">
        <f>_xlfn.XLOOKUP(N573,'Error-codes'!$C$2:$C$130,'Error-codes'!$B$2:$B$130, "None")</f>
        <v>Trajectory generation timeout</v>
      </c>
      <c r="S573" s="46" t="s">
        <v>4835</v>
      </c>
      <c r="U573" s="81">
        <f>DATEVALUE(LEFT(F573,10))</f>
        <v>44902</v>
      </c>
    </row>
    <row r="574" spans="1:21" hidden="1">
      <c r="B574" s="56" t="s">
        <v>2886</v>
      </c>
      <c r="C574" s="56" t="s">
        <v>4826</v>
      </c>
      <c r="D574" s="56" t="s">
        <v>388</v>
      </c>
      <c r="F574" s="56" t="s">
        <v>4836</v>
      </c>
      <c r="G574" s="56">
        <v>83</v>
      </c>
      <c r="H574" s="56">
        <v>82</v>
      </c>
      <c r="I574" s="74">
        <v>0.98795180722891562</v>
      </c>
      <c r="K574" s="56" t="s">
        <v>3103</v>
      </c>
      <c r="L574" s="56" t="s">
        <v>2932</v>
      </c>
      <c r="O574">
        <f>_xlfn.XLOOKUP(N574,'Error-codes'!$C$2:$C$130,'Error-codes'!$B$2:$B$130, "None")</f>
        <v>0</v>
      </c>
      <c r="U574" s="81">
        <f>DATEVALUE(LEFT(F574,10))</f>
        <v>44902</v>
      </c>
    </row>
    <row r="575" spans="1:21" hidden="1">
      <c r="B575" s="56" t="s">
        <v>29</v>
      </c>
      <c r="C575" s="56" t="s">
        <v>3097</v>
      </c>
      <c r="D575" s="56" t="s">
        <v>388</v>
      </c>
      <c r="F575" s="56" t="s">
        <v>4837</v>
      </c>
      <c r="G575" s="56">
        <v>140</v>
      </c>
      <c r="H575" s="56">
        <v>139</v>
      </c>
      <c r="I575" s="74">
        <v>0.99285714285714288</v>
      </c>
      <c r="K575" s="56" t="s">
        <v>1873</v>
      </c>
      <c r="L575" s="56" t="s">
        <v>2942</v>
      </c>
      <c r="O575">
        <f>_xlfn.XLOOKUP(N575,'Error-codes'!$C$2:$C$130,'Error-codes'!$B$2:$B$130, "None")</f>
        <v>0</v>
      </c>
      <c r="U575" s="81">
        <f>DATEVALUE(LEFT(F575,10))</f>
        <v>44903</v>
      </c>
    </row>
    <row r="576" spans="1:21" hidden="1">
      <c r="A576" s="56" t="s">
        <v>3104</v>
      </c>
      <c r="B576" s="56" t="s">
        <v>295</v>
      </c>
      <c r="C576" s="56" t="s">
        <v>3105</v>
      </c>
      <c r="D576" s="56" t="s">
        <v>388</v>
      </c>
      <c r="E576" s="56" t="s">
        <v>2939</v>
      </c>
      <c r="F576" s="56" t="s">
        <v>3106</v>
      </c>
      <c r="G576" s="56">
        <v>194</v>
      </c>
      <c r="H576" s="56">
        <v>159</v>
      </c>
      <c r="I576" s="74">
        <v>0.81958762886597936</v>
      </c>
      <c r="J576" s="56" t="s">
        <v>365</v>
      </c>
      <c r="K576" s="56" t="s">
        <v>1893</v>
      </c>
      <c r="L576" s="56" t="s">
        <v>2942</v>
      </c>
      <c r="M576" s="56" t="str">
        <f>HYPERLINK("https://dribble.octin.io/?mode=Single+log&amp;log_id=a8fcee44-a58a-474c-be68-4c8d7de163a8","URL")</f>
        <v>URL</v>
      </c>
      <c r="N576" s="56" t="s">
        <v>2933</v>
      </c>
      <c r="O576" t="str">
        <f>_xlfn.XLOOKUP(N576,'Error-codes'!$C$2:$C$130,'Error-codes'!$B$2:$B$130, "None")</f>
        <v>inductive sensor error</v>
      </c>
      <c r="P576" t="s">
        <v>3107</v>
      </c>
      <c r="U576" s="81">
        <f>DATEVALUE(LEFT(F576,10))</f>
        <v>44903</v>
      </c>
    </row>
    <row r="577" spans="1:21" hidden="1">
      <c r="B577" s="56" t="s">
        <v>295</v>
      </c>
      <c r="C577" s="56" t="s">
        <v>3105</v>
      </c>
      <c r="D577" s="56" t="s">
        <v>388</v>
      </c>
      <c r="F577" s="56" t="s">
        <v>4838</v>
      </c>
      <c r="G577" s="56">
        <v>194</v>
      </c>
      <c r="H577" s="56">
        <v>192</v>
      </c>
      <c r="I577" s="74">
        <v>0.98969072164948457</v>
      </c>
      <c r="K577" s="56" t="s">
        <v>1893</v>
      </c>
      <c r="L577" s="56" t="s">
        <v>2942</v>
      </c>
      <c r="O577">
        <f>_xlfn.XLOOKUP(N577,'Error-codes'!$C$2:$C$130,'Error-codes'!$B$2:$B$130, "None")</f>
        <v>0</v>
      </c>
      <c r="U577" s="81">
        <f>DATEVALUE(LEFT(F577,10))</f>
        <v>44903</v>
      </c>
    </row>
    <row r="578" spans="1:21" hidden="1">
      <c r="B578" s="56" t="s">
        <v>29</v>
      </c>
      <c r="C578" s="56" t="s">
        <v>4839</v>
      </c>
      <c r="D578" s="56"/>
      <c r="F578" s="56" t="s">
        <v>4840</v>
      </c>
      <c r="G578" s="56">
        <v>4</v>
      </c>
      <c r="H578" s="56">
        <v>2</v>
      </c>
      <c r="I578" s="74">
        <v>0.5</v>
      </c>
      <c r="K578" s="56" t="s">
        <v>1893</v>
      </c>
      <c r="L578" s="56" t="s">
        <v>2942</v>
      </c>
      <c r="O578">
        <f>_xlfn.XLOOKUP(N578,'Error-codes'!$C$2:$C$130,'Error-codes'!$B$2:$B$130, "None")</f>
        <v>0</v>
      </c>
      <c r="U578" s="81">
        <f>DATEVALUE(LEFT(F578,10))</f>
        <v>44903</v>
      </c>
    </row>
    <row r="579" spans="1:21" hidden="1">
      <c r="B579" s="56" t="s">
        <v>295</v>
      </c>
      <c r="C579" s="56" t="s">
        <v>4841</v>
      </c>
      <c r="D579" s="56" t="s">
        <v>388</v>
      </c>
      <c r="F579" s="56" t="s">
        <v>4842</v>
      </c>
      <c r="G579" s="56">
        <v>3</v>
      </c>
      <c r="H579" s="56">
        <v>3</v>
      </c>
      <c r="I579" s="74">
        <v>1</v>
      </c>
      <c r="K579" s="56" t="s">
        <v>1893</v>
      </c>
      <c r="L579" s="56" t="s">
        <v>2942</v>
      </c>
      <c r="O579">
        <f>_xlfn.XLOOKUP(N579,'Error-codes'!$C$2:$C$130,'Error-codes'!$B$2:$B$130, "None")</f>
        <v>0</v>
      </c>
      <c r="U579" s="81">
        <f>DATEVALUE(LEFT(F579,10))</f>
        <v>44903</v>
      </c>
    </row>
    <row r="580" spans="1:21" hidden="1">
      <c r="B580" s="56" t="s">
        <v>295</v>
      </c>
      <c r="C580" s="56" t="s">
        <v>4843</v>
      </c>
      <c r="D580" s="56" t="s">
        <v>388</v>
      </c>
      <c r="F580" s="56" t="s">
        <v>4844</v>
      </c>
      <c r="G580" s="56">
        <v>3</v>
      </c>
      <c r="H580" s="56">
        <v>3</v>
      </c>
      <c r="I580" s="74">
        <v>1</v>
      </c>
      <c r="K580" s="56" t="s">
        <v>1893</v>
      </c>
      <c r="L580" s="56" t="s">
        <v>2942</v>
      </c>
      <c r="O580">
        <f>_xlfn.XLOOKUP(N580,'Error-codes'!$C$2:$C$130,'Error-codes'!$B$2:$B$130, "None")</f>
        <v>0</v>
      </c>
      <c r="U580" s="81">
        <f>DATEVALUE(LEFT(F580,10))</f>
        <v>44903</v>
      </c>
    </row>
    <row r="581" spans="1:21" hidden="1">
      <c r="B581" s="56" t="s">
        <v>29</v>
      </c>
      <c r="C581" s="56" t="s">
        <v>4845</v>
      </c>
      <c r="D581" s="56" t="s">
        <v>388</v>
      </c>
      <c r="F581" s="56" t="s">
        <v>4846</v>
      </c>
      <c r="G581" s="56">
        <v>3</v>
      </c>
      <c r="H581" s="56">
        <v>3</v>
      </c>
      <c r="I581" s="74">
        <v>1</v>
      </c>
      <c r="K581" s="56" t="s">
        <v>1893</v>
      </c>
      <c r="L581" s="56" t="s">
        <v>2942</v>
      </c>
      <c r="O581">
        <f>_xlfn.XLOOKUP(N581,'Error-codes'!$C$2:$C$130,'Error-codes'!$B$2:$B$130, "None")</f>
        <v>0</v>
      </c>
      <c r="U581" s="81">
        <f>DATEVALUE(LEFT(F581,10))</f>
        <v>44903</v>
      </c>
    </row>
    <row r="582" spans="1:21" hidden="1">
      <c r="B582" s="56" t="s">
        <v>228</v>
      </c>
      <c r="C582" s="56" t="s">
        <v>4847</v>
      </c>
      <c r="D582" s="56"/>
      <c r="F582" s="56" t="s">
        <v>4848</v>
      </c>
      <c r="G582" s="56">
        <v>89</v>
      </c>
      <c r="H582" s="56">
        <v>67</v>
      </c>
      <c r="I582" s="74">
        <v>0.7528089887640449</v>
      </c>
      <c r="K582" s="56" t="s">
        <v>3090</v>
      </c>
      <c r="L582" s="56" t="s">
        <v>2932</v>
      </c>
      <c r="O582">
        <f>_xlfn.XLOOKUP(N582,'Error-codes'!$C$2:$C$130,'Error-codes'!$B$2:$B$130, "None")</f>
        <v>0</v>
      </c>
      <c r="U582" s="81">
        <f>DATEVALUE(LEFT(F582,10))</f>
        <v>44903</v>
      </c>
    </row>
    <row r="583" spans="1:21" hidden="1">
      <c r="A583" s="56"/>
      <c r="B583" s="56" t="s">
        <v>2886</v>
      </c>
      <c r="C583" s="56" t="s">
        <v>3100</v>
      </c>
      <c r="D583" s="56" t="s">
        <v>388</v>
      </c>
      <c r="E583" s="56" t="s">
        <v>2939</v>
      </c>
      <c r="F583" s="56" t="s">
        <v>3101</v>
      </c>
      <c r="G583" s="56">
        <v>76</v>
      </c>
      <c r="H583" s="56">
        <v>41</v>
      </c>
      <c r="I583" s="74">
        <v>0.53947368421052633</v>
      </c>
      <c r="J583" s="56" t="s">
        <v>3102</v>
      </c>
      <c r="K583" s="56" t="s">
        <v>3103</v>
      </c>
      <c r="L583" s="56" t="s">
        <v>2932</v>
      </c>
      <c r="N583" s="56" t="s">
        <v>2933</v>
      </c>
      <c r="O583" t="str">
        <f>_xlfn.XLOOKUP(N583,'Error-codes'!$C$2:$C$130,'Error-codes'!$B$2:$B$130, "None")</f>
        <v>inductive sensor error</v>
      </c>
      <c r="U583" s="81">
        <f>DATEVALUE(LEFT(F583,10))</f>
        <v>44903</v>
      </c>
    </row>
    <row r="584" spans="1:21" hidden="1">
      <c r="B584" s="56" t="s">
        <v>2886</v>
      </c>
      <c r="C584" s="56" t="s">
        <v>3100</v>
      </c>
      <c r="D584" s="56" t="s">
        <v>388</v>
      </c>
      <c r="F584" s="56" t="s">
        <v>4849</v>
      </c>
      <c r="G584" s="56">
        <v>76</v>
      </c>
      <c r="H584" s="56">
        <v>75</v>
      </c>
      <c r="I584" s="74">
        <v>0.98684210526315785</v>
      </c>
      <c r="K584" s="56" t="s">
        <v>3103</v>
      </c>
      <c r="L584" s="56" t="s">
        <v>2932</v>
      </c>
      <c r="O584">
        <f>_xlfn.XLOOKUP(N584,'Error-codes'!$C$2:$C$130,'Error-codes'!$B$2:$B$130, "None")</f>
        <v>0</v>
      </c>
      <c r="U584" s="81">
        <f>DATEVALUE(LEFT(F584,10))</f>
        <v>44903</v>
      </c>
    </row>
    <row r="585" spans="1:21" hidden="1">
      <c r="B585" s="56" t="s">
        <v>228</v>
      </c>
      <c r="C585" s="56" t="s">
        <v>4850</v>
      </c>
      <c r="D585" s="56" t="s">
        <v>22</v>
      </c>
      <c r="F585" s="56" t="s">
        <v>4851</v>
      </c>
      <c r="G585" s="56">
        <v>12</v>
      </c>
      <c r="H585" s="56">
        <v>1</v>
      </c>
      <c r="I585" s="74">
        <v>8.3333333333333329E-2</v>
      </c>
      <c r="K585" s="56" t="s">
        <v>3090</v>
      </c>
      <c r="L585" s="56" t="s">
        <v>2932</v>
      </c>
      <c r="O585">
        <f>_xlfn.XLOOKUP(N585,'Error-codes'!$C$2:$C$130,'Error-codes'!$B$2:$B$130, "None")</f>
        <v>0</v>
      </c>
      <c r="U585" s="81">
        <f>DATEVALUE(LEFT(F585,10))</f>
        <v>44904</v>
      </c>
    </row>
    <row r="586" spans="1:21" hidden="1">
      <c r="B586" s="56" t="s">
        <v>228</v>
      </c>
      <c r="C586" s="56" t="s">
        <v>4852</v>
      </c>
      <c r="D586" s="56"/>
      <c r="F586" s="56" t="s">
        <v>4853</v>
      </c>
      <c r="G586" s="56">
        <v>82</v>
      </c>
      <c r="H586" s="56">
        <v>1</v>
      </c>
      <c r="I586" s="74">
        <v>1.2195121951219513E-2</v>
      </c>
      <c r="K586" s="56" t="s">
        <v>3103</v>
      </c>
      <c r="L586" s="56" t="s">
        <v>2932</v>
      </c>
      <c r="O586">
        <f>_xlfn.XLOOKUP(N586,'Error-codes'!$C$2:$C$130,'Error-codes'!$B$2:$B$130, "None")</f>
        <v>0</v>
      </c>
      <c r="U586" s="81">
        <f>DATEVALUE(LEFT(F586,10))</f>
        <v>44904</v>
      </c>
    </row>
    <row r="587" spans="1:21" hidden="1">
      <c r="B587" s="56" t="s">
        <v>29</v>
      </c>
      <c r="C587" s="56" t="s">
        <v>4854</v>
      </c>
      <c r="D587" s="56" t="s">
        <v>22</v>
      </c>
      <c r="F587" s="56" t="s">
        <v>4855</v>
      </c>
      <c r="G587" s="56">
        <v>181</v>
      </c>
      <c r="H587" s="56">
        <v>0</v>
      </c>
      <c r="I587" s="74">
        <v>0</v>
      </c>
      <c r="K587" s="56" t="s">
        <v>1893</v>
      </c>
      <c r="L587" s="56" t="s">
        <v>2942</v>
      </c>
      <c r="O587">
        <f>_xlfn.XLOOKUP(N587,'Error-codes'!$C$2:$C$130,'Error-codes'!$B$2:$B$130, "None")</f>
        <v>0</v>
      </c>
      <c r="U587" s="81">
        <f>DATEVALUE(LEFT(F587,10))</f>
        <v>44904</v>
      </c>
    </row>
    <row r="588" spans="1:21" hidden="1">
      <c r="A588" s="56"/>
      <c r="B588" s="56" t="s">
        <v>2886</v>
      </c>
      <c r="C588" s="56" t="s">
        <v>4856</v>
      </c>
      <c r="D588" s="56" t="s">
        <v>37</v>
      </c>
      <c r="E588" s="56" t="s">
        <v>4351</v>
      </c>
      <c r="F588" s="56" t="s">
        <v>4857</v>
      </c>
      <c r="G588" s="56">
        <v>90</v>
      </c>
      <c r="H588" s="56">
        <v>7</v>
      </c>
      <c r="I588" s="74">
        <v>7.7777777777777779E-2</v>
      </c>
      <c r="J588" s="56" t="s">
        <v>331</v>
      </c>
      <c r="K588" s="56" t="s">
        <v>3090</v>
      </c>
      <c r="L588" s="56" t="s">
        <v>2932</v>
      </c>
      <c r="N588" s="56" t="s">
        <v>3472</v>
      </c>
      <c r="O588" t="str">
        <f>_xlfn.XLOOKUP(N588,'Error-codes'!$C$2:$C$130,'Error-codes'!$B$2:$B$130, "None")</f>
        <v>Excessive slip detected</v>
      </c>
      <c r="U588" s="81">
        <f>DATEVALUE(LEFT(F588,10))</f>
        <v>44904</v>
      </c>
    </row>
    <row r="589" spans="1:21" hidden="1">
      <c r="A589" s="56" t="s">
        <v>3115</v>
      </c>
      <c r="B589" s="56" t="s">
        <v>228</v>
      </c>
      <c r="C589" s="56" t="s">
        <v>3112</v>
      </c>
      <c r="D589" s="56" t="s">
        <v>388</v>
      </c>
      <c r="E589" s="56" t="s">
        <v>2939</v>
      </c>
      <c r="F589" s="56" t="s">
        <v>3116</v>
      </c>
      <c r="G589" s="56">
        <v>84</v>
      </c>
      <c r="H589" s="56">
        <v>73</v>
      </c>
      <c r="I589" s="74">
        <v>0.86904761904761907</v>
      </c>
      <c r="J589" s="56" t="s">
        <v>3117</v>
      </c>
      <c r="K589" s="56" t="s">
        <v>3103</v>
      </c>
      <c r="L589" s="56" t="s">
        <v>2932</v>
      </c>
      <c r="M589" s="56" t="str">
        <f>HYPERLINK("https://dribble.octin.io/?mode=Single+log&amp;log_id=a5847e40-41e1-4525-b069-30eb99215ed0","URL")</f>
        <v>URL</v>
      </c>
      <c r="N589" s="56" t="s">
        <v>2933</v>
      </c>
      <c r="O589" t="str">
        <f>_xlfn.XLOOKUP(N589,'Error-codes'!$C$2:$C$130,'Error-codes'!$B$2:$B$130, "None")</f>
        <v>inductive sensor error</v>
      </c>
      <c r="U589" s="81">
        <f>DATEVALUE(LEFT(F589,10))</f>
        <v>44904</v>
      </c>
    </row>
    <row r="590" spans="1:21" hidden="1">
      <c r="A590" s="56" t="s">
        <v>3111</v>
      </c>
      <c r="B590" s="56" t="s">
        <v>228</v>
      </c>
      <c r="C590" s="56" t="s">
        <v>3112</v>
      </c>
      <c r="D590" s="56" t="s">
        <v>388</v>
      </c>
      <c r="E590" s="56" t="s">
        <v>2939</v>
      </c>
      <c r="F590" s="56" t="s">
        <v>3113</v>
      </c>
      <c r="G590" s="56">
        <v>84</v>
      </c>
      <c r="H590" s="56">
        <v>81</v>
      </c>
      <c r="I590" s="74">
        <v>0.9642857142857143</v>
      </c>
      <c r="J590" s="56" t="s">
        <v>3114</v>
      </c>
      <c r="K590" s="56" t="s">
        <v>3103</v>
      </c>
      <c r="L590" s="56" t="s">
        <v>2932</v>
      </c>
      <c r="M590" s="56" t="str">
        <f>HYPERLINK("https://dribble.octin.io/?mode=Single+log&amp;log_id=05ad145a-a0df-4e3f-9945-9dd22bdc687e","URL")</f>
        <v>URL</v>
      </c>
      <c r="N590" s="56" t="s">
        <v>2933</v>
      </c>
      <c r="O590" t="str">
        <f>_xlfn.XLOOKUP(N590,'Error-codes'!$C$2:$C$130,'Error-codes'!$B$2:$B$130, "None")</f>
        <v>inductive sensor error</v>
      </c>
      <c r="U590" s="81">
        <f>DATEVALUE(LEFT(F590,10))</f>
        <v>44904</v>
      </c>
    </row>
    <row r="591" spans="1:21" hidden="1">
      <c r="B591" s="56" t="s">
        <v>228</v>
      </c>
      <c r="C591" s="56" t="s">
        <v>3112</v>
      </c>
      <c r="D591" s="56" t="s">
        <v>388</v>
      </c>
      <c r="F591" s="56" t="s">
        <v>4858</v>
      </c>
      <c r="G591" s="56">
        <v>84</v>
      </c>
      <c r="H591" s="56">
        <v>82</v>
      </c>
      <c r="I591" s="74">
        <v>0.97619047619047616</v>
      </c>
      <c r="K591" s="56" t="s">
        <v>3103</v>
      </c>
      <c r="L591" s="56" t="s">
        <v>2932</v>
      </c>
      <c r="O591">
        <f>_xlfn.XLOOKUP(N591,'Error-codes'!$C$2:$C$130,'Error-codes'!$B$2:$B$130, "None")</f>
        <v>0</v>
      </c>
      <c r="U591" s="81">
        <f>DATEVALUE(LEFT(F591,10))</f>
        <v>44904</v>
      </c>
    </row>
    <row r="592" spans="1:21" hidden="1">
      <c r="A592" s="56" t="s">
        <v>3108</v>
      </c>
      <c r="B592" s="56" t="s">
        <v>29</v>
      </c>
      <c r="C592" s="56" t="s">
        <v>3109</v>
      </c>
      <c r="D592" s="56" t="s">
        <v>388</v>
      </c>
      <c r="E592" s="56" t="s">
        <v>2939</v>
      </c>
      <c r="F592" s="56" t="s">
        <v>3110</v>
      </c>
      <c r="G592" s="56">
        <v>181</v>
      </c>
      <c r="H592" s="56">
        <v>76</v>
      </c>
      <c r="I592" s="74">
        <v>0.41988950276243092</v>
      </c>
      <c r="J592" s="56" t="s">
        <v>416</v>
      </c>
      <c r="K592" s="56" t="s">
        <v>1893</v>
      </c>
      <c r="L592" s="56" t="s">
        <v>2942</v>
      </c>
      <c r="M592" s="56" t="str">
        <f>HYPERLINK("https://dribble.octin.io/?mode=Single+log&amp;log_id=2b7653e6-ae1b-499b-ae8a-540f3b7976e4","URL")</f>
        <v>URL</v>
      </c>
      <c r="N592" s="56" t="s">
        <v>2933</v>
      </c>
      <c r="O592" t="str">
        <f>_xlfn.XLOOKUP(N592,'Error-codes'!$C$2:$C$130,'Error-codes'!$B$2:$B$130, "None")</f>
        <v>inductive sensor error</v>
      </c>
      <c r="P592" t="s">
        <v>3107</v>
      </c>
      <c r="U592" s="81">
        <f>DATEVALUE(LEFT(F592,10))</f>
        <v>44904</v>
      </c>
    </row>
    <row r="593" spans="1:21" hidden="1">
      <c r="A593" s="56" t="s">
        <v>4859</v>
      </c>
      <c r="B593" s="56" t="s">
        <v>295</v>
      </c>
      <c r="C593" s="56" t="s">
        <v>4860</v>
      </c>
      <c r="D593" s="56" t="s">
        <v>388</v>
      </c>
      <c r="E593" s="56" t="s">
        <v>2939</v>
      </c>
      <c r="F593" s="56" t="s">
        <v>4861</v>
      </c>
      <c r="G593" s="56">
        <v>140</v>
      </c>
      <c r="H593" s="56">
        <v>120</v>
      </c>
      <c r="I593" s="74">
        <v>0.8571428571428571</v>
      </c>
      <c r="J593" s="56" t="s">
        <v>466</v>
      </c>
      <c r="K593" s="56" t="s">
        <v>1873</v>
      </c>
      <c r="L593" s="56" t="s">
        <v>2942</v>
      </c>
      <c r="M593" s="56" t="str">
        <f>HYPERLINK("https://dribble.octin.io/?mode=Single+log&amp;log_id=a0d0625d-420d-42bf-9776-0a5c5de2525e","URL")</f>
        <v>URL</v>
      </c>
      <c r="N593" s="56" t="s">
        <v>3444</v>
      </c>
      <c r="O593" t="str">
        <f>_xlfn.XLOOKUP(N593,'Error-codes'!$C$2:$C$130,'Error-codes'!$B$2:$B$130, "None")</f>
        <v>collision detected in operational state for the 4th time in a row</v>
      </c>
      <c r="S593" t="s">
        <v>4749</v>
      </c>
      <c r="U593" s="81">
        <f>DATEVALUE(LEFT(F593,10))</f>
        <v>44904</v>
      </c>
    </row>
    <row r="594" spans="1:21" hidden="1">
      <c r="B594" s="56" t="s">
        <v>295</v>
      </c>
      <c r="C594" s="56" t="s">
        <v>4860</v>
      </c>
      <c r="D594" s="56" t="s">
        <v>388</v>
      </c>
      <c r="F594" s="56" t="s">
        <v>4862</v>
      </c>
      <c r="G594" s="56">
        <v>140</v>
      </c>
      <c r="H594" s="56">
        <v>139</v>
      </c>
      <c r="I594" s="74">
        <v>0.99285714285714288</v>
      </c>
      <c r="K594" s="56" t="s">
        <v>1873</v>
      </c>
      <c r="L594" s="56" t="s">
        <v>2942</v>
      </c>
      <c r="O594">
        <f>_xlfn.XLOOKUP(N594,'Error-codes'!$C$2:$C$130,'Error-codes'!$B$2:$B$130, "None")</f>
        <v>0</v>
      </c>
      <c r="U594" s="81">
        <f>DATEVALUE(LEFT(F594,10))</f>
        <v>44905</v>
      </c>
    </row>
    <row r="595" spans="1:21" hidden="1">
      <c r="A595" s="56" t="s">
        <v>3118</v>
      </c>
      <c r="B595" s="56" t="s">
        <v>29</v>
      </c>
      <c r="C595" s="56" t="s">
        <v>3109</v>
      </c>
      <c r="D595" s="56" t="s">
        <v>388</v>
      </c>
      <c r="E595" s="56" t="s">
        <v>2939</v>
      </c>
      <c r="F595" s="56" t="s">
        <v>3119</v>
      </c>
      <c r="G595" s="56">
        <v>181</v>
      </c>
      <c r="H595" s="56">
        <v>146</v>
      </c>
      <c r="I595" s="74">
        <v>0.8066298342541437</v>
      </c>
      <c r="J595" s="56" t="s">
        <v>365</v>
      </c>
      <c r="K595" s="56" t="s">
        <v>1893</v>
      </c>
      <c r="L595" s="56" t="s">
        <v>2942</v>
      </c>
      <c r="M595" s="56" t="str">
        <f>HYPERLINK("https://dribble.octin.io/?mode=Single+log&amp;log_id=edf323be-96f4-416c-98f1-3cafcd43c11d","URL")</f>
        <v>URL</v>
      </c>
      <c r="N595" s="56" t="s">
        <v>2933</v>
      </c>
      <c r="O595" t="str">
        <f>_xlfn.XLOOKUP(N595,'Error-codes'!$C$2:$C$130,'Error-codes'!$B$2:$B$130, "None")</f>
        <v>inductive sensor error</v>
      </c>
      <c r="P595" t="s">
        <v>3107</v>
      </c>
      <c r="U595" s="81">
        <f>DATEVALUE(LEFT(F595,10))</f>
        <v>44905</v>
      </c>
    </row>
    <row r="596" spans="1:21" hidden="1">
      <c r="B596" s="56" t="s">
        <v>29</v>
      </c>
      <c r="C596" s="56" t="s">
        <v>3109</v>
      </c>
      <c r="D596" s="56" t="s">
        <v>388</v>
      </c>
      <c r="F596" s="56" t="s">
        <v>4863</v>
      </c>
      <c r="G596" s="56">
        <v>181</v>
      </c>
      <c r="H596" s="56">
        <v>179</v>
      </c>
      <c r="I596" s="74">
        <v>0.98895027624309395</v>
      </c>
      <c r="K596" s="56" t="s">
        <v>1893</v>
      </c>
      <c r="L596" s="56" t="s">
        <v>2942</v>
      </c>
      <c r="O596">
        <f>_xlfn.XLOOKUP(N596,'Error-codes'!$C$2:$C$130,'Error-codes'!$B$2:$B$130, "None")</f>
        <v>0</v>
      </c>
      <c r="U596" s="81">
        <f>DATEVALUE(LEFT(F596,10))</f>
        <v>44905</v>
      </c>
    </row>
    <row r="597" spans="1:21" ht="45.75" hidden="1">
      <c r="A597" s="56" t="s">
        <v>4864</v>
      </c>
      <c r="B597" s="56" t="s">
        <v>295</v>
      </c>
      <c r="C597" s="56" t="s">
        <v>4865</v>
      </c>
      <c r="D597" s="56" t="s">
        <v>37</v>
      </c>
      <c r="E597" s="56" t="s">
        <v>4351</v>
      </c>
      <c r="F597" s="56" t="s">
        <v>4866</v>
      </c>
      <c r="G597" s="56">
        <v>37</v>
      </c>
      <c r="H597" s="56">
        <v>34</v>
      </c>
      <c r="I597" s="74">
        <v>0.91891891891891897</v>
      </c>
      <c r="J597" s="56" t="s">
        <v>4867</v>
      </c>
      <c r="K597" s="56" t="s">
        <v>1893</v>
      </c>
      <c r="L597" s="56" t="s">
        <v>2942</v>
      </c>
      <c r="M597" s="56" t="str">
        <f>HYPERLINK("https://dribble.octin.io/?mode=Single+log&amp;log_id=41723fe4-b386-4e51-8127-57c7f4a5028a","URL")</f>
        <v>URL</v>
      </c>
      <c r="N597" s="56" t="s">
        <v>3472</v>
      </c>
      <c r="O597" t="str">
        <f>_xlfn.XLOOKUP(N597,'Error-codes'!$C$2:$C$130,'Error-codes'!$B$2:$B$130, "None")</f>
        <v>Excessive slip detected</v>
      </c>
      <c r="S597" s="48" t="s">
        <v>4868</v>
      </c>
      <c r="U597" s="81">
        <f>DATEVALUE(LEFT(F597,10))</f>
        <v>44905</v>
      </c>
    </row>
    <row r="598" spans="1:21" hidden="1">
      <c r="A598" s="56"/>
      <c r="B598" s="56" t="s">
        <v>2886</v>
      </c>
      <c r="C598" s="56" t="s">
        <v>4869</v>
      </c>
      <c r="D598" s="56" t="s">
        <v>37</v>
      </c>
      <c r="E598" s="56" t="s">
        <v>3253</v>
      </c>
      <c r="F598" s="56" t="s">
        <v>4870</v>
      </c>
      <c r="G598" s="56">
        <v>85</v>
      </c>
      <c r="H598" s="56">
        <v>4</v>
      </c>
      <c r="I598" s="74">
        <v>4.7058823529411764E-2</v>
      </c>
      <c r="J598" s="56" t="s">
        <v>4641</v>
      </c>
      <c r="K598" s="56" t="s">
        <v>3090</v>
      </c>
      <c r="L598" s="56" t="s">
        <v>2932</v>
      </c>
      <c r="N598" s="56" t="s">
        <v>3454</v>
      </c>
      <c r="O598" t="str">
        <f>_xlfn.XLOOKUP(N598,'Error-codes'!$C$2:$C$130,'Error-codes'!$B$2:$B$130, "None")</f>
        <v>Veh low level FSM: safety was triggered</v>
      </c>
      <c r="U598" s="81">
        <f>DATEVALUE(LEFT(F598,10))</f>
        <v>44905</v>
      </c>
    </row>
    <row r="599" spans="1:21" hidden="1">
      <c r="A599" s="56"/>
      <c r="B599" s="56" t="s">
        <v>2886</v>
      </c>
      <c r="C599" s="56" t="s">
        <v>4871</v>
      </c>
      <c r="D599" s="56" t="s">
        <v>37</v>
      </c>
      <c r="E599" s="56" t="s">
        <v>4222</v>
      </c>
      <c r="F599" s="56" t="s">
        <v>4872</v>
      </c>
      <c r="G599" s="56">
        <v>85</v>
      </c>
      <c r="H599" s="56">
        <v>3</v>
      </c>
      <c r="I599" s="74">
        <v>3.5294117647058823E-2</v>
      </c>
      <c r="J599" s="56" t="s">
        <v>358</v>
      </c>
      <c r="K599" s="56" t="s">
        <v>3090</v>
      </c>
      <c r="L599" s="56" t="s">
        <v>2932</v>
      </c>
      <c r="N599" s="56" t="s">
        <v>3458</v>
      </c>
      <c r="O599" t="str">
        <f>_xlfn.XLOOKUP(N599,'Error-codes'!$C$2:$C$130,'Error-codes'!$B$2:$B$130, "None")</f>
        <v>motor drive: UNDER VOLTAGE</v>
      </c>
      <c r="U599" s="81">
        <f>DATEVALUE(LEFT(F599,10))</f>
        <v>44905</v>
      </c>
    </row>
    <row r="600" spans="1:21" hidden="1">
      <c r="A600" s="56"/>
      <c r="B600" s="56" t="s">
        <v>2886</v>
      </c>
      <c r="C600" s="56" t="s">
        <v>4873</v>
      </c>
      <c r="D600" s="56" t="s">
        <v>37</v>
      </c>
      <c r="E600" s="56" t="s">
        <v>4398</v>
      </c>
      <c r="F600" s="56" t="s">
        <v>4874</v>
      </c>
      <c r="G600" s="56">
        <v>91</v>
      </c>
      <c r="H600" s="56">
        <v>4</v>
      </c>
      <c r="I600" s="74">
        <v>4.3956043956043959E-2</v>
      </c>
      <c r="J600" s="56" t="s">
        <v>4875</v>
      </c>
      <c r="K600" s="56" t="s">
        <v>3103</v>
      </c>
      <c r="L600" s="56" t="s">
        <v>2932</v>
      </c>
      <c r="N600" s="56" t="s">
        <v>3466</v>
      </c>
      <c r="O600" t="str">
        <f>_xlfn.XLOOKUP(N600,'Error-codes'!$C$2:$C$130,'Error-codes'!$B$2:$B$130, "None")</f>
        <v>vision error</v>
      </c>
      <c r="U600" s="81">
        <f>DATEVALUE(LEFT(F600,10))</f>
        <v>44905</v>
      </c>
    </row>
    <row r="601" spans="1:21" hidden="1">
      <c r="A601" s="56"/>
      <c r="B601" s="56" t="s">
        <v>2886</v>
      </c>
      <c r="C601" s="56" t="s">
        <v>4873</v>
      </c>
      <c r="D601" s="56" t="s">
        <v>37</v>
      </c>
      <c r="E601" s="56" t="s">
        <v>2939</v>
      </c>
      <c r="F601" s="56" t="s">
        <v>4876</v>
      </c>
      <c r="G601" s="56">
        <v>91</v>
      </c>
      <c r="H601" s="56">
        <v>2</v>
      </c>
      <c r="I601" s="74">
        <v>2.197802197802198E-2</v>
      </c>
      <c r="J601" s="56" t="s">
        <v>4684</v>
      </c>
      <c r="K601" s="56" t="s">
        <v>3103</v>
      </c>
      <c r="L601" s="56" t="s">
        <v>2932</v>
      </c>
      <c r="N601" s="56" t="s">
        <v>3466</v>
      </c>
      <c r="O601" t="str">
        <f>_xlfn.XLOOKUP(N601,'Error-codes'!$C$2:$C$130,'Error-codes'!$B$2:$B$130, "None")</f>
        <v>vision error</v>
      </c>
      <c r="U601" s="81">
        <f>DATEVALUE(LEFT(F601,10))</f>
        <v>44905</v>
      </c>
    </row>
    <row r="602" spans="1:21" hidden="1">
      <c r="B602" s="56" t="s">
        <v>2886</v>
      </c>
      <c r="C602" s="56" t="s">
        <v>4877</v>
      </c>
      <c r="D602" s="56" t="s">
        <v>22</v>
      </c>
      <c r="F602" s="56" t="s">
        <v>4878</v>
      </c>
      <c r="G602" s="56">
        <v>6</v>
      </c>
      <c r="H602" s="56">
        <v>1</v>
      </c>
      <c r="I602" s="74">
        <v>0.16666666666666666</v>
      </c>
      <c r="K602" s="56" t="s">
        <v>3123</v>
      </c>
      <c r="L602" s="56" t="s">
        <v>2932</v>
      </c>
      <c r="O602">
        <f>_xlfn.XLOOKUP(N602,'Error-codes'!$C$2:$C$130,'Error-codes'!$B$2:$B$130, "None")</f>
        <v>0</v>
      </c>
      <c r="U602" s="81">
        <f>DATEVALUE(LEFT(F602,10))</f>
        <v>44908</v>
      </c>
    </row>
    <row r="603" spans="1:21" ht="30.75" hidden="1">
      <c r="A603" s="56" t="s">
        <v>4879</v>
      </c>
      <c r="B603" s="56" t="s">
        <v>228</v>
      </c>
      <c r="C603" s="56" t="s">
        <v>4880</v>
      </c>
      <c r="D603" s="56" t="s">
        <v>37</v>
      </c>
      <c r="E603" s="56" t="s">
        <v>4690</v>
      </c>
      <c r="F603" s="56" t="s">
        <v>4881</v>
      </c>
      <c r="G603" s="56">
        <v>86</v>
      </c>
      <c r="H603" s="56">
        <v>2</v>
      </c>
      <c r="I603" s="74">
        <v>2.3255813953488372E-2</v>
      </c>
      <c r="J603" s="56" t="s">
        <v>4684</v>
      </c>
      <c r="K603" s="56" t="s">
        <v>4882</v>
      </c>
      <c r="L603" s="56" t="s">
        <v>2932</v>
      </c>
      <c r="M603" s="56" t="str">
        <f>HYPERLINK("https://dribble.octin.io/?mode=Single+log&amp;log_id=5bc42a25-2062-4e05-aafe-41819491677d","URL")</f>
        <v>URL</v>
      </c>
      <c r="N603" s="56" t="s">
        <v>3438</v>
      </c>
      <c r="O603" t="str">
        <f>_xlfn.XLOOKUP(N603,'Error-codes'!$C$2:$C$130,'Error-codes'!$B$2:$B$130, "None")</f>
        <v>Failed to find feasible path</v>
      </c>
      <c r="Q603" s="51" t="s">
        <v>3013</v>
      </c>
      <c r="R603" s="51"/>
      <c r="U603" s="81">
        <f>DATEVALUE(LEFT(F603,10))</f>
        <v>44908</v>
      </c>
    </row>
    <row r="604" spans="1:21" hidden="1">
      <c r="A604" s="56"/>
      <c r="B604" s="56" t="s">
        <v>2886</v>
      </c>
      <c r="C604" s="56" t="s">
        <v>3120</v>
      </c>
      <c r="D604" s="56" t="s">
        <v>37</v>
      </c>
      <c r="E604" s="56" t="s">
        <v>2939</v>
      </c>
      <c r="F604" s="56" t="s">
        <v>3124</v>
      </c>
      <c r="G604" s="56">
        <v>180</v>
      </c>
      <c r="H604" s="56">
        <v>25</v>
      </c>
      <c r="I604" s="74">
        <v>0.1388888888888889</v>
      </c>
      <c r="J604" s="56" t="s">
        <v>3125</v>
      </c>
      <c r="K604" s="56" t="s">
        <v>3123</v>
      </c>
      <c r="L604" s="56" t="s">
        <v>2932</v>
      </c>
      <c r="N604" s="56" t="s">
        <v>2933</v>
      </c>
      <c r="O604" t="str">
        <f>_xlfn.XLOOKUP(N604,'Error-codes'!$C$2:$C$130,'Error-codes'!$B$2:$B$130, "None")</f>
        <v>inductive sensor error</v>
      </c>
      <c r="U604" s="81">
        <f>DATEVALUE(LEFT(F604,10))</f>
        <v>44908</v>
      </c>
    </row>
    <row r="605" spans="1:21" hidden="1">
      <c r="A605" s="56"/>
      <c r="B605" s="56" t="s">
        <v>2886</v>
      </c>
      <c r="C605" s="56" t="s">
        <v>3120</v>
      </c>
      <c r="D605" s="56" t="s">
        <v>37</v>
      </c>
      <c r="E605" s="56" t="s">
        <v>2939</v>
      </c>
      <c r="F605" s="56" t="s">
        <v>3121</v>
      </c>
      <c r="G605" s="56">
        <v>180</v>
      </c>
      <c r="H605" s="56">
        <v>65</v>
      </c>
      <c r="I605" s="74">
        <v>0.3611111111111111</v>
      </c>
      <c r="J605" s="56" t="s">
        <v>3122</v>
      </c>
      <c r="K605" s="56" t="s">
        <v>3123</v>
      </c>
      <c r="L605" s="56" t="s">
        <v>2932</v>
      </c>
      <c r="N605" s="56" t="s">
        <v>2933</v>
      </c>
      <c r="O605" t="str">
        <f>_xlfn.XLOOKUP(N605,'Error-codes'!$C$2:$C$130,'Error-codes'!$B$2:$B$130, "None")</f>
        <v>inductive sensor error</v>
      </c>
      <c r="U605" s="81">
        <f>DATEVALUE(LEFT(F605,10))</f>
        <v>44908</v>
      </c>
    </row>
    <row r="606" spans="1:21" hidden="1">
      <c r="A606" s="56"/>
      <c r="B606" s="56" t="s">
        <v>2886</v>
      </c>
      <c r="C606" s="56" t="s">
        <v>3120</v>
      </c>
      <c r="D606" s="56" t="s">
        <v>37</v>
      </c>
      <c r="E606" s="56" t="s">
        <v>4371</v>
      </c>
      <c r="F606" s="56" t="s">
        <v>4883</v>
      </c>
      <c r="G606" s="56">
        <v>180</v>
      </c>
      <c r="H606" s="56">
        <v>67</v>
      </c>
      <c r="I606" s="74">
        <v>0.37222222222222223</v>
      </c>
      <c r="J606" s="56" t="s">
        <v>4884</v>
      </c>
      <c r="K606" s="56" t="s">
        <v>3123</v>
      </c>
      <c r="L606" s="56" t="s">
        <v>2932</v>
      </c>
      <c r="N606" s="56" t="s">
        <v>3470</v>
      </c>
      <c r="O606" t="str">
        <f>_xlfn.XLOOKUP(N606,'Error-codes'!$C$2:$C$130,'Error-codes'!$B$2:$B$130, "None")</f>
        <v>battery level critical low</v>
      </c>
      <c r="U606" s="81">
        <f>DATEVALUE(LEFT(F606,10))</f>
        <v>44909</v>
      </c>
    </row>
    <row r="607" spans="1:21" hidden="1">
      <c r="A607" s="56" t="s">
        <v>4885</v>
      </c>
      <c r="B607" s="56" t="s">
        <v>29</v>
      </c>
      <c r="C607" s="56" t="s">
        <v>4886</v>
      </c>
      <c r="D607" s="56" t="s">
        <v>37</v>
      </c>
      <c r="E607" s="56" t="s">
        <v>3242</v>
      </c>
      <c r="F607" s="56" t="s">
        <v>4887</v>
      </c>
      <c r="G607" s="56">
        <v>275</v>
      </c>
      <c r="H607" s="56">
        <v>0</v>
      </c>
      <c r="I607" s="74">
        <v>0</v>
      </c>
      <c r="J607" s="56" t="s">
        <v>4192</v>
      </c>
      <c r="K607" s="56" t="s">
        <v>1873</v>
      </c>
      <c r="L607" s="56" t="s">
        <v>2942</v>
      </c>
      <c r="M607" s="56" t="str">
        <f>HYPERLINK("https://dribble.octin.io/?mode=Single+log&amp;log_id=80267eec-faf2-41ec-859a-ca6f68a3ce87","URL")</f>
        <v>URL</v>
      </c>
      <c r="N607" s="56" t="s">
        <v>3470</v>
      </c>
      <c r="O607" t="str">
        <f>_xlfn.XLOOKUP(N607,'Error-codes'!$C$2:$C$130,'Error-codes'!$B$2:$B$130, "None")</f>
        <v>battery level critical low</v>
      </c>
      <c r="U607" s="81">
        <f>DATEVALUE(LEFT(F607,10))</f>
        <v>44909</v>
      </c>
    </row>
    <row r="608" spans="1:21" hidden="1">
      <c r="A608" s="56"/>
      <c r="B608" s="56" t="s">
        <v>29</v>
      </c>
      <c r="C608" s="56" t="s">
        <v>4888</v>
      </c>
      <c r="D608" s="56" t="s">
        <v>37</v>
      </c>
      <c r="E608" s="56" t="s">
        <v>3242</v>
      </c>
      <c r="F608" s="56" t="s">
        <v>4889</v>
      </c>
      <c r="G608" s="56">
        <v>140</v>
      </c>
      <c r="H608" s="56">
        <v>0</v>
      </c>
      <c r="I608" s="74">
        <v>0</v>
      </c>
      <c r="J608" s="56" t="s">
        <v>4192</v>
      </c>
      <c r="K608" s="56" t="s">
        <v>1873</v>
      </c>
      <c r="L608" s="56" t="s">
        <v>2942</v>
      </c>
      <c r="N608" s="56" t="s">
        <v>3470</v>
      </c>
      <c r="O608" t="str">
        <f>_xlfn.XLOOKUP(N608,'Error-codes'!$C$2:$C$130,'Error-codes'!$B$2:$B$130, "None")</f>
        <v>battery level critical low</v>
      </c>
      <c r="U608" s="81">
        <f>DATEVALUE(LEFT(F608,10))</f>
        <v>44909</v>
      </c>
    </row>
    <row r="609" spans="1:21" hidden="1">
      <c r="B609" s="56" t="s">
        <v>29</v>
      </c>
      <c r="C609" s="56" t="s">
        <v>4890</v>
      </c>
      <c r="D609" s="56" t="s">
        <v>388</v>
      </c>
      <c r="F609" s="56" t="s">
        <v>4891</v>
      </c>
      <c r="G609" s="56">
        <v>31</v>
      </c>
      <c r="H609" s="56">
        <v>31</v>
      </c>
      <c r="I609" s="74">
        <v>1</v>
      </c>
      <c r="K609" s="56" t="s">
        <v>1873</v>
      </c>
      <c r="L609" s="56" t="s">
        <v>2942</v>
      </c>
      <c r="O609">
        <f>_xlfn.XLOOKUP(N609,'Error-codes'!$C$2:$C$130,'Error-codes'!$B$2:$B$130, "None")</f>
        <v>0</v>
      </c>
      <c r="U609" s="81">
        <f>DATEVALUE(LEFT(F609,10))</f>
        <v>44910</v>
      </c>
    </row>
    <row r="610" spans="1:21" hidden="1">
      <c r="B610" s="56" t="s">
        <v>295</v>
      </c>
      <c r="C610" s="56" t="s">
        <v>4892</v>
      </c>
      <c r="D610" s="56" t="s">
        <v>388</v>
      </c>
      <c r="F610" s="56" t="s">
        <v>4893</v>
      </c>
      <c r="G610" s="56">
        <v>34</v>
      </c>
      <c r="H610" s="56">
        <v>34</v>
      </c>
      <c r="I610" s="74">
        <v>1</v>
      </c>
      <c r="K610" s="56" t="s">
        <v>1893</v>
      </c>
      <c r="L610" s="56" t="s">
        <v>2942</v>
      </c>
      <c r="O610">
        <f>_xlfn.XLOOKUP(N610,'Error-codes'!$C$2:$C$130,'Error-codes'!$B$2:$B$130, "None")</f>
        <v>0</v>
      </c>
      <c r="U610" s="81">
        <f>DATEVALUE(LEFT(F610,10))</f>
        <v>44910</v>
      </c>
    </row>
    <row r="611" spans="1:21" hidden="1">
      <c r="B611" s="56" t="s">
        <v>228</v>
      </c>
      <c r="C611" s="56" t="s">
        <v>4894</v>
      </c>
      <c r="D611" s="56" t="s">
        <v>22</v>
      </c>
      <c r="F611" s="56" t="s">
        <v>4895</v>
      </c>
      <c r="G611" s="56">
        <v>88</v>
      </c>
      <c r="H611" s="56">
        <v>1</v>
      </c>
      <c r="I611" s="74">
        <v>1.1363636363636364E-2</v>
      </c>
      <c r="K611" s="56" t="s">
        <v>3090</v>
      </c>
      <c r="L611" s="56" t="s">
        <v>2932</v>
      </c>
      <c r="O611">
        <f>_xlfn.XLOOKUP(N611,'Error-codes'!$C$2:$C$130,'Error-codes'!$B$2:$B$130, "None")</f>
        <v>0</v>
      </c>
      <c r="U611" s="81">
        <f>DATEVALUE(LEFT(F611,10))</f>
        <v>44910</v>
      </c>
    </row>
    <row r="612" spans="1:21" hidden="1">
      <c r="A612" s="56" t="s">
        <v>4896</v>
      </c>
      <c r="B612" s="56" t="s">
        <v>228</v>
      </c>
      <c r="C612" s="56" t="s">
        <v>4897</v>
      </c>
      <c r="D612" s="56" t="s">
        <v>37</v>
      </c>
      <c r="E612" s="56" t="s">
        <v>4351</v>
      </c>
      <c r="F612" s="56" t="s">
        <v>4898</v>
      </c>
      <c r="G612" s="56">
        <v>88</v>
      </c>
      <c r="H612" s="56">
        <v>7</v>
      </c>
      <c r="I612" s="74">
        <v>7.9545454545454544E-2</v>
      </c>
      <c r="J612" s="56" t="s">
        <v>331</v>
      </c>
      <c r="K612" s="56" t="s">
        <v>3090</v>
      </c>
      <c r="L612" s="56" t="s">
        <v>2932</v>
      </c>
      <c r="M612" s="56" t="str">
        <f>HYPERLINK("https://dribble.octin.io/?mode=Single+log&amp;log_id=e6431afa-b2fb-4ba1-ace1-2c279b5b369b","URL")</f>
        <v>URL</v>
      </c>
      <c r="N612" s="56" t="s">
        <v>3472</v>
      </c>
      <c r="O612" t="str">
        <f>_xlfn.XLOOKUP(N612,'Error-codes'!$C$2:$C$130,'Error-codes'!$B$2:$B$130, "None")</f>
        <v>Excessive slip detected</v>
      </c>
      <c r="U612" s="81">
        <f>DATEVALUE(LEFT(F612,10))</f>
        <v>44910</v>
      </c>
    </row>
    <row r="613" spans="1:21" hidden="1">
      <c r="A613" s="56"/>
      <c r="B613" s="56" t="s">
        <v>2886</v>
      </c>
      <c r="C613" s="56" t="s">
        <v>3126</v>
      </c>
      <c r="D613" s="56" t="s">
        <v>388</v>
      </c>
      <c r="E613" s="56" t="s">
        <v>2939</v>
      </c>
      <c r="F613" s="56" t="s">
        <v>3127</v>
      </c>
      <c r="G613" s="56">
        <v>63</v>
      </c>
      <c r="H613" s="56">
        <v>48</v>
      </c>
      <c r="I613" s="74">
        <v>0.76190476190476186</v>
      </c>
      <c r="J613" s="56" t="s">
        <v>3128</v>
      </c>
      <c r="K613" s="56" t="s">
        <v>3103</v>
      </c>
      <c r="L613" s="56" t="s">
        <v>2932</v>
      </c>
      <c r="N613" s="56" t="s">
        <v>2933</v>
      </c>
      <c r="O613" t="str">
        <f>_xlfn.XLOOKUP(N613,'Error-codes'!$C$2:$C$130,'Error-codes'!$B$2:$B$130, "None")</f>
        <v>inductive sensor error</v>
      </c>
      <c r="U613" s="81">
        <f>DATEVALUE(LEFT(F613,10))</f>
        <v>44910</v>
      </c>
    </row>
    <row r="614" spans="1:21" hidden="1">
      <c r="B614" s="56" t="s">
        <v>2886</v>
      </c>
      <c r="C614" s="56" t="s">
        <v>3126</v>
      </c>
      <c r="D614" s="56" t="s">
        <v>388</v>
      </c>
      <c r="F614" s="56" t="s">
        <v>4899</v>
      </c>
      <c r="G614" s="56">
        <v>63</v>
      </c>
      <c r="H614" s="56">
        <v>62</v>
      </c>
      <c r="I614" s="74">
        <v>0.98412698412698407</v>
      </c>
      <c r="K614" s="56" t="s">
        <v>3103</v>
      </c>
      <c r="L614" s="56" t="s">
        <v>2932</v>
      </c>
      <c r="O614">
        <f>_xlfn.XLOOKUP(N614,'Error-codes'!$C$2:$C$130,'Error-codes'!$B$2:$B$130, "None")</f>
        <v>0</v>
      </c>
      <c r="U614" s="81">
        <f>DATEVALUE(LEFT(F614,10))</f>
        <v>44910</v>
      </c>
    </row>
    <row r="615" spans="1:21" hidden="1">
      <c r="A615" s="56" t="s">
        <v>3129</v>
      </c>
      <c r="B615" s="56" t="s">
        <v>2886</v>
      </c>
      <c r="C615" s="56" t="s">
        <v>3130</v>
      </c>
      <c r="D615" s="56" t="s">
        <v>388</v>
      </c>
      <c r="E615" s="56" t="s">
        <v>2939</v>
      </c>
      <c r="F615" s="56" t="s">
        <v>3131</v>
      </c>
      <c r="G615" s="56">
        <v>89</v>
      </c>
      <c r="H615" s="56">
        <v>51</v>
      </c>
      <c r="I615" s="74">
        <v>0.5730337078651685</v>
      </c>
      <c r="J615" s="56" t="s">
        <v>3132</v>
      </c>
      <c r="K615" s="56" t="s">
        <v>3103</v>
      </c>
      <c r="L615" s="56" t="s">
        <v>2932</v>
      </c>
      <c r="M615" s="56" t="str">
        <f>HYPERLINK("https://dribble.octin.io/?mode=Single+log&amp;log_id=52bc8e2c-bcb7-4d15-9c56-30e2e9ee77be","URL")</f>
        <v>URL</v>
      </c>
      <c r="N615" s="56" t="s">
        <v>2933</v>
      </c>
      <c r="O615" t="str">
        <f>_xlfn.XLOOKUP(N615,'Error-codes'!$C$2:$C$130,'Error-codes'!$B$2:$B$130, "None")</f>
        <v>inductive sensor error</v>
      </c>
      <c r="U615" s="81">
        <f>DATEVALUE(LEFT(F615,10))</f>
        <v>44912</v>
      </c>
    </row>
    <row r="616" spans="1:21" hidden="1">
      <c r="B616" s="56" t="s">
        <v>2886</v>
      </c>
      <c r="C616" s="56" t="s">
        <v>3130</v>
      </c>
      <c r="D616" s="56" t="s">
        <v>388</v>
      </c>
      <c r="F616" s="56" t="s">
        <v>4900</v>
      </c>
      <c r="G616" s="56">
        <v>89</v>
      </c>
      <c r="H616" s="56">
        <v>88</v>
      </c>
      <c r="I616" s="74">
        <v>0.9887640449438202</v>
      </c>
      <c r="K616" s="56" t="s">
        <v>3103</v>
      </c>
      <c r="L616" s="56" t="s">
        <v>2932</v>
      </c>
      <c r="O616">
        <f>_xlfn.XLOOKUP(N616,'Error-codes'!$C$2:$C$130,'Error-codes'!$B$2:$B$130, "None")</f>
        <v>0</v>
      </c>
      <c r="U616" s="81">
        <f>DATEVALUE(LEFT(F616,10))</f>
        <v>44912</v>
      </c>
    </row>
    <row r="617" spans="1:21" hidden="1">
      <c r="A617" s="56" t="s">
        <v>4879</v>
      </c>
      <c r="B617" s="56" t="s">
        <v>228</v>
      </c>
      <c r="C617" s="56" t="s">
        <v>4901</v>
      </c>
      <c r="D617" s="56" t="s">
        <v>37</v>
      </c>
      <c r="E617" s="56" t="s">
        <v>2939</v>
      </c>
      <c r="F617" s="56" t="s">
        <v>4902</v>
      </c>
      <c r="G617" s="56">
        <v>84</v>
      </c>
      <c r="H617" s="56">
        <v>2</v>
      </c>
      <c r="I617" s="74">
        <v>2.3809523809523808E-2</v>
      </c>
      <c r="J617" s="56" t="s">
        <v>4709</v>
      </c>
      <c r="K617" s="56" t="s">
        <v>3103</v>
      </c>
      <c r="L617" s="56" t="s">
        <v>2932</v>
      </c>
      <c r="M617" s="56" t="str">
        <f>HYPERLINK("https://dribble.octin.io/?mode=Single+log&amp;log_id=5bc42a25-2062-4e05-aafe-41819491677d","URL")</f>
        <v>URL</v>
      </c>
      <c r="N617" s="56" t="s">
        <v>3466</v>
      </c>
      <c r="O617" t="str">
        <f>_xlfn.XLOOKUP(N617,'Error-codes'!$C$2:$C$130,'Error-codes'!$B$2:$B$130, "None")</f>
        <v>vision error</v>
      </c>
      <c r="P617" t="s">
        <v>4903</v>
      </c>
      <c r="U617" s="81">
        <f>DATEVALUE(LEFT(F617,10))</f>
        <v>44913</v>
      </c>
    </row>
    <row r="618" spans="1:21" hidden="1">
      <c r="A618" s="56" t="s">
        <v>4904</v>
      </c>
      <c r="B618" s="56" t="s">
        <v>228</v>
      </c>
      <c r="C618" s="56" t="s">
        <v>4901</v>
      </c>
      <c r="D618" s="56" t="s">
        <v>37</v>
      </c>
      <c r="E618" s="56" t="s">
        <v>4398</v>
      </c>
      <c r="F618" s="56" t="s">
        <v>4905</v>
      </c>
      <c r="G618" s="56">
        <v>84</v>
      </c>
      <c r="H618" s="56">
        <v>4</v>
      </c>
      <c r="I618" s="74">
        <v>4.7619047619047616E-2</v>
      </c>
      <c r="J618" s="56" t="s">
        <v>4712</v>
      </c>
      <c r="K618" s="56" t="s">
        <v>3103</v>
      </c>
      <c r="L618" s="56" t="s">
        <v>2932</v>
      </c>
      <c r="M618" s="56" t="str">
        <f>HYPERLINK("https://dribble.octin.io/?mode=Single+log&amp;log_id=9d10ca05-36b9-462c-a043-19d5a3163f19","URL")</f>
        <v>URL</v>
      </c>
      <c r="N618" s="56" t="s">
        <v>3466</v>
      </c>
      <c r="O618" t="str">
        <f>_xlfn.XLOOKUP(N618,'Error-codes'!$C$2:$C$130,'Error-codes'!$B$2:$B$130, "None")</f>
        <v>vision error</v>
      </c>
      <c r="U618" s="81">
        <f>DATEVALUE(LEFT(F618,10))</f>
        <v>44913</v>
      </c>
    </row>
    <row r="619" spans="1:21" hidden="1">
      <c r="A619" s="56" t="s">
        <v>3137</v>
      </c>
      <c r="B619" s="56" t="s">
        <v>2886</v>
      </c>
      <c r="C619" s="56" t="s">
        <v>3134</v>
      </c>
      <c r="D619" s="56" t="s">
        <v>37</v>
      </c>
      <c r="E619" s="56" t="s">
        <v>2939</v>
      </c>
      <c r="F619" s="56" t="s">
        <v>3138</v>
      </c>
      <c r="G619" s="56">
        <v>92</v>
      </c>
      <c r="H619" s="56">
        <v>2</v>
      </c>
      <c r="I619" s="74">
        <v>2.1739130434782608E-2</v>
      </c>
      <c r="J619" s="56" t="s">
        <v>3139</v>
      </c>
      <c r="K619" s="56" t="s">
        <v>3090</v>
      </c>
      <c r="L619" s="56" t="s">
        <v>2932</v>
      </c>
      <c r="M619" s="56" t="str">
        <f>HYPERLINK("https://dribble.octin.io/?mode=Single+log&amp;log_id=2d639ee6-377c-467f-8d62-1d7b281f0ac0","URL")</f>
        <v>URL</v>
      </c>
      <c r="N619" s="56" t="s">
        <v>2933</v>
      </c>
      <c r="O619" t="str">
        <f>_xlfn.XLOOKUP(N619,'Error-codes'!$C$2:$C$130,'Error-codes'!$B$2:$B$130, "None")</f>
        <v>inductive sensor error</v>
      </c>
      <c r="U619" s="81">
        <f>DATEVALUE(LEFT(F619,10))</f>
        <v>44913</v>
      </c>
    </row>
    <row r="620" spans="1:21" hidden="1">
      <c r="A620" s="56" t="s">
        <v>3133</v>
      </c>
      <c r="B620" s="56" t="s">
        <v>2886</v>
      </c>
      <c r="C620" s="56" t="s">
        <v>3134</v>
      </c>
      <c r="D620" s="56" t="s">
        <v>37</v>
      </c>
      <c r="E620" s="56" t="s">
        <v>2939</v>
      </c>
      <c r="F620" s="56" t="s">
        <v>3135</v>
      </c>
      <c r="G620" s="56">
        <v>92</v>
      </c>
      <c r="H620" s="56">
        <v>6</v>
      </c>
      <c r="I620" s="74">
        <v>6.5217391304347824E-2</v>
      </c>
      <c r="J620" s="56" t="s">
        <v>3136</v>
      </c>
      <c r="K620" s="56" t="s">
        <v>3090</v>
      </c>
      <c r="L620" s="56" t="s">
        <v>2932</v>
      </c>
      <c r="M620" s="56" t="str">
        <f>HYPERLINK("https://dribble.octin.io/?mode=Single+log&amp;log_id=16e1a029-5e73-4ace-8ec6-10f878d13dd9","URL")</f>
        <v>URL</v>
      </c>
      <c r="N620" s="56" t="s">
        <v>2933</v>
      </c>
      <c r="O620" t="str">
        <f>_xlfn.XLOOKUP(N620,'Error-codes'!$C$2:$C$130,'Error-codes'!$B$2:$B$130, "None")</f>
        <v>inductive sensor error</v>
      </c>
      <c r="U620" s="81">
        <f>DATEVALUE(LEFT(F620,10))</f>
        <v>44913</v>
      </c>
    </row>
    <row r="621" spans="1:21" hidden="1">
      <c r="A621" s="56" t="s">
        <v>4906</v>
      </c>
      <c r="B621" s="56" t="s">
        <v>2886</v>
      </c>
      <c r="C621" s="56" t="s">
        <v>3134</v>
      </c>
      <c r="D621" s="56" t="s">
        <v>37</v>
      </c>
      <c r="E621" s="56" t="s">
        <v>2939</v>
      </c>
      <c r="F621" s="56" t="s">
        <v>4907</v>
      </c>
      <c r="G621" s="56">
        <v>92</v>
      </c>
      <c r="H621" s="56">
        <v>8</v>
      </c>
      <c r="I621" s="74">
        <v>8.6956521739130432E-2</v>
      </c>
      <c r="J621" s="56" t="s">
        <v>331</v>
      </c>
      <c r="K621" s="56" t="s">
        <v>3090</v>
      </c>
      <c r="L621" s="56" t="s">
        <v>2932</v>
      </c>
      <c r="M621" s="56" t="str">
        <f>HYPERLINK("https://dribble.octin.io/?mode=Single+log&amp;log_id=748a5c0b-78ec-4acf-86dc-35fb7986668e","URL")</f>
        <v>URL</v>
      </c>
      <c r="N621" s="56" t="s">
        <v>3472</v>
      </c>
      <c r="O621" t="str">
        <f>_xlfn.XLOOKUP(N621,'Error-codes'!$C$2:$C$130,'Error-codes'!$B$2:$B$130, "None")</f>
        <v>Excessive slip detected</v>
      </c>
      <c r="U621" s="81">
        <f>DATEVALUE(LEFT(F621,10))</f>
        <v>44913</v>
      </c>
    </row>
    <row r="622" spans="1:21" hidden="1">
      <c r="A622" s="56" t="s">
        <v>4908</v>
      </c>
      <c r="B622" s="56" t="s">
        <v>2886</v>
      </c>
      <c r="C622" s="56" t="s">
        <v>3134</v>
      </c>
      <c r="D622" s="56" t="s">
        <v>37</v>
      </c>
      <c r="E622" s="56" t="s">
        <v>4222</v>
      </c>
      <c r="F622" s="56" t="s">
        <v>4909</v>
      </c>
      <c r="G622" s="56">
        <v>92</v>
      </c>
      <c r="H622" s="56">
        <v>10</v>
      </c>
      <c r="I622" s="74">
        <v>0.10869565217391304</v>
      </c>
      <c r="J622" s="56" t="s">
        <v>358</v>
      </c>
      <c r="K622" s="56" t="s">
        <v>3090</v>
      </c>
      <c r="L622" s="56" t="s">
        <v>2932</v>
      </c>
      <c r="M622" s="56" t="str">
        <f>HYPERLINK("https://dribble.octin.io/?mode=Single+log&amp;log_id=7d580a6f-ebb4-4a7e-a930-abe779f91480","URL")</f>
        <v>URL</v>
      </c>
      <c r="N622" s="56" t="s">
        <v>3458</v>
      </c>
      <c r="O622" t="str">
        <f>_xlfn.XLOOKUP(N622,'Error-codes'!$C$2:$C$130,'Error-codes'!$B$2:$B$130, "None")</f>
        <v>motor drive: UNDER VOLTAGE</v>
      </c>
      <c r="U622" s="81">
        <f>DATEVALUE(LEFT(F622,10))</f>
        <v>44913</v>
      </c>
    </row>
    <row r="623" spans="1:21" hidden="1">
      <c r="A623" s="56"/>
      <c r="B623" s="56" t="s">
        <v>295</v>
      </c>
      <c r="C623" s="56" t="s">
        <v>4910</v>
      </c>
      <c r="D623" s="56" t="s">
        <v>37</v>
      </c>
      <c r="E623" s="56" t="s">
        <v>3242</v>
      </c>
      <c r="F623" s="56" t="s">
        <v>4911</v>
      </c>
      <c r="G623" s="56">
        <v>144</v>
      </c>
      <c r="H623" s="56">
        <v>0</v>
      </c>
      <c r="I623" s="74">
        <v>0</v>
      </c>
      <c r="J623" s="56" t="s">
        <v>4192</v>
      </c>
      <c r="K623" s="56" t="s">
        <v>1873</v>
      </c>
      <c r="L623" s="56" t="s">
        <v>2942</v>
      </c>
      <c r="N623" s="56" t="s">
        <v>3468</v>
      </c>
      <c r="O623" t="str">
        <f>_xlfn.XLOOKUP(N623,'Error-codes'!$C$2:$C$130,'Error-codes'!$B$2:$B$130, "None")</f>
        <v>no vision heartbeat</v>
      </c>
      <c r="U623" s="81">
        <f>DATEVALUE(LEFT(F623,10))</f>
        <v>44914</v>
      </c>
    </row>
    <row r="624" spans="1:21" hidden="1">
      <c r="A624" s="56"/>
      <c r="B624" s="56" t="s">
        <v>295</v>
      </c>
      <c r="C624" s="56" t="s">
        <v>4912</v>
      </c>
      <c r="D624" s="56" t="s">
        <v>37</v>
      </c>
      <c r="E624" s="56" t="s">
        <v>3242</v>
      </c>
      <c r="F624" s="56" t="s">
        <v>4913</v>
      </c>
      <c r="G624" s="56">
        <v>140</v>
      </c>
      <c r="H624" s="56">
        <v>0</v>
      </c>
      <c r="I624" s="74">
        <v>0</v>
      </c>
      <c r="J624" s="56" t="s">
        <v>4192</v>
      </c>
      <c r="K624" s="56" t="s">
        <v>1873</v>
      </c>
      <c r="L624" s="56" t="s">
        <v>2942</v>
      </c>
      <c r="N624" s="56" t="s">
        <v>3468</v>
      </c>
      <c r="O624" t="str">
        <f>_xlfn.XLOOKUP(N624,'Error-codes'!$C$2:$C$130,'Error-codes'!$B$2:$B$130, "None")</f>
        <v>no vision heartbeat</v>
      </c>
      <c r="U624" s="81">
        <f>DATEVALUE(LEFT(F624,10))</f>
        <v>44914</v>
      </c>
    </row>
    <row r="625" spans="1:21" hidden="1">
      <c r="A625" s="56" t="s">
        <v>3143</v>
      </c>
      <c r="B625" s="56" t="s">
        <v>29</v>
      </c>
      <c r="C625" s="56" t="s">
        <v>3141</v>
      </c>
      <c r="D625" s="56" t="s">
        <v>388</v>
      </c>
      <c r="E625" s="56" t="s">
        <v>2939</v>
      </c>
      <c r="F625" s="56" t="s">
        <v>3144</v>
      </c>
      <c r="G625" s="56">
        <v>153</v>
      </c>
      <c r="H625" s="56">
        <v>24</v>
      </c>
      <c r="I625" s="74">
        <v>0.15686274509803921</v>
      </c>
      <c r="J625" s="56" t="s">
        <v>3145</v>
      </c>
      <c r="K625" s="56" t="s">
        <v>1893</v>
      </c>
      <c r="L625" s="56" t="s">
        <v>2942</v>
      </c>
      <c r="M625" s="56" t="str">
        <f>HYPERLINK("https://dribble.octin.io/?mode=Single+log&amp;log_id=eba621f1-77a6-4b58-94b4-0142d0a1206a","URL")</f>
        <v>URL</v>
      </c>
      <c r="N625" s="56" t="s">
        <v>2933</v>
      </c>
      <c r="O625" t="str">
        <f>_xlfn.XLOOKUP(N625,'Error-codes'!$C$2:$C$130,'Error-codes'!$B$2:$B$130, "None")</f>
        <v>inductive sensor error</v>
      </c>
      <c r="U625" s="81">
        <f>DATEVALUE(LEFT(F625,10))</f>
        <v>44914</v>
      </c>
    </row>
    <row r="626" spans="1:21" hidden="1">
      <c r="A626" s="56" t="s">
        <v>4914</v>
      </c>
      <c r="B626" s="56" t="s">
        <v>29</v>
      </c>
      <c r="C626" s="56" t="s">
        <v>3141</v>
      </c>
      <c r="D626" s="56" t="s">
        <v>388</v>
      </c>
      <c r="E626" s="56" t="s">
        <v>2939</v>
      </c>
      <c r="F626" s="56" t="s">
        <v>4915</v>
      </c>
      <c r="G626" s="56">
        <v>153</v>
      </c>
      <c r="H626" s="56">
        <v>28</v>
      </c>
      <c r="I626" s="74">
        <v>0.18300653594771241</v>
      </c>
      <c r="J626" s="56" t="s">
        <v>4518</v>
      </c>
      <c r="K626" s="56" t="s">
        <v>1893</v>
      </c>
      <c r="L626" s="56" t="s">
        <v>2942</v>
      </c>
      <c r="M626" s="56" t="str">
        <f>HYPERLINK("https://dribble.octin.io/?mode=Single+log&amp;log_id=9ad0719b-a09f-489f-b3e8-16afefe61e0b","URL")</f>
        <v>URL</v>
      </c>
      <c r="N626" s="56" t="s">
        <v>3444</v>
      </c>
      <c r="O626" t="str">
        <f>_xlfn.XLOOKUP(N626,'Error-codes'!$C$2:$C$130,'Error-codes'!$B$2:$B$130, "None")</f>
        <v>collision detected in operational state for the 4th time in a row</v>
      </c>
      <c r="U626" s="81">
        <f>DATEVALUE(LEFT(F626,10))</f>
        <v>44914</v>
      </c>
    </row>
    <row r="627" spans="1:21" hidden="1">
      <c r="A627" s="56" t="s">
        <v>3140</v>
      </c>
      <c r="B627" s="56" t="s">
        <v>29</v>
      </c>
      <c r="C627" s="56" t="s">
        <v>3141</v>
      </c>
      <c r="D627" s="56" t="s">
        <v>388</v>
      </c>
      <c r="E627" s="56" t="s">
        <v>2939</v>
      </c>
      <c r="F627" s="56" t="s">
        <v>3142</v>
      </c>
      <c r="G627" s="56">
        <v>153</v>
      </c>
      <c r="H627" s="56">
        <v>30</v>
      </c>
      <c r="I627" s="74">
        <v>0.19607843137254902</v>
      </c>
      <c r="J627" s="56" t="s">
        <v>382</v>
      </c>
      <c r="K627" s="56" t="s">
        <v>1893</v>
      </c>
      <c r="L627" s="56" t="s">
        <v>2942</v>
      </c>
      <c r="M627" s="56" t="str">
        <f>HYPERLINK("https://dribble.octin.io/?mode=Single+log&amp;log_id=18c32855-d3e8-4d9e-b531-1b376197c905","URL")</f>
        <v>URL</v>
      </c>
      <c r="N627" s="56" t="s">
        <v>2933</v>
      </c>
      <c r="O627" t="str">
        <f>_xlfn.XLOOKUP(N627,'Error-codes'!$C$2:$C$130,'Error-codes'!$B$2:$B$130, "None")</f>
        <v>inductive sensor error</v>
      </c>
      <c r="U627" s="81">
        <f>DATEVALUE(LEFT(F627,10))</f>
        <v>44914</v>
      </c>
    </row>
    <row r="628" spans="1:21" hidden="1">
      <c r="A628" s="56" t="s">
        <v>3151</v>
      </c>
      <c r="B628" s="56" t="s">
        <v>29</v>
      </c>
      <c r="C628" s="56" t="s">
        <v>3141</v>
      </c>
      <c r="D628" s="56" t="s">
        <v>388</v>
      </c>
      <c r="E628" s="56" t="s">
        <v>2939</v>
      </c>
      <c r="F628" s="56" t="s">
        <v>3152</v>
      </c>
      <c r="G628" s="56">
        <v>153</v>
      </c>
      <c r="H628" s="56">
        <v>118</v>
      </c>
      <c r="I628" s="74">
        <v>0.77124183006535951</v>
      </c>
      <c r="J628" s="56" t="s">
        <v>365</v>
      </c>
      <c r="K628" s="56" t="s">
        <v>1893</v>
      </c>
      <c r="L628" s="56" t="s">
        <v>2942</v>
      </c>
      <c r="M628" s="56" t="str">
        <f>HYPERLINK("https://dribble.octin.io/?mode=Single+log&amp;log_id=70c31486-7914-4eaa-8469-78afa20573fc","URL")</f>
        <v>URL</v>
      </c>
      <c r="N628" s="56" t="s">
        <v>2933</v>
      </c>
      <c r="O628" t="str">
        <f>_xlfn.XLOOKUP(N628,'Error-codes'!$C$2:$C$130,'Error-codes'!$B$2:$B$130, "None")</f>
        <v>inductive sensor error</v>
      </c>
      <c r="U628" s="81">
        <f>DATEVALUE(LEFT(F628,10))</f>
        <v>44915</v>
      </c>
    </row>
    <row r="629" spans="1:21" hidden="1">
      <c r="A629" s="56" t="s">
        <v>4916</v>
      </c>
      <c r="B629" s="56" t="s">
        <v>29</v>
      </c>
      <c r="C629" s="56" t="s">
        <v>3141</v>
      </c>
      <c r="D629" s="56" t="s">
        <v>388</v>
      </c>
      <c r="E629" s="56" t="s">
        <v>2939</v>
      </c>
      <c r="F629" s="56" t="s">
        <v>4917</v>
      </c>
      <c r="G629" s="56">
        <v>153</v>
      </c>
      <c r="H629" s="56">
        <v>126</v>
      </c>
      <c r="I629" s="74">
        <v>0.82352941176470584</v>
      </c>
      <c r="J629" s="56" t="s">
        <v>4918</v>
      </c>
      <c r="K629" s="56" t="s">
        <v>1893</v>
      </c>
      <c r="L629" s="56" t="s">
        <v>2942</v>
      </c>
      <c r="M629" s="56" t="str">
        <f>HYPERLINK("https://dribble.octin.io/?mode=Single+log&amp;log_id=5ec2b49b-2b54-4809-92f7-2bb1e8e57db1","URL")</f>
        <v>URL</v>
      </c>
      <c r="N629" s="56" t="s">
        <v>3444</v>
      </c>
      <c r="O629" t="str">
        <f>_xlfn.XLOOKUP(N629,'Error-codes'!$C$2:$C$130,'Error-codes'!$B$2:$B$130, "None")</f>
        <v>collision detected in operational state for the 4th time in a row</v>
      </c>
      <c r="U629" s="81">
        <f>DATEVALUE(LEFT(F629,10))</f>
        <v>44915</v>
      </c>
    </row>
    <row r="630" spans="1:21" hidden="1">
      <c r="A630" s="56" t="s">
        <v>3148</v>
      </c>
      <c r="B630" s="56" t="s">
        <v>29</v>
      </c>
      <c r="C630" s="56" t="s">
        <v>3141</v>
      </c>
      <c r="D630" s="56" t="s">
        <v>388</v>
      </c>
      <c r="E630" s="56" t="s">
        <v>2939</v>
      </c>
      <c r="F630" s="56" t="s">
        <v>3149</v>
      </c>
      <c r="G630" s="56">
        <v>153</v>
      </c>
      <c r="H630" s="56">
        <v>135</v>
      </c>
      <c r="I630" s="74">
        <v>0.88235294117647056</v>
      </c>
      <c r="J630" s="56" t="s">
        <v>3150</v>
      </c>
      <c r="K630" s="56" t="s">
        <v>1893</v>
      </c>
      <c r="L630" s="56" t="s">
        <v>2942</v>
      </c>
      <c r="M630" s="56" t="str">
        <f>HYPERLINK("https://dribble.octin.io/?mode=Single+log&amp;log_id=881ba69c-bdfe-40ea-bd00-2cbd0e5998ed","URL")</f>
        <v>URL</v>
      </c>
      <c r="N630" s="56" t="s">
        <v>2933</v>
      </c>
      <c r="O630" t="str">
        <f>_xlfn.XLOOKUP(N630,'Error-codes'!$C$2:$C$130,'Error-codes'!$B$2:$B$130, "None")</f>
        <v>inductive sensor error</v>
      </c>
      <c r="U630" s="81">
        <f>DATEVALUE(LEFT(F630,10))</f>
        <v>44915</v>
      </c>
    </row>
    <row r="631" spans="1:21" hidden="1">
      <c r="B631" s="56" t="s">
        <v>295</v>
      </c>
      <c r="C631" s="56" t="s">
        <v>4919</v>
      </c>
      <c r="D631" s="56" t="s">
        <v>388</v>
      </c>
      <c r="F631" s="56" t="s">
        <v>4920</v>
      </c>
      <c r="G631" s="56">
        <v>140</v>
      </c>
      <c r="H631" s="56">
        <v>140</v>
      </c>
      <c r="I631" s="74">
        <v>1</v>
      </c>
      <c r="K631" s="56" t="s">
        <v>1873</v>
      </c>
      <c r="L631" s="56" t="s">
        <v>2942</v>
      </c>
      <c r="O631">
        <f>_xlfn.XLOOKUP(N631,'Error-codes'!$C$2:$C$130,'Error-codes'!$B$2:$B$130, "None")</f>
        <v>0</v>
      </c>
      <c r="U631" s="81">
        <f>DATEVALUE(LEFT(F631,10))</f>
        <v>44915</v>
      </c>
    </row>
    <row r="632" spans="1:21" hidden="1">
      <c r="B632" s="56" t="s">
        <v>29</v>
      </c>
      <c r="C632" s="56" t="s">
        <v>3141</v>
      </c>
      <c r="D632" s="56" t="s">
        <v>388</v>
      </c>
      <c r="F632" s="56" t="s">
        <v>4921</v>
      </c>
      <c r="G632" s="56">
        <v>153</v>
      </c>
      <c r="H632" s="56">
        <v>147</v>
      </c>
      <c r="I632" s="74">
        <v>0.96078431372549022</v>
      </c>
      <c r="K632" s="56" t="s">
        <v>1893</v>
      </c>
      <c r="L632" s="56" t="s">
        <v>2942</v>
      </c>
      <c r="O632">
        <f>_xlfn.XLOOKUP(N632,'Error-codes'!$C$2:$C$130,'Error-codes'!$B$2:$B$130, "None")</f>
        <v>0</v>
      </c>
      <c r="U632" s="81">
        <f>DATEVALUE(LEFT(F632,10))</f>
        <v>44915</v>
      </c>
    </row>
    <row r="633" spans="1:21" hidden="1">
      <c r="A633" s="56"/>
      <c r="B633" s="56" t="s">
        <v>29</v>
      </c>
      <c r="C633" s="56" t="s">
        <v>3146</v>
      </c>
      <c r="D633" s="56" t="s">
        <v>388</v>
      </c>
      <c r="E633" s="56" t="s">
        <v>2939</v>
      </c>
      <c r="F633" s="56" t="s">
        <v>4922</v>
      </c>
      <c r="G633" s="56">
        <v>214</v>
      </c>
      <c r="H633" s="56">
        <v>33</v>
      </c>
      <c r="I633" s="74">
        <v>0.1542056074766355</v>
      </c>
      <c r="J633" s="56" t="s">
        <v>4159</v>
      </c>
      <c r="K633" s="56" t="s">
        <v>1893</v>
      </c>
      <c r="L633" s="56" t="s">
        <v>2942</v>
      </c>
      <c r="N633" s="56" t="s">
        <v>3472</v>
      </c>
      <c r="O633" t="str">
        <f>_xlfn.XLOOKUP(N633,'Error-codes'!$C$2:$C$130,'Error-codes'!$B$2:$B$130, "None")</f>
        <v>Excessive slip detected</v>
      </c>
      <c r="U633" s="81">
        <f>DATEVALUE(LEFT(F633,10))</f>
        <v>44915</v>
      </c>
    </row>
    <row r="634" spans="1:21" hidden="1">
      <c r="A634" s="56"/>
      <c r="B634" s="56" t="s">
        <v>29</v>
      </c>
      <c r="C634" s="56" t="s">
        <v>3146</v>
      </c>
      <c r="D634" s="56" t="s">
        <v>388</v>
      </c>
      <c r="E634" s="56" t="s">
        <v>2939</v>
      </c>
      <c r="F634" s="56" t="s">
        <v>4923</v>
      </c>
      <c r="G634" s="56">
        <v>214</v>
      </c>
      <c r="H634" s="56">
        <v>89</v>
      </c>
      <c r="I634" s="74">
        <v>0.41588785046728971</v>
      </c>
      <c r="J634" s="56" t="s">
        <v>4518</v>
      </c>
      <c r="K634" s="56" t="s">
        <v>1893</v>
      </c>
      <c r="L634" s="56" t="s">
        <v>2942</v>
      </c>
      <c r="N634" s="56" t="s">
        <v>3444</v>
      </c>
      <c r="O634" t="str">
        <f>_xlfn.XLOOKUP(N634,'Error-codes'!$C$2:$C$130,'Error-codes'!$B$2:$B$130, "None")</f>
        <v>collision detected in operational state for the 4th time in a row</v>
      </c>
      <c r="U634" s="81">
        <f>DATEVALUE(LEFT(F634,10))</f>
        <v>44915</v>
      </c>
    </row>
    <row r="635" spans="1:21" hidden="1">
      <c r="A635" s="56"/>
      <c r="B635" s="56" t="s">
        <v>29</v>
      </c>
      <c r="C635" s="56" t="s">
        <v>3146</v>
      </c>
      <c r="D635" s="56" t="s">
        <v>388</v>
      </c>
      <c r="E635" s="56" t="s">
        <v>2939</v>
      </c>
      <c r="F635" s="56" t="s">
        <v>3147</v>
      </c>
      <c r="G635" s="56">
        <v>214</v>
      </c>
      <c r="H635" s="56">
        <v>109</v>
      </c>
      <c r="I635" s="74">
        <v>0.50934579439252337</v>
      </c>
      <c r="J635" s="56" t="s">
        <v>416</v>
      </c>
      <c r="K635" s="56" t="s">
        <v>1893</v>
      </c>
      <c r="L635" s="56" t="s">
        <v>2942</v>
      </c>
      <c r="N635" s="56" t="s">
        <v>2933</v>
      </c>
      <c r="O635" t="str">
        <f>_xlfn.XLOOKUP(N635,'Error-codes'!$C$2:$C$130,'Error-codes'!$B$2:$B$130, "None")</f>
        <v>inductive sensor error</v>
      </c>
      <c r="U635" s="81">
        <f>DATEVALUE(LEFT(F635,10))</f>
        <v>44915</v>
      </c>
    </row>
    <row r="636" spans="1:21" hidden="1">
      <c r="A636" s="56" t="s">
        <v>3154</v>
      </c>
      <c r="B636" s="56" t="s">
        <v>295</v>
      </c>
      <c r="C636" s="56" t="s">
        <v>3155</v>
      </c>
      <c r="D636" s="56" t="s">
        <v>388</v>
      </c>
      <c r="E636" s="56" t="s">
        <v>2939</v>
      </c>
      <c r="F636" s="56" t="s">
        <v>3156</v>
      </c>
      <c r="G636" s="56">
        <v>140</v>
      </c>
      <c r="H636" s="56">
        <v>122</v>
      </c>
      <c r="I636" s="74">
        <v>0.87142857142857144</v>
      </c>
      <c r="J636" s="56" t="s">
        <v>3157</v>
      </c>
      <c r="K636" s="56" t="s">
        <v>1873</v>
      </c>
      <c r="L636" s="56" t="s">
        <v>2942</v>
      </c>
      <c r="M636" s="56" t="str">
        <f>HYPERLINK("https://dribble.octin.io/?mode=Single+log&amp;log_id=8051a655-0874-4a74-8c05-db0e2f35ec8d","URL")</f>
        <v>URL</v>
      </c>
      <c r="N636" s="56" t="s">
        <v>2933</v>
      </c>
      <c r="O636" t="str">
        <f>_xlfn.XLOOKUP(N636,'Error-codes'!$C$2:$C$130,'Error-codes'!$B$2:$B$130, "None")</f>
        <v>inductive sensor error</v>
      </c>
      <c r="U636" s="81">
        <f>DATEVALUE(LEFT(F636,10))</f>
        <v>44916</v>
      </c>
    </row>
    <row r="637" spans="1:21" hidden="1">
      <c r="B637" s="56" t="s">
        <v>295</v>
      </c>
      <c r="C637" s="56" t="s">
        <v>3155</v>
      </c>
      <c r="D637" s="56" t="s">
        <v>388</v>
      </c>
      <c r="F637" s="56" t="s">
        <v>4924</v>
      </c>
      <c r="G637" s="56">
        <v>140</v>
      </c>
      <c r="H637" s="56">
        <v>139</v>
      </c>
      <c r="I637" s="74">
        <v>0.99285714285714288</v>
      </c>
      <c r="K637" s="56" t="s">
        <v>1873</v>
      </c>
      <c r="L637" s="56" t="s">
        <v>2942</v>
      </c>
      <c r="O637">
        <f>_xlfn.XLOOKUP(N637,'Error-codes'!$C$2:$C$130,'Error-codes'!$B$2:$B$130, "None")</f>
        <v>0</v>
      </c>
      <c r="U637" s="81">
        <f>DATEVALUE(LEFT(F637,10))</f>
        <v>44916</v>
      </c>
    </row>
    <row r="638" spans="1:21" hidden="1">
      <c r="A638" s="56"/>
      <c r="B638" s="56" t="s">
        <v>29</v>
      </c>
      <c r="C638" s="56" t="s">
        <v>3146</v>
      </c>
      <c r="D638" s="56" t="s">
        <v>388</v>
      </c>
      <c r="E638" s="56" t="s">
        <v>2939</v>
      </c>
      <c r="F638" s="56" t="s">
        <v>3153</v>
      </c>
      <c r="G638" s="56">
        <v>214</v>
      </c>
      <c r="H638" s="56">
        <v>179</v>
      </c>
      <c r="I638" s="74">
        <v>0.83644859813084116</v>
      </c>
      <c r="J638" s="56" t="s">
        <v>365</v>
      </c>
      <c r="K638" s="56" t="s">
        <v>1893</v>
      </c>
      <c r="L638" s="56" t="s">
        <v>2942</v>
      </c>
      <c r="N638" s="56" t="s">
        <v>2933</v>
      </c>
      <c r="O638" t="str">
        <f>_xlfn.XLOOKUP(N638,'Error-codes'!$C$2:$C$130,'Error-codes'!$B$2:$B$130, "None")</f>
        <v>inductive sensor error</v>
      </c>
      <c r="U638" s="81">
        <f>DATEVALUE(LEFT(F638,10))</f>
        <v>44916</v>
      </c>
    </row>
    <row r="639" spans="1:21" hidden="1">
      <c r="A639" s="56"/>
      <c r="B639" s="56" t="s">
        <v>29</v>
      </c>
      <c r="C639" s="56" t="s">
        <v>3146</v>
      </c>
      <c r="D639" s="56" t="s">
        <v>388</v>
      </c>
      <c r="E639" s="56" t="s">
        <v>2939</v>
      </c>
      <c r="F639" s="56" t="s">
        <v>4925</v>
      </c>
      <c r="G639" s="56">
        <v>214</v>
      </c>
      <c r="H639" s="56">
        <v>186</v>
      </c>
      <c r="I639" s="74">
        <v>0.86915887850467288</v>
      </c>
      <c r="J639" s="56" t="s">
        <v>4926</v>
      </c>
      <c r="K639" s="56" t="s">
        <v>1893</v>
      </c>
      <c r="L639" s="56" t="s">
        <v>2942</v>
      </c>
      <c r="N639" s="56" t="s">
        <v>3448</v>
      </c>
      <c r="O639" t="str">
        <f>_xlfn.XLOOKUP(N639,'Error-codes'!$C$2:$C$130,'Error-codes'!$B$2:$B$130, "None")</f>
        <v>end of lane open sensor error</v>
      </c>
      <c r="U639" s="81">
        <f>DATEVALUE(LEFT(F639,10))</f>
        <v>44916</v>
      </c>
    </row>
    <row r="640" spans="1:21" hidden="1">
      <c r="A640" s="56"/>
      <c r="B640" s="56" t="s">
        <v>29</v>
      </c>
      <c r="C640" s="56" t="s">
        <v>3146</v>
      </c>
      <c r="D640" s="56" t="s">
        <v>388</v>
      </c>
      <c r="E640" s="56" t="s">
        <v>2939</v>
      </c>
      <c r="F640" s="56" t="s">
        <v>4927</v>
      </c>
      <c r="G640" s="56">
        <v>214</v>
      </c>
      <c r="H640" s="56">
        <v>192</v>
      </c>
      <c r="I640" s="74">
        <v>0.89719626168224298</v>
      </c>
      <c r="J640" s="56" t="s">
        <v>4928</v>
      </c>
      <c r="K640" s="56" t="s">
        <v>1893</v>
      </c>
      <c r="L640" s="56" t="s">
        <v>2942</v>
      </c>
      <c r="N640" s="56" t="s">
        <v>3448</v>
      </c>
      <c r="O640" t="str">
        <f>_xlfn.XLOOKUP(N640,'Error-codes'!$C$2:$C$130,'Error-codes'!$B$2:$B$130, "None")</f>
        <v>end of lane open sensor error</v>
      </c>
      <c r="U640" s="81">
        <f>DATEVALUE(LEFT(F640,10))</f>
        <v>44916</v>
      </c>
    </row>
    <row r="641" spans="1:21" hidden="1">
      <c r="B641" s="56" t="s">
        <v>29</v>
      </c>
      <c r="C641" s="56" t="s">
        <v>3146</v>
      </c>
      <c r="D641" s="56" t="s">
        <v>388</v>
      </c>
      <c r="F641" s="56" t="s">
        <v>4929</v>
      </c>
      <c r="G641" s="56">
        <v>214</v>
      </c>
      <c r="H641" s="56">
        <v>208</v>
      </c>
      <c r="I641" s="74">
        <v>0.9719626168224299</v>
      </c>
      <c r="K641" s="56" t="s">
        <v>1893</v>
      </c>
      <c r="L641" s="56" t="s">
        <v>2942</v>
      </c>
      <c r="O641">
        <f>_xlfn.XLOOKUP(N641,'Error-codes'!$C$2:$C$130,'Error-codes'!$B$2:$B$130, "None")</f>
        <v>0</v>
      </c>
      <c r="U641" s="81">
        <f>DATEVALUE(LEFT(F641,10))</f>
        <v>44916</v>
      </c>
    </row>
    <row r="642" spans="1:21" hidden="1">
      <c r="A642" s="56" t="s">
        <v>4930</v>
      </c>
      <c r="B642" s="56" t="s">
        <v>29</v>
      </c>
      <c r="C642" s="56" t="s">
        <v>4931</v>
      </c>
      <c r="D642" s="56" t="s">
        <v>37</v>
      </c>
      <c r="E642" s="56" t="s">
        <v>4358</v>
      </c>
      <c r="F642" s="56" t="s">
        <v>4932</v>
      </c>
      <c r="G642" s="56">
        <v>99</v>
      </c>
      <c r="H642" s="56">
        <v>18</v>
      </c>
      <c r="I642" s="58">
        <v>0.18181818181818182</v>
      </c>
      <c r="J642" s="56" t="s">
        <v>4933</v>
      </c>
      <c r="K642" s="56" t="s">
        <v>1893</v>
      </c>
      <c r="L642" s="56" t="s">
        <v>3162</v>
      </c>
      <c r="M642" s="56" t="str">
        <f>HYPERLINK("https://dribble.octin.io/?mode=Single+log&amp;log_id=621c91de-8e21-4292-96f6-33de8f6c95ce","URL")</f>
        <v>URL</v>
      </c>
      <c r="N642" s="56" t="s">
        <v>3458</v>
      </c>
      <c r="O642" t="str">
        <f>_xlfn.XLOOKUP(N642,'Error-codes'!$C$2:$C$130,'Error-codes'!$B$2:$B$130, "None")</f>
        <v>motor drive: UNDER VOLTAGE</v>
      </c>
      <c r="U642" s="81">
        <f>DATEVALUE(LEFT(F642,10))</f>
        <v>44917</v>
      </c>
    </row>
    <row r="643" spans="1:21" hidden="1">
      <c r="B643" s="56" t="s">
        <v>2886</v>
      </c>
      <c r="C643" s="56" t="s">
        <v>4934</v>
      </c>
      <c r="D643" s="56" t="s">
        <v>22</v>
      </c>
      <c r="F643" s="56" t="s">
        <v>4935</v>
      </c>
      <c r="G643" s="56">
        <v>201</v>
      </c>
      <c r="H643" s="56">
        <v>1</v>
      </c>
      <c r="I643" s="58">
        <v>4.9751243781094526E-3</v>
      </c>
      <c r="K643" s="56" t="s">
        <v>2166</v>
      </c>
      <c r="L643" s="56" t="s">
        <v>2932</v>
      </c>
      <c r="O643">
        <f>_xlfn.XLOOKUP(N643,'Error-codes'!$C$2:$C$130,'Error-codes'!$B$2:$B$130, "None")</f>
        <v>0</v>
      </c>
      <c r="U643" s="81">
        <f>DATEVALUE(LEFT(F643,10))</f>
        <v>44917</v>
      </c>
    </row>
    <row r="644" spans="1:21" hidden="1">
      <c r="B644" s="56" t="s">
        <v>2886</v>
      </c>
      <c r="C644" s="56" t="s">
        <v>4936</v>
      </c>
      <c r="D644" s="56" t="s">
        <v>22</v>
      </c>
      <c r="F644" s="56" t="s">
        <v>4937</v>
      </c>
      <c r="G644" s="56">
        <v>201</v>
      </c>
      <c r="H644" s="56">
        <v>1</v>
      </c>
      <c r="I644" s="58">
        <v>4.9751243781094526E-3</v>
      </c>
      <c r="K644" s="56" t="s">
        <v>2166</v>
      </c>
      <c r="L644" s="56" t="s">
        <v>2932</v>
      </c>
      <c r="O644">
        <f>_xlfn.XLOOKUP(N644,'Error-codes'!$C$2:$C$130,'Error-codes'!$B$2:$B$130, "None")</f>
        <v>0</v>
      </c>
      <c r="U644" s="81">
        <f>DATEVALUE(LEFT(F644,10))</f>
        <v>44917</v>
      </c>
    </row>
    <row r="645" spans="1:21" hidden="1">
      <c r="A645" s="56"/>
      <c r="B645" s="56" t="s">
        <v>228</v>
      </c>
      <c r="C645" s="56" t="s">
        <v>4938</v>
      </c>
      <c r="D645" s="56" t="s">
        <v>37</v>
      </c>
      <c r="E645" s="56" t="s">
        <v>3288</v>
      </c>
      <c r="F645" s="56" t="s">
        <v>4939</v>
      </c>
      <c r="G645" s="56">
        <v>157</v>
      </c>
      <c r="H645" s="56">
        <v>9</v>
      </c>
      <c r="I645" s="58">
        <v>5.7324840764331211E-2</v>
      </c>
      <c r="J645" s="56" t="s">
        <v>2278</v>
      </c>
      <c r="K645" s="56" t="s">
        <v>2166</v>
      </c>
      <c r="L645" s="56" t="s">
        <v>2948</v>
      </c>
      <c r="N645" s="56" t="s">
        <v>3448</v>
      </c>
      <c r="O645" t="str">
        <f>_xlfn.XLOOKUP(N645,'Error-codes'!$C$2:$C$130,'Error-codes'!$B$2:$B$130, "None")</f>
        <v>end of lane open sensor error</v>
      </c>
      <c r="U645" s="81">
        <f>DATEVALUE(LEFT(F645,10))</f>
        <v>44917</v>
      </c>
    </row>
    <row r="646" spans="1:21" hidden="1">
      <c r="A646" s="56" t="s">
        <v>4940</v>
      </c>
      <c r="B646" s="56" t="s">
        <v>2886</v>
      </c>
      <c r="C646" s="56" t="s">
        <v>4941</v>
      </c>
      <c r="D646" s="56" t="s">
        <v>37</v>
      </c>
      <c r="E646" s="56" t="s">
        <v>3288</v>
      </c>
      <c r="F646" s="56" t="s">
        <v>4942</v>
      </c>
      <c r="G646" s="56">
        <v>102</v>
      </c>
      <c r="H646" s="56">
        <v>9</v>
      </c>
      <c r="I646" s="58">
        <v>8.8235294117647065E-2</v>
      </c>
      <c r="J646" s="56" t="s">
        <v>289</v>
      </c>
      <c r="K646" s="56" t="s">
        <v>2166</v>
      </c>
      <c r="L646" s="56" t="s">
        <v>2932</v>
      </c>
      <c r="M646" s="56" t="str">
        <f>HYPERLINK("https://dribble.octin.io/?mode=Single+log&amp;log_id=68d3534e-814f-4507-8905-662d2999132b","URL")</f>
        <v>URL</v>
      </c>
      <c r="N646" s="56" t="s">
        <v>3448</v>
      </c>
      <c r="O646" t="str">
        <f>_xlfn.XLOOKUP(N646,'Error-codes'!$C$2:$C$130,'Error-codes'!$B$2:$B$130, "None")</f>
        <v>end of lane open sensor error</v>
      </c>
      <c r="U646" s="81">
        <f>DATEVALUE(LEFT(F646,10))</f>
        <v>44917</v>
      </c>
    </row>
    <row r="647" spans="1:21" hidden="1">
      <c r="A647" s="56" t="s">
        <v>3166</v>
      </c>
      <c r="B647" s="56" t="s">
        <v>295</v>
      </c>
      <c r="C647" s="56" t="s">
        <v>3159</v>
      </c>
      <c r="D647" s="56" t="s">
        <v>37</v>
      </c>
      <c r="E647" s="56" t="s">
        <v>2939</v>
      </c>
      <c r="F647" s="56" t="s">
        <v>3167</v>
      </c>
      <c r="G647" s="56">
        <v>77</v>
      </c>
      <c r="H647" s="56">
        <v>36</v>
      </c>
      <c r="I647" s="58">
        <v>0.46753246753246752</v>
      </c>
      <c r="J647" s="56" t="s">
        <v>74</v>
      </c>
      <c r="K647" s="56" t="s">
        <v>1873</v>
      </c>
      <c r="L647" s="56" t="s">
        <v>3162</v>
      </c>
      <c r="M647" s="56" t="str">
        <f>HYPERLINK("https://dribble.octin.io/?mode=Single+log&amp;log_id=9b38ec64-a34d-4f73-ac7c-3759cdf7e9a4","URL")</f>
        <v>URL</v>
      </c>
      <c r="N647" s="56" t="s">
        <v>2933</v>
      </c>
      <c r="O647" t="str">
        <f>_xlfn.XLOOKUP(N647,'Error-codes'!$C$2:$C$130,'Error-codes'!$B$2:$B$130, "None")</f>
        <v>inductive sensor error</v>
      </c>
      <c r="U647" s="81">
        <f>DATEVALUE(LEFT(F647,10))</f>
        <v>44917</v>
      </c>
    </row>
    <row r="648" spans="1:21" hidden="1">
      <c r="A648" s="56" t="s">
        <v>3163</v>
      </c>
      <c r="B648" s="56" t="s">
        <v>295</v>
      </c>
      <c r="C648" s="56" t="s">
        <v>3159</v>
      </c>
      <c r="D648" s="56" t="s">
        <v>37</v>
      </c>
      <c r="E648" s="56" t="s">
        <v>2939</v>
      </c>
      <c r="F648" s="56" t="s">
        <v>3164</v>
      </c>
      <c r="G648" s="56">
        <v>77</v>
      </c>
      <c r="H648" s="56">
        <v>56</v>
      </c>
      <c r="I648" s="58">
        <v>0.72727272727272729</v>
      </c>
      <c r="J648" s="56" t="s">
        <v>3165</v>
      </c>
      <c r="K648" s="56" t="s">
        <v>1873</v>
      </c>
      <c r="L648" s="56" t="s">
        <v>3162</v>
      </c>
      <c r="M648" s="56" t="str">
        <f>HYPERLINK("https://dribble.octin.io/?mode=Single+log&amp;log_id=4f0359f8-18ae-43d3-8cc2-412119dac22d","URL")</f>
        <v>URL</v>
      </c>
      <c r="N648" s="56" t="s">
        <v>2933</v>
      </c>
      <c r="O648" t="str">
        <f>_xlfn.XLOOKUP(N648,'Error-codes'!$C$2:$C$130,'Error-codes'!$B$2:$B$130, "None")</f>
        <v>inductive sensor error</v>
      </c>
      <c r="U648" s="81">
        <f>DATEVALUE(LEFT(F648,10))</f>
        <v>44917</v>
      </c>
    </row>
    <row r="649" spans="1:21" hidden="1">
      <c r="A649" s="56" t="s">
        <v>3158</v>
      </c>
      <c r="B649" s="56" t="s">
        <v>295</v>
      </c>
      <c r="C649" s="56" t="s">
        <v>3159</v>
      </c>
      <c r="D649" s="56" t="s">
        <v>37</v>
      </c>
      <c r="E649" s="56" t="s">
        <v>2939</v>
      </c>
      <c r="F649" s="56" t="s">
        <v>3160</v>
      </c>
      <c r="G649" s="56">
        <v>77</v>
      </c>
      <c r="H649" s="56">
        <v>68</v>
      </c>
      <c r="I649" s="58">
        <v>0.88311688311688308</v>
      </c>
      <c r="J649" s="56" t="s">
        <v>3161</v>
      </c>
      <c r="K649" s="56" t="s">
        <v>1873</v>
      </c>
      <c r="L649" s="56" t="s">
        <v>3162</v>
      </c>
      <c r="M649" s="56" t="str">
        <f>HYPERLINK("https://dribble.octin.io/?mode=Single+log&amp;log_id=9fe9ce3f-8ae2-4707-8df7-61994fd99921","URL")</f>
        <v>URL</v>
      </c>
      <c r="N649" s="56" t="s">
        <v>2933</v>
      </c>
      <c r="O649" t="str">
        <f>_xlfn.XLOOKUP(N649,'Error-codes'!$C$2:$C$130,'Error-codes'!$B$2:$B$130, "None")</f>
        <v>inductive sensor error</v>
      </c>
      <c r="U649" s="81">
        <f>DATEVALUE(LEFT(F649,10))</f>
        <v>44917</v>
      </c>
    </row>
    <row r="650" spans="1:21" hidden="1">
      <c r="A650" s="56" t="s">
        <v>4943</v>
      </c>
      <c r="B650" s="56" t="s">
        <v>295</v>
      </c>
      <c r="C650" s="56" t="s">
        <v>3159</v>
      </c>
      <c r="D650" s="56" t="s">
        <v>37</v>
      </c>
      <c r="E650" s="56" t="s">
        <v>4788</v>
      </c>
      <c r="F650" s="56" t="s">
        <v>4944</v>
      </c>
      <c r="G650" s="56">
        <v>77</v>
      </c>
      <c r="H650" s="56">
        <v>76</v>
      </c>
      <c r="I650" s="58">
        <v>0.98701298701298701</v>
      </c>
      <c r="J650" s="56" t="s">
        <v>4945</v>
      </c>
      <c r="K650" s="56" t="s">
        <v>1873</v>
      </c>
      <c r="L650" s="56" t="s">
        <v>3162</v>
      </c>
      <c r="M650" s="56" t="str">
        <f>HYPERLINK("https://dribble.octin.io/?mode=Single+log&amp;log_id=ae5c3c67-9835-45ca-88c6-22e966b37975","URL")</f>
        <v>URL</v>
      </c>
      <c r="N650" s="56" t="s">
        <v>3440</v>
      </c>
      <c r="O650" t="str">
        <f>_xlfn.XLOOKUP(N650,'Error-codes'!$C$2:$C$130,'Error-codes'!$B$2:$B$130, "None")</f>
        <v>Trajectory generation timeout</v>
      </c>
      <c r="U650" s="81">
        <f>DATEVALUE(LEFT(F650,10))</f>
        <v>44917</v>
      </c>
    </row>
    <row r="651" spans="1:21" hidden="1">
      <c r="A651" s="56" t="s">
        <v>4946</v>
      </c>
      <c r="B651" s="56" t="s">
        <v>29</v>
      </c>
      <c r="C651" s="56" t="s">
        <v>4947</v>
      </c>
      <c r="D651" s="56" t="s">
        <v>37</v>
      </c>
      <c r="E651" s="56" t="s">
        <v>2939</v>
      </c>
      <c r="F651" s="56" t="s">
        <v>4948</v>
      </c>
      <c r="G651" s="56">
        <v>80</v>
      </c>
      <c r="H651" s="56">
        <v>55</v>
      </c>
      <c r="I651" s="58">
        <v>0.6875</v>
      </c>
      <c r="J651" s="56" t="s">
        <v>1831</v>
      </c>
      <c r="K651" s="56" t="s">
        <v>1893</v>
      </c>
      <c r="L651" s="56" t="s">
        <v>3162</v>
      </c>
      <c r="M651" s="56" t="str">
        <f>HYPERLINK("https://dribble.octin.io/?mode=Single+log&amp;log_id=0eca3025-cfcf-49d0-8eb1-0b49fa215a26","URL")</f>
        <v>URL</v>
      </c>
      <c r="N651" s="56" t="s">
        <v>3472</v>
      </c>
      <c r="O651" t="str">
        <f>_xlfn.XLOOKUP(N651,'Error-codes'!$C$2:$C$130,'Error-codes'!$B$2:$B$130, "None")</f>
        <v>Excessive slip detected</v>
      </c>
      <c r="U651" s="81">
        <f>DATEVALUE(LEFT(F651,10))</f>
        <v>44918</v>
      </c>
    </row>
    <row r="652" spans="1:21" hidden="1">
      <c r="A652" s="56" t="s">
        <v>4949</v>
      </c>
      <c r="B652" s="56" t="s">
        <v>29</v>
      </c>
      <c r="C652" s="56" t="s">
        <v>4947</v>
      </c>
      <c r="D652" s="56" t="s">
        <v>37</v>
      </c>
      <c r="E652" s="56" t="s">
        <v>2939</v>
      </c>
      <c r="F652" s="56" t="s">
        <v>4950</v>
      </c>
      <c r="G652" s="56">
        <v>80</v>
      </c>
      <c r="H652" s="56">
        <v>57</v>
      </c>
      <c r="I652" s="58">
        <v>0.71250000000000002</v>
      </c>
      <c r="J652" s="56" t="s">
        <v>65</v>
      </c>
      <c r="K652" s="56" t="s">
        <v>1893</v>
      </c>
      <c r="L652" s="56" t="s">
        <v>3162</v>
      </c>
      <c r="M652" s="56" t="str">
        <f>HYPERLINK("https://dribble.octin.io/?mode=Single+log&amp;log_id=0dbb3892-30c9-402a-8070-ed0e2179795f","URL")</f>
        <v>URL</v>
      </c>
      <c r="N652" s="56" t="s">
        <v>3444</v>
      </c>
      <c r="O652" t="str">
        <f>_xlfn.XLOOKUP(N652,'Error-codes'!$C$2:$C$130,'Error-codes'!$B$2:$B$130, "None")</f>
        <v>collision detected in operational state for the 4th time in a row</v>
      </c>
      <c r="U652" s="81">
        <f>DATEVALUE(LEFT(F652,10))</f>
        <v>44918</v>
      </c>
    </row>
    <row r="653" spans="1:21" hidden="1">
      <c r="A653" s="56" t="s">
        <v>4951</v>
      </c>
      <c r="B653" s="56" t="s">
        <v>29</v>
      </c>
      <c r="C653" s="56" t="s">
        <v>4947</v>
      </c>
      <c r="D653" s="56" t="s">
        <v>37</v>
      </c>
      <c r="E653" s="56" t="s">
        <v>4351</v>
      </c>
      <c r="F653" s="56" t="s">
        <v>4952</v>
      </c>
      <c r="G653" s="56">
        <v>80</v>
      </c>
      <c r="H653" s="56">
        <v>60</v>
      </c>
      <c r="I653" s="58">
        <v>0.75</v>
      </c>
      <c r="J653" s="56" t="s">
        <v>4953</v>
      </c>
      <c r="K653" s="56" t="s">
        <v>1893</v>
      </c>
      <c r="L653" s="56" t="s">
        <v>3162</v>
      </c>
      <c r="M653" s="56" t="str">
        <f>HYPERLINK("https://dribble.octin.io/?mode=Single+log&amp;log_id=2e001e28-7935-4b7e-a35a-da3d88580469","URL")</f>
        <v>URL</v>
      </c>
      <c r="N653" s="56" t="s">
        <v>3472</v>
      </c>
      <c r="O653" t="str">
        <f>_xlfn.XLOOKUP(N653,'Error-codes'!$C$2:$C$130,'Error-codes'!$B$2:$B$130, "None")</f>
        <v>Excessive slip detected</v>
      </c>
      <c r="U653" s="81">
        <f>DATEVALUE(LEFT(F653,10))</f>
        <v>44918</v>
      </c>
    </row>
    <row r="654" spans="1:21" hidden="1">
      <c r="A654" s="56" t="s">
        <v>4954</v>
      </c>
      <c r="B654" s="56" t="s">
        <v>29</v>
      </c>
      <c r="C654" s="56" t="s">
        <v>4955</v>
      </c>
      <c r="D654" s="56" t="s">
        <v>37</v>
      </c>
      <c r="E654" s="56" t="s">
        <v>4351</v>
      </c>
      <c r="F654" s="56" t="s">
        <v>4956</v>
      </c>
      <c r="G654" s="56">
        <v>44</v>
      </c>
      <c r="H654" s="56">
        <v>22</v>
      </c>
      <c r="I654" s="58">
        <v>0.5</v>
      </c>
      <c r="J654" s="56" t="s">
        <v>4957</v>
      </c>
      <c r="K654" s="56" t="s">
        <v>1893</v>
      </c>
      <c r="L654" s="56" t="s">
        <v>3162</v>
      </c>
      <c r="M654" s="56" t="str">
        <f>HYPERLINK("https://dribble.octin.io/?mode=Single+log&amp;log_id=921e73a8-61fa-47f8-95a3-0012e26b2334","URL")</f>
        <v>URL</v>
      </c>
      <c r="N654" s="56" t="s">
        <v>3472</v>
      </c>
      <c r="O654" t="str">
        <f>_xlfn.XLOOKUP(N654,'Error-codes'!$C$2:$C$130,'Error-codes'!$B$2:$B$130, "None")</f>
        <v>Excessive slip detected</v>
      </c>
      <c r="U654" s="81">
        <f>DATEVALUE(LEFT(F654,10))</f>
        <v>44918</v>
      </c>
    </row>
    <row r="655" spans="1:21" hidden="1">
      <c r="A655" s="56" t="s">
        <v>3174</v>
      </c>
      <c r="B655" s="56" t="s">
        <v>295</v>
      </c>
      <c r="C655" s="56" t="s">
        <v>3169</v>
      </c>
      <c r="D655" s="56" t="s">
        <v>37</v>
      </c>
      <c r="E655" s="56" t="s">
        <v>2939</v>
      </c>
      <c r="F655" s="56" t="s">
        <v>3175</v>
      </c>
      <c r="G655" s="56">
        <v>75</v>
      </c>
      <c r="H655" s="56">
        <v>25</v>
      </c>
      <c r="I655" s="58">
        <v>0.33333333333333331</v>
      </c>
      <c r="J655" s="56" t="s">
        <v>3176</v>
      </c>
      <c r="K655" s="56" t="s">
        <v>1873</v>
      </c>
      <c r="L655" s="56" t="s">
        <v>3162</v>
      </c>
      <c r="M655" s="56" t="str">
        <f>HYPERLINK("https://dribble.octin.io/?mode=Single+log&amp;log_id=ed95cc9c-9c60-48d4-832c-1f74a1bb5a9c","URL")</f>
        <v>URL</v>
      </c>
      <c r="N655" s="56" t="s">
        <v>2933</v>
      </c>
      <c r="O655" t="str">
        <f>_xlfn.XLOOKUP(N655,'Error-codes'!$C$2:$C$130,'Error-codes'!$B$2:$B$130, "None")</f>
        <v>inductive sensor error</v>
      </c>
      <c r="U655" s="81">
        <f>DATEVALUE(LEFT(F655,10))</f>
        <v>44918</v>
      </c>
    </row>
    <row r="656" spans="1:21" hidden="1">
      <c r="A656" s="56" t="s">
        <v>3171</v>
      </c>
      <c r="B656" s="56" t="s">
        <v>295</v>
      </c>
      <c r="C656" s="56" t="s">
        <v>3169</v>
      </c>
      <c r="D656" s="56" t="s">
        <v>37</v>
      </c>
      <c r="E656" s="56" t="s">
        <v>2939</v>
      </c>
      <c r="F656" s="56" t="s">
        <v>3172</v>
      </c>
      <c r="G656" s="56">
        <v>75</v>
      </c>
      <c r="H656" s="56">
        <v>37</v>
      </c>
      <c r="I656" s="58">
        <v>0.49333333333333335</v>
      </c>
      <c r="J656" s="56" t="s">
        <v>3173</v>
      </c>
      <c r="K656" s="56" t="s">
        <v>1873</v>
      </c>
      <c r="L656" s="56" t="s">
        <v>3162</v>
      </c>
      <c r="M656" s="56" t="str">
        <f>HYPERLINK("https://dribble.octin.io/?mode=Single+log&amp;log_id=cf08976b-d4b0-471e-ae95-a660ce17dc3d","URL")</f>
        <v>URL</v>
      </c>
      <c r="N656" s="56" t="s">
        <v>2933</v>
      </c>
      <c r="O656" t="str">
        <f>_xlfn.XLOOKUP(N656,'Error-codes'!$C$2:$C$130,'Error-codes'!$B$2:$B$130, "None")</f>
        <v>inductive sensor error</v>
      </c>
      <c r="U656" s="81">
        <f>DATEVALUE(LEFT(F656,10))</f>
        <v>44918</v>
      </c>
    </row>
    <row r="657" spans="1:21" hidden="1">
      <c r="A657" s="56" t="s">
        <v>3168</v>
      </c>
      <c r="B657" s="56" t="s">
        <v>295</v>
      </c>
      <c r="C657" s="56" t="s">
        <v>3169</v>
      </c>
      <c r="D657" s="56" t="s">
        <v>37</v>
      </c>
      <c r="E657" s="56" t="s">
        <v>2939</v>
      </c>
      <c r="F657" s="56" t="s">
        <v>3170</v>
      </c>
      <c r="G657" s="56">
        <v>75</v>
      </c>
      <c r="H657" s="56">
        <v>39</v>
      </c>
      <c r="I657" s="58">
        <v>0.52</v>
      </c>
      <c r="J657" s="56" t="s">
        <v>209</v>
      </c>
      <c r="K657" s="56" t="s">
        <v>1873</v>
      </c>
      <c r="L657" s="56" t="s">
        <v>3162</v>
      </c>
      <c r="M657" s="56" t="str">
        <f>HYPERLINK("https://dribble.octin.io/?mode=Single+log&amp;log_id=cc9ac953-7104-48b1-beae-3c1d161e7621","URL")</f>
        <v>URL</v>
      </c>
      <c r="N657" s="56" t="s">
        <v>2933</v>
      </c>
      <c r="O657" t="str">
        <f>_xlfn.XLOOKUP(N657,'Error-codes'!$C$2:$C$130,'Error-codes'!$B$2:$B$130, "None")</f>
        <v>inductive sensor error</v>
      </c>
      <c r="U657" s="81">
        <f>DATEVALUE(LEFT(F657,10))</f>
        <v>44918</v>
      </c>
    </row>
    <row r="658" spans="1:21" hidden="1">
      <c r="A658" s="56" t="s">
        <v>4958</v>
      </c>
      <c r="B658" s="56" t="s">
        <v>295</v>
      </c>
      <c r="C658" s="56" t="s">
        <v>3169</v>
      </c>
      <c r="D658" s="56" t="s">
        <v>37</v>
      </c>
      <c r="E658" s="56" t="s">
        <v>4222</v>
      </c>
      <c r="F658" s="56" t="s">
        <v>4959</v>
      </c>
      <c r="G658" s="56">
        <v>75</v>
      </c>
      <c r="H658" s="56">
        <v>56</v>
      </c>
      <c r="I658" s="58">
        <v>0.7466666666666667</v>
      </c>
      <c r="J658" s="56" t="s">
        <v>4960</v>
      </c>
      <c r="K658" s="56" t="s">
        <v>1873</v>
      </c>
      <c r="L658" s="56" t="s">
        <v>3162</v>
      </c>
      <c r="M658" s="56" t="str">
        <f>HYPERLINK("https://dribble.octin.io/?mode=Single+log&amp;log_id=63480ae8-c985-4eef-a90f-3fbcc03dd562","URL")</f>
        <v>URL</v>
      </c>
      <c r="N658" s="56" t="s">
        <v>3458</v>
      </c>
      <c r="O658" t="str">
        <f>_xlfn.XLOOKUP(N658,'Error-codes'!$C$2:$C$130,'Error-codes'!$B$2:$B$130, "None")</f>
        <v>motor drive: UNDER VOLTAGE</v>
      </c>
      <c r="U658" s="81">
        <f>DATEVALUE(LEFT(F658,10))</f>
        <v>44918</v>
      </c>
    </row>
    <row r="659" spans="1:21" hidden="1">
      <c r="A659" s="56" t="s">
        <v>4961</v>
      </c>
      <c r="B659" s="56" t="s">
        <v>228</v>
      </c>
      <c r="C659" s="56" t="s">
        <v>4962</v>
      </c>
      <c r="D659" s="56" t="s">
        <v>22</v>
      </c>
      <c r="E659" s="56" t="s">
        <v>2939</v>
      </c>
      <c r="F659" s="56" t="s">
        <v>4963</v>
      </c>
      <c r="G659" s="56">
        <v>202</v>
      </c>
      <c r="H659" s="56">
        <v>15</v>
      </c>
      <c r="I659" s="58">
        <v>7.4257425742574254E-2</v>
      </c>
      <c r="J659" s="56" t="s">
        <v>4964</v>
      </c>
      <c r="K659" s="56" t="s">
        <v>2166</v>
      </c>
      <c r="L659" s="56" t="s">
        <v>2932</v>
      </c>
      <c r="M659" s="56" t="str">
        <f>HYPERLINK("https://dribble.octin.io/?mode=Single+log&amp;log_id=9bcfe38c-5e00-466a-b1e5-e6ff4b7bccd1","URL")</f>
        <v>URL</v>
      </c>
      <c r="N659" s="56" t="s">
        <v>3446</v>
      </c>
      <c r="O659" t="str">
        <f>_xlfn.XLOOKUP(N659,'Error-codes'!$C$2:$C$130,'Error-codes'!$B$2:$B$130, "None")</f>
        <v>end of lane wall sensor error</v>
      </c>
      <c r="U659" s="81">
        <f>DATEVALUE(LEFT(F659,10))</f>
        <v>44918</v>
      </c>
    </row>
    <row r="660" spans="1:21" hidden="1">
      <c r="B660" s="56" t="s">
        <v>2886</v>
      </c>
      <c r="C660" s="56" t="s">
        <v>4965</v>
      </c>
      <c r="D660" s="56" t="s">
        <v>388</v>
      </c>
      <c r="F660" s="56" t="s">
        <v>4966</v>
      </c>
      <c r="G660" s="56">
        <v>101</v>
      </c>
      <c r="H660" s="56">
        <v>101</v>
      </c>
      <c r="I660" s="58">
        <v>1</v>
      </c>
      <c r="K660" s="56" t="s">
        <v>2166</v>
      </c>
      <c r="L660" s="56" t="s">
        <v>2948</v>
      </c>
      <c r="O660">
        <f>_xlfn.XLOOKUP(N660,'Error-codes'!$C$2:$C$130,'Error-codes'!$B$2:$B$130, "None")</f>
        <v>0</v>
      </c>
      <c r="U660" s="81">
        <f>DATEVALUE(LEFT(F660,10))</f>
        <v>44918</v>
      </c>
    </row>
    <row r="661" spans="1:21" hidden="1">
      <c r="A661" s="56" t="s">
        <v>4967</v>
      </c>
      <c r="B661" s="56" t="s">
        <v>228</v>
      </c>
      <c r="C661" s="56" t="s">
        <v>4962</v>
      </c>
      <c r="D661" s="56" t="s">
        <v>22</v>
      </c>
      <c r="E661" s="56" t="s">
        <v>2939</v>
      </c>
      <c r="F661" s="56" t="s">
        <v>4968</v>
      </c>
      <c r="G661" s="56">
        <v>202</v>
      </c>
      <c r="H661" s="56">
        <v>68</v>
      </c>
      <c r="I661" s="58">
        <v>0.33663366336633666</v>
      </c>
      <c r="J661" s="56" t="s">
        <v>4969</v>
      </c>
      <c r="K661" s="56" t="s">
        <v>2166</v>
      </c>
      <c r="L661" s="56" t="s">
        <v>2932</v>
      </c>
      <c r="M661" s="56" t="str">
        <f>HYPERLINK("https://dribble.octin.io/?mode=Single+log&amp;log_id=7c6c09f3-7530-4e72-a43b-379345e90b12","URL")</f>
        <v>URL</v>
      </c>
      <c r="N661" s="56" t="s">
        <v>3472</v>
      </c>
      <c r="O661" t="str">
        <f>_xlfn.XLOOKUP(N661,'Error-codes'!$C$2:$C$130,'Error-codes'!$B$2:$B$130, "None")</f>
        <v>Excessive slip detected</v>
      </c>
      <c r="U661" s="81">
        <f>DATEVALUE(LEFT(F661,10))</f>
        <v>44919</v>
      </c>
    </row>
    <row r="662" spans="1:21" hidden="1">
      <c r="A662" s="56"/>
      <c r="B662" s="56" t="s">
        <v>2886</v>
      </c>
      <c r="C662" s="56" t="s">
        <v>3177</v>
      </c>
      <c r="D662" s="56" t="s">
        <v>388</v>
      </c>
      <c r="E662" s="56" t="s">
        <v>2939</v>
      </c>
      <c r="F662" s="56" t="s">
        <v>3178</v>
      </c>
      <c r="G662" s="56">
        <v>103</v>
      </c>
      <c r="H662" s="56">
        <v>48</v>
      </c>
      <c r="I662" s="58">
        <v>0.46601941747572817</v>
      </c>
      <c r="J662" s="56" t="s">
        <v>3094</v>
      </c>
      <c r="K662" s="56" t="s">
        <v>2171</v>
      </c>
      <c r="L662" s="56" t="s">
        <v>2932</v>
      </c>
      <c r="N662" s="56" t="s">
        <v>2933</v>
      </c>
      <c r="O662" t="str">
        <f>_xlfn.XLOOKUP(N662,'Error-codes'!$C$2:$C$130,'Error-codes'!$B$2:$B$130, "None")</f>
        <v>inductive sensor error</v>
      </c>
      <c r="U662" s="81">
        <f>DATEVALUE(LEFT(F662,10))</f>
        <v>44921</v>
      </c>
    </row>
    <row r="663" spans="1:21" hidden="1">
      <c r="B663" s="56" t="s">
        <v>2886</v>
      </c>
      <c r="C663" s="56" t="s">
        <v>3177</v>
      </c>
      <c r="D663" s="56" t="s">
        <v>388</v>
      </c>
      <c r="F663" s="56" t="s">
        <v>4970</v>
      </c>
      <c r="G663" s="56">
        <v>103</v>
      </c>
      <c r="H663" s="56">
        <v>102</v>
      </c>
      <c r="I663" s="58">
        <v>0.99029126213592233</v>
      </c>
      <c r="K663" s="56" t="s">
        <v>2171</v>
      </c>
      <c r="L663" s="56" t="s">
        <v>2932</v>
      </c>
      <c r="O663">
        <f>_xlfn.XLOOKUP(N663,'Error-codes'!$C$2:$C$130,'Error-codes'!$B$2:$B$130, "None")</f>
        <v>0</v>
      </c>
      <c r="U663" s="81">
        <f>DATEVALUE(LEFT(F663,10))</f>
        <v>44921</v>
      </c>
    </row>
    <row r="664" spans="1:21" hidden="1">
      <c r="A664" s="56" t="s">
        <v>3179</v>
      </c>
      <c r="B664" s="56" t="s">
        <v>295</v>
      </c>
      <c r="C664" s="56" t="s">
        <v>3180</v>
      </c>
      <c r="D664" s="56" t="s">
        <v>388</v>
      </c>
      <c r="E664" s="56" t="s">
        <v>2939</v>
      </c>
      <c r="F664" s="56" t="s">
        <v>3181</v>
      </c>
      <c r="G664" s="56">
        <v>140</v>
      </c>
      <c r="H664" s="56">
        <v>3</v>
      </c>
      <c r="I664" s="58">
        <v>2.1428571428571429E-2</v>
      </c>
      <c r="J664" s="56" t="s">
        <v>3182</v>
      </c>
      <c r="K664" s="56" t="s">
        <v>1873</v>
      </c>
      <c r="L664" s="56" t="s">
        <v>2942</v>
      </c>
      <c r="M664" s="56" t="str">
        <f>HYPERLINK("https://dribble.octin.io/?mode=Single+log&amp;log_id=3ce851db-6c16-4c5c-8f5b-5259cc66a994","URL")</f>
        <v>URL</v>
      </c>
      <c r="N664" s="56" t="s">
        <v>2933</v>
      </c>
      <c r="O664" t="str">
        <f>_xlfn.XLOOKUP(N664,'Error-codes'!$C$2:$C$130,'Error-codes'!$B$2:$B$130, "None")</f>
        <v>inductive sensor error</v>
      </c>
      <c r="U664" s="81">
        <f>DATEVALUE(LEFT(F664,10))</f>
        <v>44923</v>
      </c>
    </row>
    <row r="665" spans="1:21" hidden="1">
      <c r="A665" s="56" t="s">
        <v>4971</v>
      </c>
      <c r="B665" s="56" t="s">
        <v>295</v>
      </c>
      <c r="C665" s="56" t="s">
        <v>3180</v>
      </c>
      <c r="D665" s="56" t="s">
        <v>388</v>
      </c>
      <c r="E665" s="56" t="s">
        <v>2939</v>
      </c>
      <c r="F665" s="56" t="s">
        <v>4972</v>
      </c>
      <c r="G665" s="56">
        <v>140</v>
      </c>
      <c r="H665" s="56">
        <v>18</v>
      </c>
      <c r="I665" s="58">
        <v>0.12857142857142856</v>
      </c>
      <c r="J665" s="56" t="s">
        <v>466</v>
      </c>
      <c r="K665" s="56" t="s">
        <v>1873</v>
      </c>
      <c r="L665" s="56" t="s">
        <v>2942</v>
      </c>
      <c r="M665" s="56" t="str">
        <f>HYPERLINK("https://dribble.octin.io/?mode=Single+log&amp;log_id=97996da6-74d5-4cf8-a76b-7d10d6f4acd5","URL")</f>
        <v>URL</v>
      </c>
      <c r="N665" s="56" t="s">
        <v>3444</v>
      </c>
      <c r="O665" t="str">
        <f>_xlfn.XLOOKUP(N665,'Error-codes'!$C$2:$C$130,'Error-codes'!$B$2:$B$130, "None")</f>
        <v>collision detected in operational state for the 4th time in a row</v>
      </c>
      <c r="U665" s="81">
        <f>DATEVALUE(LEFT(F665,10))</f>
        <v>44923</v>
      </c>
    </row>
    <row r="666" spans="1:21" hidden="1">
      <c r="B666" s="56" t="s">
        <v>295</v>
      </c>
      <c r="C666" s="56" t="s">
        <v>3180</v>
      </c>
      <c r="D666" s="56" t="s">
        <v>388</v>
      </c>
      <c r="F666" s="56" t="s">
        <v>4973</v>
      </c>
      <c r="G666" s="56">
        <v>140</v>
      </c>
      <c r="H666" s="56">
        <v>138</v>
      </c>
      <c r="I666" s="58">
        <v>0.98571428571428577</v>
      </c>
      <c r="K666" s="56" t="s">
        <v>1873</v>
      </c>
      <c r="L666" s="56" t="s">
        <v>2942</v>
      </c>
      <c r="O666">
        <f>_xlfn.XLOOKUP(N666,'Error-codes'!$C$2:$C$130,'Error-codes'!$B$2:$B$130, "None")</f>
        <v>0</v>
      </c>
      <c r="U666" s="81">
        <f>DATEVALUE(LEFT(F666,10))</f>
        <v>44924</v>
      </c>
    </row>
    <row r="667" spans="1:21" hidden="1">
      <c r="A667" s="56"/>
      <c r="B667" s="56" t="s">
        <v>295</v>
      </c>
      <c r="C667" s="56" t="s">
        <v>4974</v>
      </c>
      <c r="D667" s="56" t="s">
        <v>388</v>
      </c>
      <c r="E667" s="56" t="s">
        <v>2939</v>
      </c>
      <c r="F667" s="56" t="s">
        <v>4975</v>
      </c>
      <c r="G667" s="56">
        <v>61</v>
      </c>
      <c r="H667" s="56">
        <v>16</v>
      </c>
      <c r="I667" s="58">
        <v>0.26229508196721313</v>
      </c>
      <c r="J667" s="56" t="s">
        <v>445</v>
      </c>
      <c r="K667" s="56" t="s">
        <v>1893</v>
      </c>
      <c r="L667" s="56" t="s">
        <v>2942</v>
      </c>
      <c r="N667" s="56" t="s">
        <v>3444</v>
      </c>
      <c r="O667" t="str">
        <f>_xlfn.XLOOKUP(N667,'Error-codes'!$C$2:$C$130,'Error-codes'!$B$2:$B$130, "None")</f>
        <v>collision detected in operational state for the 4th time in a row</v>
      </c>
      <c r="U667" s="81">
        <f>DATEVALUE(LEFT(F667,10))</f>
        <v>44924</v>
      </c>
    </row>
    <row r="668" spans="1:21" hidden="1">
      <c r="A668" s="56"/>
      <c r="B668" s="56" t="s">
        <v>295</v>
      </c>
      <c r="C668" s="56" t="s">
        <v>4974</v>
      </c>
      <c r="D668" s="56" t="s">
        <v>388</v>
      </c>
      <c r="E668" s="56" t="s">
        <v>2939</v>
      </c>
      <c r="F668" s="56" t="s">
        <v>4976</v>
      </c>
      <c r="G668" s="56">
        <v>61</v>
      </c>
      <c r="H668" s="56">
        <v>26</v>
      </c>
      <c r="I668" s="58">
        <v>0.42622950819672129</v>
      </c>
      <c r="J668" s="56" t="s">
        <v>4159</v>
      </c>
      <c r="K668" s="56" t="s">
        <v>1893</v>
      </c>
      <c r="L668" s="56" t="s">
        <v>2942</v>
      </c>
      <c r="N668" s="56" t="s">
        <v>3444</v>
      </c>
      <c r="O668" t="str">
        <f>_xlfn.XLOOKUP(N668,'Error-codes'!$C$2:$C$130,'Error-codes'!$B$2:$B$130, "None")</f>
        <v>collision detected in operational state for the 4th time in a row</v>
      </c>
      <c r="U668" s="81">
        <f>DATEVALUE(LEFT(F668,10))</f>
        <v>44924</v>
      </c>
    </row>
    <row r="669" spans="1:21" hidden="1">
      <c r="B669" s="56" t="s">
        <v>29</v>
      </c>
      <c r="C669" s="56" t="s">
        <v>4977</v>
      </c>
      <c r="D669" s="56" t="s">
        <v>22</v>
      </c>
      <c r="F669" s="56" t="s">
        <v>4978</v>
      </c>
      <c r="G669" s="56">
        <v>61</v>
      </c>
      <c r="H669" s="56">
        <v>31</v>
      </c>
      <c r="I669" s="58">
        <v>0.50819672131147542</v>
      </c>
      <c r="K669" s="56" t="s">
        <v>1893</v>
      </c>
      <c r="L669" s="56" t="s">
        <v>2942</v>
      </c>
      <c r="O669">
        <f>_xlfn.XLOOKUP(N669,'Error-codes'!$C$2:$C$130,'Error-codes'!$B$2:$B$130, "None")</f>
        <v>0</v>
      </c>
      <c r="U669" s="81">
        <f>DATEVALUE(LEFT(F669,10))</f>
        <v>44924</v>
      </c>
    </row>
    <row r="670" spans="1:21" hidden="1">
      <c r="B670" s="56" t="s">
        <v>295</v>
      </c>
      <c r="C670" s="56" t="s">
        <v>4974</v>
      </c>
      <c r="D670" s="56" t="s">
        <v>388</v>
      </c>
      <c r="F670" s="56" t="s">
        <v>4979</v>
      </c>
      <c r="G670" s="56">
        <v>61</v>
      </c>
      <c r="H670" s="56">
        <v>59</v>
      </c>
      <c r="I670" s="58">
        <v>0.96721311475409832</v>
      </c>
      <c r="K670" s="56" t="s">
        <v>1893</v>
      </c>
      <c r="L670" s="56" t="s">
        <v>2942</v>
      </c>
      <c r="O670">
        <f>_xlfn.XLOOKUP(N670,'Error-codes'!$C$2:$C$130,'Error-codes'!$B$2:$B$130, "None")</f>
        <v>0</v>
      </c>
      <c r="U670" s="81">
        <f>DATEVALUE(LEFT(F670,10))</f>
        <v>44924</v>
      </c>
    </row>
    <row r="671" spans="1:21" hidden="1">
      <c r="B671" s="56" t="s">
        <v>295</v>
      </c>
      <c r="C671" s="56" t="s">
        <v>4980</v>
      </c>
      <c r="D671" s="56" t="s">
        <v>388</v>
      </c>
      <c r="F671" s="56" t="s">
        <v>4981</v>
      </c>
      <c r="G671" s="56">
        <v>2</v>
      </c>
      <c r="H671" s="56">
        <v>2</v>
      </c>
      <c r="I671" s="58">
        <v>1</v>
      </c>
      <c r="K671" s="56" t="s">
        <v>1893</v>
      </c>
      <c r="L671" s="56" t="s">
        <v>3162</v>
      </c>
      <c r="O671">
        <f>_xlfn.XLOOKUP(N671,'Error-codes'!$C$2:$C$130,'Error-codes'!$B$2:$B$130, "None")</f>
        <v>0</v>
      </c>
      <c r="U671" s="81">
        <f>DATEVALUE(LEFT(F671,10))</f>
        <v>44924</v>
      </c>
    </row>
    <row r="672" spans="1:21" hidden="1">
      <c r="A672" s="56" t="s">
        <v>4982</v>
      </c>
      <c r="B672" s="56" t="s">
        <v>29</v>
      </c>
      <c r="C672" s="56" t="s">
        <v>4983</v>
      </c>
      <c r="D672" s="56" t="s">
        <v>37</v>
      </c>
      <c r="E672" s="56" t="s">
        <v>4774</v>
      </c>
      <c r="F672" s="56" t="s">
        <v>4984</v>
      </c>
      <c r="G672" s="56">
        <v>122</v>
      </c>
      <c r="H672" s="56">
        <v>5</v>
      </c>
      <c r="I672" s="58">
        <v>4.0983606557377046E-2</v>
      </c>
      <c r="J672" s="56" t="s">
        <v>4985</v>
      </c>
      <c r="K672" s="56" t="s">
        <v>1893</v>
      </c>
      <c r="L672" s="56" t="s">
        <v>2942</v>
      </c>
      <c r="M672" s="56" t="str">
        <f>HYPERLINK("https://dribble.octin.io/?mode=Single+log&amp;log_id=27b0eb4d-c075-45d6-b74c-51741c445423","URL")</f>
        <v>URL</v>
      </c>
      <c r="N672" s="56" t="s">
        <v>3450</v>
      </c>
      <c r="O672" t="str">
        <f>_xlfn.XLOOKUP(N672,'Error-codes'!$C$2:$C$130,'Error-codes'!$B$2:$B$130, "None")</f>
        <v>xtheta sensor error</v>
      </c>
      <c r="U672" s="81">
        <f>DATEVALUE(LEFT(F672,10))</f>
        <v>44924</v>
      </c>
    </row>
    <row r="673" spans="1:21" hidden="1">
      <c r="A673" s="56" t="s">
        <v>4986</v>
      </c>
      <c r="B673" s="56" t="s">
        <v>29</v>
      </c>
      <c r="C673" s="56" t="s">
        <v>3184</v>
      </c>
      <c r="D673" s="56" t="s">
        <v>37</v>
      </c>
      <c r="E673" s="56" t="s">
        <v>2939</v>
      </c>
      <c r="F673" s="56" t="s">
        <v>4987</v>
      </c>
      <c r="G673" s="56">
        <v>117</v>
      </c>
      <c r="H673" s="56">
        <v>21</v>
      </c>
      <c r="I673" s="58">
        <v>0.17948717948717949</v>
      </c>
      <c r="J673" s="56" t="s">
        <v>4988</v>
      </c>
      <c r="K673" s="56" t="s">
        <v>1893</v>
      </c>
      <c r="L673" s="56" t="s">
        <v>2942</v>
      </c>
      <c r="M673" s="56" t="str">
        <f>HYPERLINK("https://dribble.octin.io/?mode=Single+log&amp;log_id=74e8d90f-e333-411d-b202-c1421be01470","URL")</f>
        <v>URL</v>
      </c>
      <c r="N673" s="56" t="s">
        <v>3444</v>
      </c>
      <c r="O673" t="str">
        <f>_xlfn.XLOOKUP(N673,'Error-codes'!$C$2:$C$130,'Error-codes'!$B$2:$B$130, "None")</f>
        <v>collision detected in operational state for the 4th time in a row</v>
      </c>
      <c r="U673" s="81">
        <f>DATEVALUE(LEFT(F673,10))</f>
        <v>44924</v>
      </c>
    </row>
    <row r="674" spans="1:21" hidden="1">
      <c r="A674" s="56" t="s">
        <v>3190</v>
      </c>
      <c r="B674" s="56" t="s">
        <v>29</v>
      </c>
      <c r="C674" s="56" t="s">
        <v>3184</v>
      </c>
      <c r="D674" s="56" t="s">
        <v>37</v>
      </c>
      <c r="E674" s="56" t="s">
        <v>2939</v>
      </c>
      <c r="F674" s="56" t="s">
        <v>3191</v>
      </c>
      <c r="G674" s="56">
        <v>117</v>
      </c>
      <c r="H674" s="56">
        <v>24</v>
      </c>
      <c r="I674" s="58">
        <v>0.20512820512820512</v>
      </c>
      <c r="J674" s="56" t="s">
        <v>3192</v>
      </c>
      <c r="K674" s="56" t="s">
        <v>1893</v>
      </c>
      <c r="L674" s="56" t="s">
        <v>2942</v>
      </c>
      <c r="M674" s="56" t="str">
        <f>HYPERLINK("https://dribble.octin.io/?mode=Single+log&amp;log_id=f466cf4f-ab0e-4661-8b80-f1b9b55deb83","URL")</f>
        <v>URL</v>
      </c>
      <c r="N674" s="56" t="s">
        <v>2933</v>
      </c>
      <c r="O674" t="str">
        <f>_xlfn.XLOOKUP(N674,'Error-codes'!$C$2:$C$130,'Error-codes'!$B$2:$B$130, "None")</f>
        <v>inductive sensor error</v>
      </c>
      <c r="U674" s="81">
        <f>DATEVALUE(LEFT(F674,10))</f>
        <v>44924</v>
      </c>
    </row>
    <row r="675" spans="1:21" hidden="1">
      <c r="A675" s="56" t="s">
        <v>4989</v>
      </c>
      <c r="B675" s="56" t="s">
        <v>295</v>
      </c>
      <c r="C675" s="56" t="s">
        <v>3187</v>
      </c>
      <c r="D675" s="56" t="s">
        <v>388</v>
      </c>
      <c r="E675" s="56" t="s">
        <v>2939</v>
      </c>
      <c r="F675" s="56" t="s">
        <v>4990</v>
      </c>
      <c r="G675" s="56">
        <v>146</v>
      </c>
      <c r="H675" s="56">
        <v>32</v>
      </c>
      <c r="I675" s="58">
        <v>0.21917808219178081</v>
      </c>
      <c r="J675" s="56" t="s">
        <v>343</v>
      </c>
      <c r="K675" s="56" t="s">
        <v>1893</v>
      </c>
      <c r="L675" s="56" t="s">
        <v>3162</v>
      </c>
      <c r="M675" s="56" t="str">
        <f>HYPERLINK("https://dribble.octin.io/?mode=Single+log&amp;log_id=ce62c493-b28b-4d7b-95ac-57d32b562f47","URL")</f>
        <v>URL</v>
      </c>
      <c r="N675" s="56" t="s">
        <v>3444</v>
      </c>
      <c r="O675" t="str">
        <f>_xlfn.XLOOKUP(N675,'Error-codes'!$C$2:$C$130,'Error-codes'!$B$2:$B$130, "None")</f>
        <v>collision detected in operational state for the 4th time in a row</v>
      </c>
      <c r="U675" s="81">
        <f>DATEVALUE(LEFT(F675,10))</f>
        <v>44924</v>
      </c>
    </row>
    <row r="676" spans="1:21" hidden="1">
      <c r="A676" s="56" t="s">
        <v>4991</v>
      </c>
      <c r="B676" s="56" t="s">
        <v>295</v>
      </c>
      <c r="C676" s="56" t="s">
        <v>3187</v>
      </c>
      <c r="D676" s="56" t="s">
        <v>388</v>
      </c>
      <c r="E676" s="56" t="s">
        <v>2939</v>
      </c>
      <c r="F676" s="56" t="s">
        <v>4992</v>
      </c>
      <c r="G676" s="56">
        <v>146</v>
      </c>
      <c r="H676" s="56">
        <v>39</v>
      </c>
      <c r="I676" s="58">
        <v>0.26712328767123289</v>
      </c>
      <c r="J676" s="56" t="s">
        <v>4993</v>
      </c>
      <c r="K676" s="56" t="s">
        <v>1893</v>
      </c>
      <c r="L676" s="56" t="s">
        <v>3162</v>
      </c>
      <c r="M676" s="56" t="str">
        <f>HYPERLINK("https://dribble.octin.io/?mode=Single+log&amp;log_id=7f937e24-7bcf-4d42-856a-488d79fac4e2","URL")</f>
        <v>URL</v>
      </c>
      <c r="N676" s="56" t="s">
        <v>3444</v>
      </c>
      <c r="O676" t="str">
        <f>_xlfn.XLOOKUP(N676,'Error-codes'!$C$2:$C$130,'Error-codes'!$B$2:$B$130, "None")</f>
        <v>collision detected in operational state for the 4th time in a row</v>
      </c>
      <c r="U676" s="81">
        <f>DATEVALUE(LEFT(F676,10))</f>
        <v>44924</v>
      </c>
    </row>
    <row r="677" spans="1:21" hidden="1">
      <c r="A677" s="56" t="s">
        <v>4994</v>
      </c>
      <c r="B677" s="56" t="s">
        <v>295</v>
      </c>
      <c r="C677" s="56" t="s">
        <v>3187</v>
      </c>
      <c r="D677" s="56" t="s">
        <v>388</v>
      </c>
      <c r="E677" s="56" t="s">
        <v>2939</v>
      </c>
      <c r="F677" s="56" t="s">
        <v>4995</v>
      </c>
      <c r="G677" s="56">
        <v>146</v>
      </c>
      <c r="H677" s="56">
        <v>44</v>
      </c>
      <c r="I677" s="58">
        <v>0.30136986301369861</v>
      </c>
      <c r="J677" s="56" t="s">
        <v>4957</v>
      </c>
      <c r="K677" s="56" t="s">
        <v>1893</v>
      </c>
      <c r="L677" s="56" t="s">
        <v>3162</v>
      </c>
      <c r="M677" s="56" t="str">
        <f>HYPERLINK("https://dribble.octin.io/?mode=Single+log&amp;log_id=010c2e9f-37c8-4c11-822a-94a43b6606cc","URL")</f>
        <v>URL</v>
      </c>
      <c r="N677" s="56" t="s">
        <v>3472</v>
      </c>
      <c r="O677" t="str">
        <f>_xlfn.XLOOKUP(N677,'Error-codes'!$C$2:$C$130,'Error-codes'!$B$2:$B$130, "None")</f>
        <v>Excessive slip detected</v>
      </c>
      <c r="U677" s="81">
        <f>DATEVALUE(LEFT(F677,10))</f>
        <v>44924</v>
      </c>
    </row>
    <row r="678" spans="1:21" hidden="1">
      <c r="A678" s="56" t="s">
        <v>3186</v>
      </c>
      <c r="B678" s="56" t="s">
        <v>295</v>
      </c>
      <c r="C678" s="56" t="s">
        <v>3187</v>
      </c>
      <c r="D678" s="56" t="s">
        <v>388</v>
      </c>
      <c r="E678" s="56" t="s">
        <v>2939</v>
      </c>
      <c r="F678" s="56" t="s">
        <v>3188</v>
      </c>
      <c r="G678" s="56">
        <v>146</v>
      </c>
      <c r="H678" s="56">
        <v>57</v>
      </c>
      <c r="I678" s="58">
        <v>0.3904109589041096</v>
      </c>
      <c r="J678" s="56" t="s">
        <v>3189</v>
      </c>
      <c r="K678" s="56" t="s">
        <v>1893</v>
      </c>
      <c r="L678" s="56" t="s">
        <v>3162</v>
      </c>
      <c r="M678" s="56" t="str">
        <f>HYPERLINK("https://dribble.octin.io/?mode=Single+log&amp;log_id=993de0fe-06c5-4c97-a2ff-f2f7c2d78cd6","URL")</f>
        <v>URL</v>
      </c>
      <c r="N678" s="56" t="s">
        <v>2933</v>
      </c>
      <c r="O678" t="str">
        <f>_xlfn.XLOOKUP(N678,'Error-codes'!$C$2:$C$130,'Error-codes'!$B$2:$B$130, "None")</f>
        <v>inductive sensor error</v>
      </c>
      <c r="U678" s="81">
        <f>DATEVALUE(LEFT(F678,10))</f>
        <v>44924</v>
      </c>
    </row>
    <row r="679" spans="1:21" hidden="1">
      <c r="A679" s="56" t="s">
        <v>4996</v>
      </c>
      <c r="B679" s="56" t="s">
        <v>295</v>
      </c>
      <c r="C679" s="56" t="s">
        <v>3187</v>
      </c>
      <c r="D679" s="56" t="s">
        <v>388</v>
      </c>
      <c r="E679" s="56" t="s">
        <v>2939</v>
      </c>
      <c r="F679" s="56" t="s">
        <v>4997</v>
      </c>
      <c r="G679" s="56">
        <v>146</v>
      </c>
      <c r="H679" s="56">
        <v>70</v>
      </c>
      <c r="I679" s="58">
        <v>0.47945205479452052</v>
      </c>
      <c r="J679" s="56" t="s">
        <v>1831</v>
      </c>
      <c r="K679" s="56" t="s">
        <v>1893</v>
      </c>
      <c r="L679" s="56" t="s">
        <v>3162</v>
      </c>
      <c r="M679" s="56" t="str">
        <f>HYPERLINK("https://dribble.octin.io/?mode=Single+log&amp;log_id=77b5bbcf-8598-4e7d-b786-215a63948e91","URL")</f>
        <v>URL</v>
      </c>
      <c r="N679" s="56" t="s">
        <v>3444</v>
      </c>
      <c r="O679" t="str">
        <f>_xlfn.XLOOKUP(N679,'Error-codes'!$C$2:$C$130,'Error-codes'!$B$2:$B$130, "None")</f>
        <v>collision detected in operational state for the 4th time in a row</v>
      </c>
      <c r="U679" s="81">
        <f>DATEVALUE(LEFT(F679,10))</f>
        <v>44924</v>
      </c>
    </row>
    <row r="680" spans="1:21" hidden="1">
      <c r="A680" s="56" t="s">
        <v>3183</v>
      </c>
      <c r="B680" s="56" t="s">
        <v>29</v>
      </c>
      <c r="C680" s="56" t="s">
        <v>3184</v>
      </c>
      <c r="D680" s="56" t="s">
        <v>37</v>
      </c>
      <c r="E680" s="56" t="s">
        <v>2939</v>
      </c>
      <c r="F680" s="56" t="s">
        <v>3185</v>
      </c>
      <c r="G680" s="56">
        <v>117</v>
      </c>
      <c r="H680" s="56">
        <v>67</v>
      </c>
      <c r="I680" s="58">
        <v>0.57264957264957261</v>
      </c>
      <c r="J680" s="56" t="s">
        <v>416</v>
      </c>
      <c r="K680" s="56" t="s">
        <v>1893</v>
      </c>
      <c r="L680" s="56" t="s">
        <v>2942</v>
      </c>
      <c r="M680" s="56" t="str">
        <f>HYPERLINK("https://dribble.octin.io/?mode=Single+log&amp;log_id=69d522ab-9d4d-4ad8-b12e-1249afdfe973","URL")</f>
        <v>URL</v>
      </c>
      <c r="N680" s="56" t="s">
        <v>2933</v>
      </c>
      <c r="O680" t="str">
        <f>_xlfn.XLOOKUP(N680,'Error-codes'!$C$2:$C$130,'Error-codes'!$B$2:$B$130, "None")</f>
        <v>inductive sensor error</v>
      </c>
      <c r="U680" s="81">
        <f>DATEVALUE(LEFT(F680,10))</f>
        <v>44924</v>
      </c>
    </row>
    <row r="681" spans="1:21" hidden="1">
      <c r="A681" s="56" t="s">
        <v>3183</v>
      </c>
      <c r="B681" s="56" t="s">
        <v>29</v>
      </c>
      <c r="C681" s="56" t="s">
        <v>3184</v>
      </c>
      <c r="D681" s="56" t="s">
        <v>37</v>
      </c>
      <c r="E681" s="56" t="s">
        <v>3242</v>
      </c>
      <c r="F681" s="56" t="s">
        <v>3185</v>
      </c>
      <c r="G681" s="56">
        <v>117</v>
      </c>
      <c r="H681" s="56">
        <v>68</v>
      </c>
      <c r="I681" s="58">
        <v>0.58119658119658124</v>
      </c>
      <c r="J681" s="56" t="s">
        <v>385</v>
      </c>
      <c r="K681" s="56" t="s">
        <v>1893</v>
      </c>
      <c r="L681" s="56" t="s">
        <v>2942</v>
      </c>
      <c r="M681" s="56" t="str">
        <f>HYPERLINK("https://dribble.octin.io/?mode=Single+log&amp;log_id=69d522ab-9d4d-4ad8-b12e-1249afdfe973","URL")</f>
        <v>URL</v>
      </c>
      <c r="N681" s="56" t="s">
        <v>3468</v>
      </c>
      <c r="O681" t="str">
        <f>_xlfn.XLOOKUP(N681,'Error-codes'!$C$2:$C$130,'Error-codes'!$B$2:$B$130, "None")</f>
        <v>no vision heartbeat</v>
      </c>
      <c r="U681" s="81">
        <f>DATEVALUE(LEFT(F681,10))</f>
        <v>44924</v>
      </c>
    </row>
    <row r="682" spans="1:21" hidden="1">
      <c r="A682" s="56" t="s">
        <v>4998</v>
      </c>
      <c r="B682" s="56" t="s">
        <v>295</v>
      </c>
      <c r="C682" s="56" t="s">
        <v>3187</v>
      </c>
      <c r="D682" s="56" t="s">
        <v>388</v>
      </c>
      <c r="E682" s="56" t="s">
        <v>2939</v>
      </c>
      <c r="F682" s="56" t="s">
        <v>4999</v>
      </c>
      <c r="G682" s="56">
        <v>146</v>
      </c>
      <c r="H682" s="56">
        <v>107</v>
      </c>
      <c r="I682" s="58">
        <v>0.73287671232876717</v>
      </c>
      <c r="J682" s="56" t="s">
        <v>5000</v>
      </c>
      <c r="K682" s="56" t="s">
        <v>1893</v>
      </c>
      <c r="L682" s="56" t="s">
        <v>3162</v>
      </c>
      <c r="M682" s="56" t="str">
        <f>HYPERLINK("https://dribble.octin.io/?mode=Single+log&amp;log_id=a99e0627-95f1-4df9-9e49-2d3bd9be355e","URL")</f>
        <v>URL</v>
      </c>
      <c r="N682" s="56" t="s">
        <v>3444</v>
      </c>
      <c r="O682" t="str">
        <f>_xlfn.XLOOKUP(N682,'Error-codes'!$C$2:$C$130,'Error-codes'!$B$2:$B$130, "None")</f>
        <v>collision detected in operational state for the 4th time in a row</v>
      </c>
      <c r="U682" s="81">
        <f>DATEVALUE(LEFT(F682,10))</f>
        <v>44924</v>
      </c>
    </row>
    <row r="683" spans="1:21" hidden="1">
      <c r="A683" s="56" t="s">
        <v>5001</v>
      </c>
      <c r="B683" s="56" t="s">
        <v>295</v>
      </c>
      <c r="C683" s="56" t="s">
        <v>3187</v>
      </c>
      <c r="D683" s="56" t="s">
        <v>388</v>
      </c>
      <c r="E683" s="56" t="s">
        <v>2939</v>
      </c>
      <c r="F683" s="56" t="s">
        <v>5002</v>
      </c>
      <c r="G683" s="56">
        <v>146</v>
      </c>
      <c r="H683" s="56">
        <v>142</v>
      </c>
      <c r="I683" s="58">
        <v>0.9726027397260274</v>
      </c>
      <c r="J683" s="56" t="s">
        <v>1848</v>
      </c>
      <c r="K683" s="56" t="s">
        <v>1893</v>
      </c>
      <c r="L683" s="56" t="s">
        <v>3162</v>
      </c>
      <c r="M683" s="56" t="str">
        <f>HYPERLINK("https://dribble.octin.io/?mode=Single+log&amp;log_id=0cdb1466-5dba-46a5-926d-60ae0c49efd5","URL")</f>
        <v>URL</v>
      </c>
      <c r="N683" s="56" t="s">
        <v>3444</v>
      </c>
      <c r="O683" t="str">
        <f>_xlfn.XLOOKUP(N683,'Error-codes'!$C$2:$C$130,'Error-codes'!$B$2:$B$130, "None")</f>
        <v>collision detected in operational state for the 4th time in a row</v>
      </c>
      <c r="U683" s="81">
        <f>DATEVALUE(LEFT(F683,10))</f>
        <v>44925</v>
      </c>
    </row>
    <row r="684" spans="1:21" hidden="1">
      <c r="B684" s="56" t="s">
        <v>295</v>
      </c>
      <c r="C684" s="56" t="s">
        <v>3187</v>
      </c>
      <c r="D684" s="56" t="s">
        <v>388</v>
      </c>
      <c r="F684" s="56" t="s">
        <v>5003</v>
      </c>
      <c r="G684" s="56">
        <v>146</v>
      </c>
      <c r="H684" s="56">
        <v>139</v>
      </c>
      <c r="I684" s="58">
        <v>0.95205479452054798</v>
      </c>
      <c r="K684" s="56" t="s">
        <v>1893</v>
      </c>
      <c r="L684" s="56" t="s">
        <v>3162</v>
      </c>
      <c r="O684">
        <f>_xlfn.XLOOKUP(N684,'Error-codes'!$C$2:$C$130,'Error-codes'!$B$2:$B$130, "None")</f>
        <v>0</v>
      </c>
      <c r="U684" s="81">
        <f>DATEVALUE(LEFT(F684,10))</f>
        <v>44925</v>
      </c>
    </row>
    <row r="685" spans="1:21" hidden="1">
      <c r="A685" s="56" t="s">
        <v>5004</v>
      </c>
      <c r="B685" s="56" t="s">
        <v>29</v>
      </c>
      <c r="C685" s="56" t="s">
        <v>3194</v>
      </c>
      <c r="D685" s="56" t="s">
        <v>37</v>
      </c>
      <c r="E685" s="56" t="s">
        <v>2939</v>
      </c>
      <c r="F685" s="56" t="s">
        <v>5005</v>
      </c>
      <c r="G685" s="56">
        <v>48</v>
      </c>
      <c r="H685" s="56">
        <v>18</v>
      </c>
      <c r="I685" s="58">
        <v>0.375</v>
      </c>
      <c r="J685" s="56" t="s">
        <v>4518</v>
      </c>
      <c r="K685" s="56" t="s">
        <v>1893</v>
      </c>
      <c r="L685" s="56" t="s">
        <v>2942</v>
      </c>
      <c r="M685" s="56" t="str">
        <f>HYPERLINK("https://dribble.octin.io/?mode=Single+log&amp;log_id=169c8977-2732-4cd8-8548-47184fb77135","URL")</f>
        <v>URL</v>
      </c>
      <c r="N685" s="56" t="s">
        <v>3444</v>
      </c>
      <c r="O685" t="str">
        <f>_xlfn.XLOOKUP(N685,'Error-codes'!$C$2:$C$130,'Error-codes'!$B$2:$B$130, "None")</f>
        <v>collision detected in operational state for the 4th time in a row</v>
      </c>
      <c r="U685" s="81">
        <f>DATEVALUE(LEFT(F685,10))</f>
        <v>44925</v>
      </c>
    </row>
    <row r="686" spans="1:21" hidden="1">
      <c r="A686" s="56" t="s">
        <v>3193</v>
      </c>
      <c r="B686" s="56" t="s">
        <v>29</v>
      </c>
      <c r="C686" s="56" t="s">
        <v>3194</v>
      </c>
      <c r="D686" s="56" t="s">
        <v>37</v>
      </c>
      <c r="E686" s="56" t="s">
        <v>2939</v>
      </c>
      <c r="F686" s="56" t="s">
        <v>3195</v>
      </c>
      <c r="G686" s="56">
        <v>48</v>
      </c>
      <c r="H686" s="56">
        <v>22</v>
      </c>
      <c r="I686" s="58">
        <v>0.45833333333333331</v>
      </c>
      <c r="J686" s="56" t="s">
        <v>3145</v>
      </c>
      <c r="K686" s="56" t="s">
        <v>1893</v>
      </c>
      <c r="L686" s="56" t="s">
        <v>2942</v>
      </c>
      <c r="M686" s="56" t="str">
        <f>HYPERLINK("https://dribble.octin.io/?mode=Single+log&amp;log_id=10789736-f02d-4d52-a9f9-6996172bcd6c","URL")</f>
        <v>URL</v>
      </c>
      <c r="N686" s="56" t="s">
        <v>2933</v>
      </c>
      <c r="O686" t="str">
        <f>_xlfn.XLOOKUP(N686,'Error-codes'!$C$2:$C$130,'Error-codes'!$B$2:$B$130, "None")</f>
        <v>inductive sensor error</v>
      </c>
      <c r="U686" s="81">
        <f>DATEVALUE(LEFT(F686,10))</f>
        <v>44925</v>
      </c>
    </row>
    <row r="687" spans="1:21" hidden="1">
      <c r="A687" s="56" t="s">
        <v>5006</v>
      </c>
      <c r="B687" s="56" t="s">
        <v>29</v>
      </c>
      <c r="C687" s="56" t="s">
        <v>3194</v>
      </c>
      <c r="D687" s="56" t="s">
        <v>37</v>
      </c>
      <c r="E687" s="56" t="s">
        <v>4253</v>
      </c>
      <c r="F687" s="56" t="s">
        <v>5007</v>
      </c>
      <c r="G687" s="56">
        <v>48</v>
      </c>
      <c r="H687" s="56">
        <v>46</v>
      </c>
      <c r="I687" s="58">
        <v>0.95833333333333337</v>
      </c>
      <c r="J687" s="56" t="s">
        <v>158</v>
      </c>
      <c r="K687" s="56" t="s">
        <v>1893</v>
      </c>
      <c r="L687" s="56" t="s">
        <v>2942</v>
      </c>
      <c r="M687" s="56" t="str">
        <f>HYPERLINK("https://dribble.octin.io/?mode=Single+log&amp;log_id=03e8a7df-89f5-4182-8d13-6f726841a0d0","URL")</f>
        <v>URL</v>
      </c>
      <c r="N687" s="56" t="s">
        <v>3460</v>
      </c>
      <c r="O687" t="str">
        <f>_xlfn.XLOOKUP(N687,'Error-codes'!$C$2:$C$130,'Error-codes'!$B$2:$B$130, "None")</f>
        <v>motor drive: DRV8353 FAULT</v>
      </c>
      <c r="U687" s="81">
        <f>DATEVALUE(LEFT(F687,10))</f>
        <v>44925</v>
      </c>
    </row>
    <row r="688" spans="1:21" hidden="1">
      <c r="A688" s="56" t="s">
        <v>5008</v>
      </c>
      <c r="B688" s="56" t="s">
        <v>3771</v>
      </c>
      <c r="C688" s="56" t="s">
        <v>5009</v>
      </c>
      <c r="D688" s="56" t="s">
        <v>37</v>
      </c>
      <c r="E688" s="56" t="s">
        <v>4564</v>
      </c>
      <c r="F688" s="56" t="s">
        <v>5010</v>
      </c>
      <c r="G688" s="56">
        <v>134</v>
      </c>
      <c r="H688" s="56">
        <v>25</v>
      </c>
      <c r="I688" s="58">
        <v>0.18656716417910449</v>
      </c>
      <c r="J688" s="56" t="s">
        <v>5011</v>
      </c>
      <c r="K688" s="56" t="s">
        <v>3207</v>
      </c>
      <c r="L688" s="56" t="s">
        <v>3775</v>
      </c>
      <c r="M688" s="56" t="str">
        <f>HYPERLINK("https://dribble.octin.io/?mode=Single+log&amp;log_id=47e91e14-1d8a-4a28-9d18-ab79a9f6cede","URL")</f>
        <v>URL</v>
      </c>
      <c r="N688" s="56" t="s">
        <v>3452</v>
      </c>
      <c r="O688" t="str">
        <f>_xlfn.XLOOKUP(N688,'Error-codes'!$C$2:$C$130,'Error-codes'!$B$2:$B$130, "None")</f>
        <v>ytheta sensor error</v>
      </c>
      <c r="U688" s="81">
        <f>DATEVALUE(LEFT(F688,10))</f>
        <v>44925</v>
      </c>
    </row>
    <row r="689" spans="1:21" hidden="1">
      <c r="B689" s="56" t="s">
        <v>295</v>
      </c>
      <c r="C689" s="56" t="s">
        <v>5012</v>
      </c>
      <c r="D689" s="56" t="s">
        <v>388</v>
      </c>
      <c r="F689" s="56" t="s">
        <v>5013</v>
      </c>
      <c r="G689" s="56">
        <v>2</v>
      </c>
      <c r="H689" s="56">
        <v>2</v>
      </c>
      <c r="I689" s="58">
        <v>1</v>
      </c>
      <c r="K689" s="56" t="s">
        <v>1873</v>
      </c>
      <c r="L689" s="56" t="s">
        <v>3162</v>
      </c>
      <c r="O689">
        <f>_xlfn.XLOOKUP(N689,'Error-codes'!$C$2:$C$130,'Error-codes'!$B$2:$B$130, "None")</f>
        <v>0</v>
      </c>
      <c r="U689" s="81">
        <f>DATEVALUE(LEFT(F689,10))</f>
        <v>44926</v>
      </c>
    </row>
    <row r="690" spans="1:21" hidden="1">
      <c r="A690" s="56" t="s">
        <v>5014</v>
      </c>
      <c r="B690" s="56" t="s">
        <v>295</v>
      </c>
      <c r="C690" s="56" t="s">
        <v>5015</v>
      </c>
      <c r="D690" s="56" t="s">
        <v>37</v>
      </c>
      <c r="E690" s="56" t="s">
        <v>4228</v>
      </c>
      <c r="F690" s="56" t="s">
        <v>5016</v>
      </c>
      <c r="G690" s="56">
        <v>10</v>
      </c>
      <c r="H690" s="56">
        <v>4</v>
      </c>
      <c r="I690" s="58">
        <v>0.4</v>
      </c>
      <c r="J690" s="56" t="s">
        <v>5017</v>
      </c>
      <c r="K690" s="56" t="s">
        <v>1873</v>
      </c>
      <c r="L690" s="56" t="s">
        <v>3162</v>
      </c>
      <c r="M690" s="56" t="str">
        <f>HYPERLINK("https://dribble.octin.io/?mode=Single+log&amp;log_id=df23fdc7-e12d-4500-ae2b-42462df120cc","URL")</f>
        <v>URL</v>
      </c>
      <c r="N690" s="56" t="s">
        <v>3454</v>
      </c>
      <c r="O690" t="str">
        <f>_xlfn.XLOOKUP(N690,'Error-codes'!$C$2:$C$130,'Error-codes'!$B$2:$B$130, "None")</f>
        <v>Veh low level FSM: safety was triggered</v>
      </c>
      <c r="U690" s="81">
        <f>DATEVALUE(LEFT(F690,10))</f>
        <v>44926</v>
      </c>
    </row>
    <row r="691" spans="1:21" hidden="1">
      <c r="A691" s="56" t="s">
        <v>5018</v>
      </c>
      <c r="B691" s="56" t="s">
        <v>295</v>
      </c>
      <c r="C691" s="56" t="s">
        <v>5019</v>
      </c>
      <c r="D691" s="56" t="s">
        <v>388</v>
      </c>
      <c r="E691" s="56" t="s">
        <v>2939</v>
      </c>
      <c r="F691" s="56" t="s">
        <v>5020</v>
      </c>
      <c r="G691" s="56">
        <v>141</v>
      </c>
      <c r="H691" s="56">
        <v>17</v>
      </c>
      <c r="I691" s="58">
        <v>0.12056737588652482</v>
      </c>
      <c r="J691" s="56" t="s">
        <v>5021</v>
      </c>
      <c r="K691" s="56" t="s">
        <v>1873</v>
      </c>
      <c r="L691" s="56" t="s">
        <v>3162</v>
      </c>
      <c r="M691" s="56" t="str">
        <f>HYPERLINK("https://dribble.octin.io/?mode=Single+log&amp;log_id=ee185ebc-beb9-40e8-b8ee-437a99855df0","URL")</f>
        <v>URL</v>
      </c>
      <c r="N691" s="56" t="s">
        <v>3472</v>
      </c>
      <c r="O691" t="str">
        <f>_xlfn.XLOOKUP(N691,'Error-codes'!$C$2:$C$130,'Error-codes'!$B$2:$B$130, "None")</f>
        <v>Excessive slip detected</v>
      </c>
      <c r="U691" s="81">
        <f>DATEVALUE(LEFT(F691,10))</f>
        <v>44926</v>
      </c>
    </row>
    <row r="692" spans="1:21" hidden="1">
      <c r="A692" s="56" t="s">
        <v>5022</v>
      </c>
      <c r="B692" s="56" t="s">
        <v>295</v>
      </c>
      <c r="C692" s="56" t="s">
        <v>5019</v>
      </c>
      <c r="D692" s="56" t="s">
        <v>388</v>
      </c>
      <c r="E692" s="56" t="s">
        <v>2939</v>
      </c>
      <c r="F692" s="56" t="s">
        <v>5023</v>
      </c>
      <c r="G692" s="56">
        <v>141</v>
      </c>
      <c r="H692" s="56">
        <v>31</v>
      </c>
      <c r="I692" s="58">
        <v>0.21985815602836881</v>
      </c>
      <c r="J692" s="56" t="s">
        <v>5024</v>
      </c>
      <c r="K692" s="56" t="s">
        <v>1873</v>
      </c>
      <c r="L692" s="56" t="s">
        <v>3162</v>
      </c>
      <c r="M692" s="56" t="str">
        <f>HYPERLINK("https://dribble.octin.io/?mode=Single+log&amp;log_id=1c66fbcd-a043-4081-9750-42ecad8dce9d","URL")</f>
        <v>URL</v>
      </c>
      <c r="N692" s="56" t="s">
        <v>3444</v>
      </c>
      <c r="O692" t="str">
        <f>_xlfn.XLOOKUP(N692,'Error-codes'!$C$2:$C$130,'Error-codes'!$B$2:$B$130, "None")</f>
        <v>collision detected in operational state for the 4th time in a row</v>
      </c>
      <c r="U692" s="81">
        <f>DATEVALUE(LEFT(F692,10))</f>
        <v>44926</v>
      </c>
    </row>
    <row r="693" spans="1:21" hidden="1">
      <c r="A693" s="56" t="s">
        <v>5025</v>
      </c>
      <c r="B693" s="56" t="s">
        <v>295</v>
      </c>
      <c r="C693" s="56" t="s">
        <v>5019</v>
      </c>
      <c r="D693" s="56" t="s">
        <v>388</v>
      </c>
      <c r="E693" s="56" t="s">
        <v>2939</v>
      </c>
      <c r="F693" s="56" t="s">
        <v>5026</v>
      </c>
      <c r="G693" s="56">
        <v>141</v>
      </c>
      <c r="H693" s="56">
        <v>50</v>
      </c>
      <c r="I693" s="58">
        <v>0.3546099290780142</v>
      </c>
      <c r="J693" s="56" t="s">
        <v>5027</v>
      </c>
      <c r="K693" s="56" t="s">
        <v>1873</v>
      </c>
      <c r="L693" s="56" t="s">
        <v>3162</v>
      </c>
      <c r="M693" s="56" t="str">
        <f>HYPERLINK("https://dribble.octin.io/?mode=Single+log&amp;log_id=e555ada4-f8df-4740-9191-b44782dd8c93","URL")</f>
        <v>URL</v>
      </c>
      <c r="N693" s="56" t="s">
        <v>3444</v>
      </c>
      <c r="O693" t="str">
        <f>_xlfn.XLOOKUP(N693,'Error-codes'!$C$2:$C$130,'Error-codes'!$B$2:$B$130, "None")</f>
        <v>collision detected in operational state for the 4th time in a row</v>
      </c>
      <c r="U693" s="81">
        <f>DATEVALUE(LEFT(F693,10))</f>
        <v>44926</v>
      </c>
    </row>
    <row r="694" spans="1:21" hidden="1">
      <c r="A694" s="56" t="s">
        <v>5028</v>
      </c>
      <c r="B694" s="56" t="s">
        <v>295</v>
      </c>
      <c r="C694" s="56" t="s">
        <v>5019</v>
      </c>
      <c r="D694" s="56" t="s">
        <v>388</v>
      </c>
      <c r="E694" s="56" t="s">
        <v>2939</v>
      </c>
      <c r="F694" s="56" t="s">
        <v>5029</v>
      </c>
      <c r="G694" s="56">
        <v>141</v>
      </c>
      <c r="H694" s="56">
        <v>58</v>
      </c>
      <c r="I694" s="58">
        <v>0.41134751773049644</v>
      </c>
      <c r="J694" s="56" t="s">
        <v>202</v>
      </c>
      <c r="K694" s="56" t="s">
        <v>1873</v>
      </c>
      <c r="L694" s="56" t="s">
        <v>3162</v>
      </c>
      <c r="M694" s="56" t="str">
        <f>HYPERLINK("https://dribble.octin.io/?mode=Single+log&amp;log_id=62f4c927-939d-48a5-914e-de91bb09aa87","URL")</f>
        <v>URL</v>
      </c>
      <c r="N694" s="56" t="s">
        <v>3444</v>
      </c>
      <c r="O694" t="str">
        <f>_xlfn.XLOOKUP(N694,'Error-codes'!$C$2:$C$130,'Error-codes'!$B$2:$B$130, "None")</f>
        <v>collision detected in operational state for the 4th time in a row</v>
      </c>
      <c r="U694" s="81">
        <f>DATEVALUE(LEFT(F694,10))</f>
        <v>44926</v>
      </c>
    </row>
    <row r="695" spans="1:21" hidden="1">
      <c r="A695" s="56" t="s">
        <v>5030</v>
      </c>
      <c r="B695" s="56" t="s">
        <v>295</v>
      </c>
      <c r="C695" s="56" t="s">
        <v>5019</v>
      </c>
      <c r="D695" s="56" t="s">
        <v>388</v>
      </c>
      <c r="E695" s="56" t="s">
        <v>2939</v>
      </c>
      <c r="F695" s="56" t="s">
        <v>5031</v>
      </c>
      <c r="G695" s="56">
        <v>141</v>
      </c>
      <c r="H695" s="56">
        <v>62</v>
      </c>
      <c r="I695" s="58">
        <v>0.43971631205673761</v>
      </c>
      <c r="J695" s="56" t="s">
        <v>5032</v>
      </c>
      <c r="K695" s="56" t="s">
        <v>1873</v>
      </c>
      <c r="L695" s="56" t="s">
        <v>3162</v>
      </c>
      <c r="M695" s="56" t="str">
        <f>HYPERLINK("https://dribble.octin.io/?mode=Single+log&amp;log_id=48349836-69b0-4350-9ccf-66452c8fea9b","URL")</f>
        <v>URL</v>
      </c>
      <c r="N695" s="56" t="s">
        <v>3448</v>
      </c>
      <c r="O695" t="str">
        <f>_xlfn.XLOOKUP(N695,'Error-codes'!$C$2:$C$130,'Error-codes'!$B$2:$B$130, "None")</f>
        <v>end of lane open sensor error</v>
      </c>
      <c r="U695" s="81">
        <f>DATEVALUE(LEFT(F695,10))</f>
        <v>44926</v>
      </c>
    </row>
    <row r="696" spans="1:21" hidden="1">
      <c r="A696" s="56" t="s">
        <v>5033</v>
      </c>
      <c r="B696" s="56" t="s">
        <v>295</v>
      </c>
      <c r="C696" s="56" t="s">
        <v>5019</v>
      </c>
      <c r="D696" s="56" t="s">
        <v>388</v>
      </c>
      <c r="E696" s="56" t="s">
        <v>2939</v>
      </c>
      <c r="F696" s="56" t="s">
        <v>5034</v>
      </c>
      <c r="G696" s="56">
        <v>141</v>
      </c>
      <c r="H696" s="56">
        <v>64</v>
      </c>
      <c r="I696" s="58">
        <v>0.45390070921985815</v>
      </c>
      <c r="J696" s="56" t="s">
        <v>5035</v>
      </c>
      <c r="K696" s="56" t="s">
        <v>1873</v>
      </c>
      <c r="L696" s="56" t="s">
        <v>3162</v>
      </c>
      <c r="M696" s="56" t="str">
        <f>HYPERLINK("https://dribble.octin.io/?mode=Single+log&amp;log_id=9f897a60-3b92-4b42-b20c-c493e2ba419a","URL")</f>
        <v>URL</v>
      </c>
      <c r="N696" s="56" t="s">
        <v>3472</v>
      </c>
      <c r="O696" t="str">
        <f>_xlfn.XLOOKUP(N696,'Error-codes'!$C$2:$C$130,'Error-codes'!$B$2:$B$130, "None")</f>
        <v>Excessive slip detected</v>
      </c>
      <c r="U696" s="81">
        <f>DATEVALUE(LEFT(F696,10))</f>
        <v>44926</v>
      </c>
    </row>
    <row r="697" spans="1:21" hidden="1">
      <c r="A697" s="56" t="s">
        <v>5036</v>
      </c>
      <c r="B697" s="56" t="s">
        <v>295</v>
      </c>
      <c r="C697" s="56" t="s">
        <v>5019</v>
      </c>
      <c r="D697" s="56" t="s">
        <v>388</v>
      </c>
      <c r="E697" s="56" t="s">
        <v>2939</v>
      </c>
      <c r="F697" s="56" t="s">
        <v>5037</v>
      </c>
      <c r="G697" s="56">
        <v>141</v>
      </c>
      <c r="H697" s="56">
        <v>65</v>
      </c>
      <c r="I697" s="58">
        <v>0.46099290780141844</v>
      </c>
      <c r="J697" s="56" t="s">
        <v>3176</v>
      </c>
      <c r="K697" s="56" t="s">
        <v>1873</v>
      </c>
      <c r="L697" s="56" t="s">
        <v>3162</v>
      </c>
      <c r="M697" s="56" t="str">
        <f>HYPERLINK("https://dribble.octin.io/?mode=Single+log&amp;log_id=5f3661b9-7cda-47d7-a532-5d07abfeeb48","URL")</f>
        <v>URL</v>
      </c>
      <c r="N697" s="56" t="s">
        <v>3440</v>
      </c>
      <c r="O697" t="str">
        <f>_xlfn.XLOOKUP(N697,'Error-codes'!$C$2:$C$130,'Error-codes'!$B$2:$B$130, "None")</f>
        <v>Trajectory generation timeout</v>
      </c>
      <c r="U697" s="81">
        <f>DATEVALUE(LEFT(F697,10))</f>
        <v>44926</v>
      </c>
    </row>
    <row r="698" spans="1:21" hidden="1">
      <c r="A698" s="56" t="s">
        <v>5038</v>
      </c>
      <c r="B698" s="56" t="s">
        <v>29</v>
      </c>
      <c r="C698" s="56" t="s">
        <v>5039</v>
      </c>
      <c r="D698" s="56" t="s">
        <v>388</v>
      </c>
      <c r="E698" s="56" t="s">
        <v>2939</v>
      </c>
      <c r="F698" s="56" t="s">
        <v>5040</v>
      </c>
      <c r="G698" s="56">
        <v>139</v>
      </c>
      <c r="H698" s="56">
        <v>98</v>
      </c>
      <c r="I698" s="58">
        <v>0.70503597122302153</v>
      </c>
      <c r="J698" s="56" t="s">
        <v>3979</v>
      </c>
      <c r="K698" s="56" t="s">
        <v>1873</v>
      </c>
      <c r="L698" s="56" t="s">
        <v>2942</v>
      </c>
      <c r="M698" s="56" t="str">
        <f>HYPERLINK("https://dribble.octin.io/?mode=Single+log&amp;log_id=b7bae5bb-60e2-4713-8c0f-ab005676a7e2","URL")</f>
        <v>URL</v>
      </c>
      <c r="N698" s="56" t="s">
        <v>3444</v>
      </c>
      <c r="O698" t="str">
        <f>_xlfn.XLOOKUP(N698,'Error-codes'!$C$2:$C$130,'Error-codes'!$B$2:$B$130, "None")</f>
        <v>collision detected in operational state for the 4th time in a row</v>
      </c>
      <c r="U698" s="81">
        <f>DATEVALUE(LEFT(F698,10))</f>
        <v>44926</v>
      </c>
    </row>
    <row r="699" spans="1:21" hidden="1">
      <c r="A699" s="56" t="s">
        <v>5041</v>
      </c>
      <c r="B699" s="56" t="s">
        <v>29</v>
      </c>
      <c r="C699" s="56" t="s">
        <v>5039</v>
      </c>
      <c r="D699" s="56" t="s">
        <v>388</v>
      </c>
      <c r="E699" s="56" t="s">
        <v>2939</v>
      </c>
      <c r="F699" s="56" t="s">
        <v>5042</v>
      </c>
      <c r="G699" s="56">
        <v>139</v>
      </c>
      <c r="H699" s="56">
        <v>103</v>
      </c>
      <c r="I699" s="58">
        <v>0.74100719424460426</v>
      </c>
      <c r="J699" s="56" t="s">
        <v>5043</v>
      </c>
      <c r="K699" s="56" t="s">
        <v>1873</v>
      </c>
      <c r="L699" s="56" t="s">
        <v>2942</v>
      </c>
      <c r="M699" s="56" t="str">
        <f>HYPERLINK("https://dribble.octin.io/?mode=Single+log&amp;log_id=c78b6a59-adae-46a9-b7da-9224800e496a","URL")</f>
        <v>URL</v>
      </c>
      <c r="N699" s="56" t="s">
        <v>3440</v>
      </c>
      <c r="O699" t="str">
        <f>_xlfn.XLOOKUP(N699,'Error-codes'!$C$2:$C$130,'Error-codes'!$B$2:$B$130, "None")</f>
        <v>Trajectory generation timeout</v>
      </c>
      <c r="U699" s="81">
        <f>DATEVALUE(LEFT(F699,10))</f>
        <v>44926</v>
      </c>
    </row>
    <row r="700" spans="1:21">
      <c r="B700" s="56" t="s">
        <v>295</v>
      </c>
      <c r="C700" s="56" t="s">
        <v>5019</v>
      </c>
      <c r="D700" s="56" t="s">
        <v>388</v>
      </c>
      <c r="F700" s="56" t="s">
        <v>5044</v>
      </c>
      <c r="G700" s="56">
        <v>141</v>
      </c>
      <c r="H700" s="56">
        <v>134</v>
      </c>
      <c r="I700" s="58">
        <v>0.95035460992907805</v>
      </c>
      <c r="K700" s="56" t="s">
        <v>1873</v>
      </c>
      <c r="L700" s="56" t="s">
        <v>3162</v>
      </c>
      <c r="O700">
        <f>_xlfn.XLOOKUP(N700,'Error-codes'!$C$2:$C$130,'Error-codes'!$B$2:$B$130, "None")</f>
        <v>0</v>
      </c>
      <c r="U700" s="81">
        <f>DATEVALUE(LEFT(F700,10))</f>
        <v>44927</v>
      </c>
    </row>
    <row r="701" spans="1:21">
      <c r="B701" s="56" t="s">
        <v>29</v>
      </c>
      <c r="C701" s="56" t="s">
        <v>5039</v>
      </c>
      <c r="D701" s="56" t="s">
        <v>388</v>
      </c>
      <c r="F701" s="56" t="s">
        <v>5045</v>
      </c>
      <c r="G701" s="56">
        <v>139</v>
      </c>
      <c r="H701" s="56">
        <v>137</v>
      </c>
      <c r="I701" s="58">
        <v>0.98561151079136688</v>
      </c>
      <c r="K701" s="56" t="s">
        <v>1873</v>
      </c>
      <c r="L701" s="56" t="s">
        <v>2942</v>
      </c>
      <c r="O701">
        <f>_xlfn.XLOOKUP(N701,'Error-codes'!$C$2:$C$130,'Error-codes'!$B$2:$B$130, "None")</f>
        <v>0</v>
      </c>
      <c r="U701" s="81">
        <f>DATEVALUE(LEFT(F701,10))</f>
        <v>44927</v>
      </c>
    </row>
    <row r="702" spans="1:21">
      <c r="A702" s="56" t="s">
        <v>5046</v>
      </c>
      <c r="B702" s="56" t="s">
        <v>29</v>
      </c>
      <c r="C702" s="56" t="s">
        <v>5047</v>
      </c>
      <c r="D702" s="56" t="s">
        <v>37</v>
      </c>
      <c r="E702" s="56" t="s">
        <v>2939</v>
      </c>
      <c r="F702" s="56" t="s">
        <v>5048</v>
      </c>
      <c r="G702" s="56">
        <v>153</v>
      </c>
      <c r="H702" s="56">
        <v>17</v>
      </c>
      <c r="I702" s="58">
        <v>0.1111111111111111</v>
      </c>
      <c r="J702" s="56" t="s">
        <v>5049</v>
      </c>
      <c r="K702" s="56" t="s">
        <v>1893</v>
      </c>
      <c r="L702" s="56" t="s">
        <v>2942</v>
      </c>
      <c r="M702" s="56" t="str">
        <f>HYPERLINK("https://dribble.octin.io/?mode=Single+log&amp;log_id=73ad4746-fec5-4bf0-8d6a-3561666bf926","URL")</f>
        <v>URL</v>
      </c>
      <c r="N702" s="56" t="s">
        <v>3446</v>
      </c>
      <c r="O702" t="str">
        <f>_xlfn.XLOOKUP(N702,'Error-codes'!$C$2:$C$130,'Error-codes'!$B$2:$B$130, "None")</f>
        <v>end of lane wall sensor error</v>
      </c>
      <c r="U702" s="81">
        <f>DATEVALUE(LEFT(F702,10))</f>
        <v>44927</v>
      </c>
    </row>
    <row r="703" spans="1:21">
      <c r="A703" s="56" t="s">
        <v>5050</v>
      </c>
      <c r="B703" s="56" t="s">
        <v>295</v>
      </c>
      <c r="C703" s="56" t="s">
        <v>5051</v>
      </c>
      <c r="D703" s="56" t="s">
        <v>388</v>
      </c>
      <c r="E703" s="56" t="s">
        <v>2939</v>
      </c>
      <c r="F703" s="56" t="s">
        <v>5052</v>
      </c>
      <c r="G703" s="56">
        <v>147</v>
      </c>
      <c r="H703" s="56">
        <v>23</v>
      </c>
      <c r="I703" s="58">
        <v>0.15646258503401361</v>
      </c>
      <c r="J703" s="56" t="s">
        <v>5053</v>
      </c>
      <c r="K703" s="56" t="s">
        <v>1893</v>
      </c>
      <c r="L703" s="56" t="s">
        <v>3162</v>
      </c>
      <c r="M703" s="56" t="str">
        <f>HYPERLINK("https://dribble.octin.io/?mode=Single+log&amp;log_id=ec554471-a008-4e01-a433-2b4d97e62204","URL")</f>
        <v>URL</v>
      </c>
      <c r="N703" s="56" t="s">
        <v>3446</v>
      </c>
      <c r="O703" t="str">
        <f>_xlfn.XLOOKUP(N703,'Error-codes'!$C$2:$C$130,'Error-codes'!$B$2:$B$130, "None")</f>
        <v>end of lane wall sensor error</v>
      </c>
      <c r="U703" s="81">
        <f>DATEVALUE(LEFT(F703,10))</f>
        <v>44927</v>
      </c>
    </row>
    <row r="704" spans="1:21">
      <c r="A704" s="56" t="s">
        <v>5054</v>
      </c>
      <c r="B704" s="56" t="s">
        <v>29</v>
      </c>
      <c r="C704" s="56" t="s">
        <v>5047</v>
      </c>
      <c r="D704" s="56" t="s">
        <v>37</v>
      </c>
      <c r="E704" s="56" t="s">
        <v>4774</v>
      </c>
      <c r="F704" s="56" t="s">
        <v>5055</v>
      </c>
      <c r="G704" s="56">
        <v>153</v>
      </c>
      <c r="H704" s="56">
        <v>33</v>
      </c>
      <c r="I704" s="58">
        <v>0.21568627450980393</v>
      </c>
      <c r="J704" s="56" t="s">
        <v>365</v>
      </c>
      <c r="K704" s="56" t="s">
        <v>1893</v>
      </c>
      <c r="L704" s="56" t="s">
        <v>2942</v>
      </c>
      <c r="M704" s="56" t="str">
        <f>HYPERLINK("https://dribble.octin.io/?mode=Single+log&amp;log_id=2d817781-4f43-4051-b6e4-593c66ee5eb5","URL")</f>
        <v>URL</v>
      </c>
      <c r="N704" s="56" t="s">
        <v>3450</v>
      </c>
      <c r="O704" t="str">
        <f>_xlfn.XLOOKUP(N704,'Error-codes'!$C$2:$C$130,'Error-codes'!$B$2:$B$130, "None")</f>
        <v>xtheta sensor error</v>
      </c>
      <c r="U704" s="81">
        <f>DATEVALUE(LEFT(F704,10))</f>
        <v>44927</v>
      </c>
    </row>
    <row r="705" spans="1:21">
      <c r="A705" s="56" t="s">
        <v>5056</v>
      </c>
      <c r="B705" s="56" t="s">
        <v>295</v>
      </c>
      <c r="C705" s="56" t="s">
        <v>5051</v>
      </c>
      <c r="D705" s="56" t="s">
        <v>388</v>
      </c>
      <c r="E705" s="56" t="s">
        <v>2939</v>
      </c>
      <c r="F705" s="56" t="s">
        <v>5057</v>
      </c>
      <c r="G705" s="56">
        <v>147</v>
      </c>
      <c r="H705" s="56">
        <v>40</v>
      </c>
      <c r="I705" s="58">
        <v>0.27210884353741499</v>
      </c>
      <c r="J705" s="56" t="s">
        <v>4993</v>
      </c>
      <c r="K705" s="56" t="s">
        <v>1893</v>
      </c>
      <c r="L705" s="56" t="s">
        <v>3162</v>
      </c>
      <c r="M705" s="56" t="str">
        <f>HYPERLINK("https://dribble.octin.io/?mode=Single+log&amp;log_id=36e48817-c6d2-4d78-a9a4-8604a43c528b","URL")</f>
        <v>URL</v>
      </c>
      <c r="N705" s="56" t="s">
        <v>3444</v>
      </c>
      <c r="O705" t="str">
        <f>_xlfn.XLOOKUP(N705,'Error-codes'!$C$2:$C$130,'Error-codes'!$B$2:$B$130, "None")</f>
        <v>collision detected in operational state for the 4th time in a row</v>
      </c>
      <c r="U705" s="81">
        <f>DATEVALUE(LEFT(F705,10))</f>
        <v>44927</v>
      </c>
    </row>
    <row r="706" spans="1:21">
      <c r="A706" s="56" t="s">
        <v>5058</v>
      </c>
      <c r="B706" s="56" t="s">
        <v>295</v>
      </c>
      <c r="C706" s="56" t="s">
        <v>5051</v>
      </c>
      <c r="D706" s="56" t="s">
        <v>388</v>
      </c>
      <c r="E706" s="56" t="s">
        <v>2939</v>
      </c>
      <c r="F706" s="56" t="s">
        <v>5059</v>
      </c>
      <c r="G706" s="56">
        <v>147</v>
      </c>
      <c r="H706" s="56">
        <v>45</v>
      </c>
      <c r="I706" s="58">
        <v>0.30612244897959184</v>
      </c>
      <c r="J706" s="56" t="s">
        <v>4957</v>
      </c>
      <c r="K706" s="56" t="s">
        <v>1893</v>
      </c>
      <c r="L706" s="56" t="s">
        <v>3162</v>
      </c>
      <c r="M706" s="56" t="str">
        <f>HYPERLINK("https://dribble.octin.io/?mode=Single+log&amp;log_id=422b7460-9829-446c-b2ca-584df9bdc094","URL")</f>
        <v>URL</v>
      </c>
      <c r="N706" s="56" t="s">
        <v>3472</v>
      </c>
      <c r="O706" t="str">
        <f>_xlfn.XLOOKUP(N706,'Error-codes'!$C$2:$C$130,'Error-codes'!$B$2:$B$130, "None")</f>
        <v>Excessive slip detected</v>
      </c>
      <c r="U706" s="81">
        <f>DATEVALUE(LEFT(F706,10))</f>
        <v>44927</v>
      </c>
    </row>
    <row r="707" spans="1:21">
      <c r="A707" s="56" t="s">
        <v>5060</v>
      </c>
      <c r="B707" s="56" t="s">
        <v>295</v>
      </c>
      <c r="C707" s="56" t="s">
        <v>5051</v>
      </c>
      <c r="D707" s="56" t="s">
        <v>388</v>
      </c>
      <c r="E707" s="56" t="s">
        <v>2939</v>
      </c>
      <c r="F707" s="56" t="s">
        <v>5061</v>
      </c>
      <c r="G707" s="56">
        <v>147</v>
      </c>
      <c r="H707" s="56">
        <v>77</v>
      </c>
      <c r="I707" s="58">
        <v>0.52380952380952384</v>
      </c>
      <c r="J707" s="56" t="s">
        <v>84</v>
      </c>
      <c r="K707" s="56" t="s">
        <v>1893</v>
      </c>
      <c r="L707" s="56" t="s">
        <v>3162</v>
      </c>
      <c r="M707" s="56" t="str">
        <f>HYPERLINK("https://dribble.octin.io/?mode=Single+log&amp;log_id=4a8a8650-1e77-4861-8af4-66ee2abb2317","URL")</f>
        <v>URL</v>
      </c>
      <c r="N707" s="56" t="s">
        <v>3444</v>
      </c>
      <c r="O707" t="str">
        <f>_xlfn.XLOOKUP(N707,'Error-codes'!$C$2:$C$130,'Error-codes'!$B$2:$B$130, "None")</f>
        <v>collision detected in operational state for the 4th time in a row</v>
      </c>
      <c r="U707" s="81">
        <f>DATEVALUE(LEFT(F707,10))</f>
        <v>44927</v>
      </c>
    </row>
    <row r="708" spans="1:21">
      <c r="A708" s="56" t="s">
        <v>5062</v>
      </c>
      <c r="B708" s="56" t="s">
        <v>295</v>
      </c>
      <c r="C708" s="56" t="s">
        <v>5051</v>
      </c>
      <c r="D708" s="56" t="s">
        <v>388</v>
      </c>
      <c r="E708" s="56" t="s">
        <v>2939</v>
      </c>
      <c r="F708" s="56" t="s">
        <v>5063</v>
      </c>
      <c r="G708" s="56">
        <v>147</v>
      </c>
      <c r="H708" s="56">
        <v>108</v>
      </c>
      <c r="I708" s="58">
        <v>0.73469387755102045</v>
      </c>
      <c r="J708" s="56" t="s">
        <v>5000</v>
      </c>
      <c r="K708" s="56" t="s">
        <v>1893</v>
      </c>
      <c r="L708" s="56" t="s">
        <v>3162</v>
      </c>
      <c r="M708" s="56" t="str">
        <f>HYPERLINK("https://dribble.octin.io/?mode=Single+log&amp;log_id=b61d4b96-b3dd-4bd4-8155-431fbdc3927c","URL")</f>
        <v>URL</v>
      </c>
      <c r="N708" s="56" t="s">
        <v>3444</v>
      </c>
      <c r="O708" t="str">
        <f>_xlfn.XLOOKUP(N708,'Error-codes'!$C$2:$C$130,'Error-codes'!$B$2:$B$130, "None")</f>
        <v>collision detected in operational state for the 4th time in a row</v>
      </c>
      <c r="U708" s="81">
        <f>DATEVALUE(LEFT(F708,10))</f>
        <v>44927</v>
      </c>
    </row>
    <row r="709" spans="1:21">
      <c r="A709" s="56" t="s">
        <v>5064</v>
      </c>
      <c r="B709" s="56" t="s">
        <v>295</v>
      </c>
      <c r="C709" s="56" t="s">
        <v>5051</v>
      </c>
      <c r="D709" s="56" t="s">
        <v>388</v>
      </c>
      <c r="E709" s="56" t="s">
        <v>2939</v>
      </c>
      <c r="F709" s="56" t="s">
        <v>5065</v>
      </c>
      <c r="G709" s="56">
        <v>147</v>
      </c>
      <c r="H709" s="56">
        <v>143</v>
      </c>
      <c r="I709" s="58">
        <v>0.97278911564625847</v>
      </c>
      <c r="J709" s="56" t="s">
        <v>1848</v>
      </c>
      <c r="K709" s="56" t="s">
        <v>1893</v>
      </c>
      <c r="L709" s="56" t="s">
        <v>3162</v>
      </c>
      <c r="M709" s="56" t="str">
        <f>HYPERLINK("https://dribble.octin.io/?mode=Single+log&amp;log_id=3ad1d175-4110-4594-8eb7-885b91c61d3c","URL")</f>
        <v>URL</v>
      </c>
      <c r="N709" s="56" t="s">
        <v>3444</v>
      </c>
      <c r="O709" t="str">
        <f>_xlfn.XLOOKUP(N709,'Error-codes'!$C$2:$C$130,'Error-codes'!$B$2:$B$130, "None")</f>
        <v>collision detected in operational state for the 4th time in a row</v>
      </c>
      <c r="U709" s="81">
        <f>DATEVALUE(LEFT(F709,10))</f>
        <v>44928</v>
      </c>
    </row>
    <row r="710" spans="1:21">
      <c r="B710" s="56" t="s">
        <v>295</v>
      </c>
      <c r="C710" s="56" t="s">
        <v>5051</v>
      </c>
      <c r="D710" s="56" t="s">
        <v>388</v>
      </c>
      <c r="F710" s="56" t="s">
        <v>5066</v>
      </c>
      <c r="G710" s="56">
        <v>147</v>
      </c>
      <c r="H710" s="56">
        <v>141</v>
      </c>
      <c r="I710" s="58">
        <v>0.95918367346938771</v>
      </c>
      <c r="K710" s="56" t="s">
        <v>1893</v>
      </c>
      <c r="L710" s="56" t="s">
        <v>3162</v>
      </c>
      <c r="O710">
        <f>_xlfn.XLOOKUP(N710,'Error-codes'!$C$2:$C$130,'Error-codes'!$B$2:$B$130, "None")</f>
        <v>0</v>
      </c>
      <c r="U710" s="81">
        <f>DATEVALUE(LEFT(F710,10))</f>
        <v>44928</v>
      </c>
    </row>
    <row r="711" spans="1:21">
      <c r="A711" s="56"/>
      <c r="B711" s="56" t="s">
        <v>29</v>
      </c>
      <c r="C711" s="56" t="s">
        <v>5067</v>
      </c>
      <c r="D711" s="56" t="s">
        <v>37</v>
      </c>
      <c r="E711" s="56" t="s">
        <v>3242</v>
      </c>
      <c r="F711" s="56" t="s">
        <v>5068</v>
      </c>
      <c r="G711" s="56">
        <v>11</v>
      </c>
      <c r="H711" s="56">
        <v>0</v>
      </c>
      <c r="I711" s="58">
        <v>0</v>
      </c>
      <c r="J711" s="56" t="s">
        <v>365</v>
      </c>
      <c r="K711" s="56" t="s">
        <v>1893</v>
      </c>
      <c r="L711" s="56" t="s">
        <v>2942</v>
      </c>
      <c r="N711" s="56" t="s">
        <v>3468</v>
      </c>
      <c r="O711" t="str">
        <f>_xlfn.XLOOKUP(N711,'Error-codes'!$C$2:$C$130,'Error-codes'!$B$2:$B$130, "None")</f>
        <v>no vision heartbeat</v>
      </c>
      <c r="U711" s="81">
        <f>DATEVALUE(LEFT(F711,10))</f>
        <v>44928</v>
      </c>
    </row>
    <row r="712" spans="1:21">
      <c r="B712" s="56" t="s">
        <v>29</v>
      </c>
      <c r="C712" s="56" t="s">
        <v>5069</v>
      </c>
      <c r="D712" s="56" t="s">
        <v>388</v>
      </c>
      <c r="F712" s="56" t="s">
        <v>5070</v>
      </c>
      <c r="G712" s="56">
        <v>13</v>
      </c>
      <c r="H712" s="56">
        <v>13</v>
      </c>
      <c r="I712" s="58">
        <v>1</v>
      </c>
      <c r="K712" s="56" t="s">
        <v>1893</v>
      </c>
      <c r="L712" s="56" t="s">
        <v>2942</v>
      </c>
      <c r="O712">
        <f>_xlfn.XLOOKUP(N712,'Error-codes'!$C$2:$C$130,'Error-codes'!$B$2:$B$130, "None")</f>
        <v>0</v>
      </c>
      <c r="U712" s="81">
        <f>DATEVALUE(LEFT(F712,10))</f>
        <v>44928</v>
      </c>
    </row>
    <row r="713" spans="1:21">
      <c r="A713" s="56"/>
      <c r="B713" s="56" t="s">
        <v>3771</v>
      </c>
      <c r="C713" s="56" t="s">
        <v>5071</v>
      </c>
      <c r="D713" s="56" t="s">
        <v>22</v>
      </c>
      <c r="E713" s="56" t="s">
        <v>4564</v>
      </c>
      <c r="F713" s="56" t="s">
        <v>5072</v>
      </c>
      <c r="G713" s="56">
        <v>94</v>
      </c>
      <c r="H713" s="56">
        <v>1</v>
      </c>
      <c r="I713" s="58">
        <v>1.0638297872340425E-2</v>
      </c>
      <c r="J713" s="56" t="s">
        <v>4440</v>
      </c>
      <c r="K713" s="56" t="s">
        <v>3207</v>
      </c>
      <c r="L713" s="56" t="s">
        <v>3775</v>
      </c>
      <c r="N713" s="56" t="s">
        <v>4514</v>
      </c>
      <c r="O713" t="str">
        <f>_xlfn.XLOOKUP(N713,'Error-codes'!$C$2:$C$130,'Error-codes'!$B$2:$B$130, "None")</f>
        <v>None</v>
      </c>
      <c r="U713" s="81">
        <f>DATEVALUE(LEFT(F713,10))</f>
        <v>44928</v>
      </c>
    </row>
    <row r="714" spans="1:21">
      <c r="A714" s="56" t="s">
        <v>5073</v>
      </c>
      <c r="B714" s="56" t="s">
        <v>3771</v>
      </c>
      <c r="C714" s="56" t="s">
        <v>5074</v>
      </c>
      <c r="D714" s="56" t="s">
        <v>388</v>
      </c>
      <c r="E714" s="56" t="s">
        <v>2939</v>
      </c>
      <c r="F714" s="56" t="s">
        <v>5075</v>
      </c>
      <c r="G714" s="56">
        <v>58</v>
      </c>
      <c r="H714" s="56">
        <v>1</v>
      </c>
      <c r="I714" s="58">
        <v>1.7241379310344827E-2</v>
      </c>
      <c r="J714" s="56" t="s">
        <v>5076</v>
      </c>
      <c r="K714" s="56" t="s">
        <v>3207</v>
      </c>
      <c r="L714" s="56" t="s">
        <v>3775</v>
      </c>
      <c r="M714" s="56" t="str">
        <f>HYPERLINK("https://dribble.octin.io/?mode=Single+log&amp;log_id=35bcb503-bcbc-4e3e-bac2-c0c68889c14c","URL")</f>
        <v>URL</v>
      </c>
      <c r="N714" s="56" t="s">
        <v>3454</v>
      </c>
      <c r="O714" t="str">
        <f>_xlfn.XLOOKUP(N714,'Error-codes'!$C$2:$C$130,'Error-codes'!$B$2:$B$130, "None")</f>
        <v>Veh low level FSM: safety was triggered</v>
      </c>
      <c r="U714" s="81">
        <f>DATEVALUE(LEFT(F714,10))</f>
        <v>44928</v>
      </c>
    </row>
    <row r="715" spans="1:21">
      <c r="B715" s="56" t="s">
        <v>3771</v>
      </c>
      <c r="C715" s="56" t="s">
        <v>5074</v>
      </c>
      <c r="D715" s="56" t="s">
        <v>388</v>
      </c>
      <c r="F715" s="56" t="s">
        <v>5077</v>
      </c>
      <c r="G715" s="56">
        <v>58</v>
      </c>
      <c r="H715" s="56">
        <v>57</v>
      </c>
      <c r="I715" s="58">
        <v>0.98275862068965514</v>
      </c>
      <c r="K715" s="56" t="s">
        <v>3207</v>
      </c>
      <c r="L715" s="56" t="s">
        <v>3775</v>
      </c>
      <c r="O715">
        <f>_xlfn.XLOOKUP(N715,'Error-codes'!$C$2:$C$130,'Error-codes'!$B$2:$B$130, "None")</f>
        <v>0</v>
      </c>
      <c r="U715" s="81">
        <f>DATEVALUE(LEFT(F715,10))</f>
        <v>44928</v>
      </c>
    </row>
    <row r="716" spans="1:21">
      <c r="A716" s="56"/>
      <c r="B716" s="56" t="s">
        <v>295</v>
      </c>
      <c r="C716" s="56" t="s">
        <v>5078</v>
      </c>
      <c r="D716" s="56" t="s">
        <v>37</v>
      </c>
      <c r="E716" s="56" t="s">
        <v>4228</v>
      </c>
      <c r="F716" s="56" t="s">
        <v>5079</v>
      </c>
      <c r="G716" s="56">
        <v>147</v>
      </c>
      <c r="H716" s="56">
        <v>5</v>
      </c>
      <c r="I716" s="58">
        <v>3.4013605442176874E-2</v>
      </c>
      <c r="J716" s="56" t="s">
        <v>5017</v>
      </c>
      <c r="K716" s="56" t="s">
        <v>1873</v>
      </c>
      <c r="L716" s="56" t="s">
        <v>3162</v>
      </c>
      <c r="N716" s="56" t="s">
        <v>3454</v>
      </c>
      <c r="O716" t="str">
        <f>_xlfn.XLOOKUP(N716,'Error-codes'!$C$2:$C$130,'Error-codes'!$B$2:$B$130, "None")</f>
        <v>Veh low level FSM: safety was triggered</v>
      </c>
      <c r="U716" s="81">
        <f>DATEVALUE(LEFT(F716,10))</f>
        <v>44928</v>
      </c>
    </row>
    <row r="717" spans="1:21">
      <c r="A717" s="56"/>
      <c r="B717" s="56" t="s">
        <v>29</v>
      </c>
      <c r="C717" s="56" t="s">
        <v>3196</v>
      </c>
      <c r="D717" s="56" t="s">
        <v>388</v>
      </c>
      <c r="E717" s="56" t="s">
        <v>2939</v>
      </c>
      <c r="F717" s="56" t="s">
        <v>5080</v>
      </c>
      <c r="G717" s="56">
        <v>108</v>
      </c>
      <c r="H717" s="56">
        <v>12</v>
      </c>
      <c r="I717" s="58">
        <v>0.1111111111111111</v>
      </c>
      <c r="J717" s="56" t="s">
        <v>4988</v>
      </c>
      <c r="K717" s="56" t="s">
        <v>1893</v>
      </c>
      <c r="L717" s="56" t="s">
        <v>2942</v>
      </c>
      <c r="N717" s="56" t="s">
        <v>3444</v>
      </c>
      <c r="O717" t="str">
        <f>_xlfn.XLOOKUP(N717,'Error-codes'!$C$2:$C$130,'Error-codes'!$B$2:$B$130, "None")</f>
        <v>collision detected in operational state for the 4th time in a row</v>
      </c>
      <c r="U717" s="81">
        <f>DATEVALUE(LEFT(F717,10))</f>
        <v>44928</v>
      </c>
    </row>
    <row r="718" spans="1:21">
      <c r="A718" s="56"/>
      <c r="B718" s="56" t="s">
        <v>29</v>
      </c>
      <c r="C718" s="56" t="s">
        <v>3196</v>
      </c>
      <c r="D718" s="56" t="s">
        <v>388</v>
      </c>
      <c r="E718" s="56" t="s">
        <v>2939</v>
      </c>
      <c r="F718" s="56" t="s">
        <v>5081</v>
      </c>
      <c r="G718" s="56">
        <v>108</v>
      </c>
      <c r="H718" s="56">
        <v>13</v>
      </c>
      <c r="I718" s="58">
        <v>0.12037037037037036</v>
      </c>
      <c r="J718" s="56" t="s">
        <v>5082</v>
      </c>
      <c r="K718" s="56" t="s">
        <v>1893</v>
      </c>
      <c r="L718" s="56" t="s">
        <v>2942</v>
      </c>
      <c r="N718" s="56" t="s">
        <v>3444</v>
      </c>
      <c r="O718" t="str">
        <f>_xlfn.XLOOKUP(N718,'Error-codes'!$C$2:$C$130,'Error-codes'!$B$2:$B$130, "None")</f>
        <v>collision detected in operational state for the 4th time in a row</v>
      </c>
      <c r="U718" s="81">
        <f>DATEVALUE(LEFT(F718,10))</f>
        <v>44928</v>
      </c>
    </row>
    <row r="719" spans="1:21">
      <c r="A719" s="56"/>
      <c r="B719" s="56" t="s">
        <v>29</v>
      </c>
      <c r="C719" s="56" t="s">
        <v>3196</v>
      </c>
      <c r="D719" s="56" t="s">
        <v>388</v>
      </c>
      <c r="E719" s="56" t="s">
        <v>2939</v>
      </c>
      <c r="F719" s="56" t="s">
        <v>3197</v>
      </c>
      <c r="G719" s="56">
        <v>108</v>
      </c>
      <c r="H719" s="56">
        <v>58</v>
      </c>
      <c r="I719" s="58">
        <v>0.53703703703703709</v>
      </c>
      <c r="J719" s="56" t="s">
        <v>416</v>
      </c>
      <c r="K719" s="56" t="s">
        <v>1893</v>
      </c>
      <c r="L719" s="56" t="s">
        <v>2942</v>
      </c>
      <c r="N719" s="56" t="s">
        <v>2933</v>
      </c>
      <c r="O719" t="str">
        <f>_xlfn.XLOOKUP(N719,'Error-codes'!$C$2:$C$130,'Error-codes'!$B$2:$B$130, "None")</f>
        <v>inductive sensor error</v>
      </c>
      <c r="U719" s="81">
        <f>DATEVALUE(LEFT(F719,10))</f>
        <v>44928</v>
      </c>
    </row>
    <row r="720" spans="1:21">
      <c r="A720" s="56"/>
      <c r="B720" s="56" t="s">
        <v>29</v>
      </c>
      <c r="C720" s="56" t="s">
        <v>3196</v>
      </c>
      <c r="D720" s="56" t="s">
        <v>388</v>
      </c>
      <c r="E720" s="56" t="s">
        <v>2939</v>
      </c>
      <c r="F720" s="56" t="s">
        <v>5083</v>
      </c>
      <c r="G720" s="56">
        <v>108</v>
      </c>
      <c r="H720" s="56">
        <v>78</v>
      </c>
      <c r="I720" s="58">
        <v>0.72222222222222221</v>
      </c>
      <c r="J720" s="56" t="s">
        <v>4518</v>
      </c>
      <c r="K720" s="56" t="s">
        <v>1893</v>
      </c>
      <c r="L720" s="56" t="s">
        <v>2942</v>
      </c>
      <c r="N720" s="56" t="s">
        <v>3444</v>
      </c>
      <c r="O720" t="str">
        <f>_xlfn.XLOOKUP(N720,'Error-codes'!$C$2:$C$130,'Error-codes'!$B$2:$B$130, "None")</f>
        <v>collision detected in operational state for the 4th time in a row</v>
      </c>
      <c r="U720" s="81">
        <f>DATEVALUE(LEFT(F720,10))</f>
        <v>44928</v>
      </c>
    </row>
    <row r="721" spans="1:21">
      <c r="B721" s="56" t="s">
        <v>29</v>
      </c>
      <c r="C721" s="56" t="s">
        <v>3196</v>
      </c>
      <c r="D721" s="56" t="s">
        <v>388</v>
      </c>
      <c r="F721" s="56" t="s">
        <v>5084</v>
      </c>
      <c r="G721" s="56">
        <v>108</v>
      </c>
      <c r="H721" s="56">
        <v>104</v>
      </c>
      <c r="I721" s="58">
        <v>0.96296296296296291</v>
      </c>
      <c r="K721" s="56" t="s">
        <v>1893</v>
      </c>
      <c r="L721" s="56" t="s">
        <v>2942</v>
      </c>
      <c r="O721">
        <f>_xlfn.XLOOKUP(N721,'Error-codes'!$C$2:$C$130,'Error-codes'!$B$2:$B$130, "None")</f>
        <v>0</v>
      </c>
      <c r="U721" s="81">
        <f>DATEVALUE(LEFT(F721,10))</f>
        <v>44928</v>
      </c>
    </row>
    <row r="722" spans="1:21">
      <c r="B722" s="56" t="s">
        <v>295</v>
      </c>
      <c r="C722" s="56" t="s">
        <v>5085</v>
      </c>
      <c r="D722" s="56" t="s">
        <v>388</v>
      </c>
      <c r="F722" s="56" t="s">
        <v>5086</v>
      </c>
      <c r="G722" s="56">
        <v>14</v>
      </c>
      <c r="H722" s="56">
        <v>14</v>
      </c>
      <c r="I722" s="58">
        <v>1</v>
      </c>
      <c r="K722" s="56" t="s">
        <v>1873</v>
      </c>
      <c r="L722" s="56" t="s">
        <v>3162</v>
      </c>
      <c r="O722">
        <f>_xlfn.XLOOKUP(N722,'Error-codes'!$C$2:$C$130,'Error-codes'!$B$2:$B$130, "None")</f>
        <v>0</v>
      </c>
      <c r="U722" s="81">
        <f>DATEVALUE(LEFT(F722,10))</f>
        <v>44929</v>
      </c>
    </row>
    <row r="723" spans="1:21">
      <c r="A723" s="56"/>
      <c r="B723" s="56" t="s">
        <v>295</v>
      </c>
      <c r="C723" s="56" t="s">
        <v>5087</v>
      </c>
      <c r="D723" s="56" t="s">
        <v>37</v>
      </c>
      <c r="E723" s="56" t="s">
        <v>2939</v>
      </c>
      <c r="F723" s="56" t="s">
        <v>5088</v>
      </c>
      <c r="G723" s="56">
        <v>129</v>
      </c>
      <c r="H723" s="56">
        <v>0</v>
      </c>
      <c r="I723" s="58">
        <v>0</v>
      </c>
      <c r="J723" s="56" t="s">
        <v>5089</v>
      </c>
      <c r="K723" s="56" t="s">
        <v>1873</v>
      </c>
      <c r="L723" s="56" t="s">
        <v>3162</v>
      </c>
      <c r="N723" s="56" t="s">
        <v>3468</v>
      </c>
      <c r="O723" t="str">
        <f>_xlfn.XLOOKUP(N723,'Error-codes'!$C$2:$C$130,'Error-codes'!$B$2:$B$130, "None")</f>
        <v>no vision heartbeat</v>
      </c>
      <c r="U723" s="81">
        <f>DATEVALUE(LEFT(F723,10))</f>
        <v>44929</v>
      </c>
    </row>
    <row r="724" spans="1:21">
      <c r="A724" s="56"/>
      <c r="B724" s="56" t="s">
        <v>295</v>
      </c>
      <c r="C724" s="56" t="s">
        <v>5087</v>
      </c>
      <c r="D724" s="56" t="s">
        <v>37</v>
      </c>
      <c r="E724" s="56" t="s">
        <v>3242</v>
      </c>
      <c r="F724" s="56" t="s">
        <v>5090</v>
      </c>
      <c r="G724" s="56">
        <v>129</v>
      </c>
      <c r="H724" s="56">
        <v>1</v>
      </c>
      <c r="I724" s="58">
        <v>7.7519379844961239E-3</v>
      </c>
      <c r="J724" s="56" t="s">
        <v>5089</v>
      </c>
      <c r="K724" s="56" t="s">
        <v>1873</v>
      </c>
      <c r="L724" s="56" t="s">
        <v>3162</v>
      </c>
      <c r="N724" s="56" t="s">
        <v>3468</v>
      </c>
      <c r="O724" t="str">
        <f>_xlfn.XLOOKUP(N724,'Error-codes'!$C$2:$C$130,'Error-codes'!$B$2:$B$130, "None")</f>
        <v>no vision heartbeat</v>
      </c>
      <c r="U724" s="81">
        <f>DATEVALUE(LEFT(F724,10))</f>
        <v>44929</v>
      </c>
    </row>
    <row r="725" spans="1:21">
      <c r="A725" s="56"/>
      <c r="B725" s="56" t="s">
        <v>295</v>
      </c>
      <c r="C725" s="56" t="s">
        <v>5091</v>
      </c>
      <c r="D725" s="56" t="s">
        <v>37</v>
      </c>
      <c r="E725" s="56" t="s">
        <v>3242</v>
      </c>
      <c r="F725" s="56" t="s">
        <v>5092</v>
      </c>
      <c r="G725" s="56">
        <v>128</v>
      </c>
      <c r="H725" s="56">
        <v>0</v>
      </c>
      <c r="I725" s="58">
        <v>0</v>
      </c>
      <c r="J725" s="56" t="s">
        <v>5089</v>
      </c>
      <c r="K725" s="56" t="s">
        <v>1873</v>
      </c>
      <c r="L725" s="56" t="s">
        <v>3162</v>
      </c>
      <c r="N725" s="56" t="s">
        <v>3468</v>
      </c>
      <c r="O725" t="str">
        <f>_xlfn.XLOOKUP(N725,'Error-codes'!$C$2:$C$130,'Error-codes'!$B$2:$B$130, "None")</f>
        <v>no vision heartbeat</v>
      </c>
      <c r="U725" s="81">
        <f>DATEVALUE(LEFT(F725,10))</f>
        <v>44929</v>
      </c>
    </row>
    <row r="726" spans="1:21">
      <c r="A726" s="56" t="s">
        <v>5093</v>
      </c>
      <c r="B726" s="56" t="s">
        <v>295</v>
      </c>
      <c r="C726" s="56" t="s">
        <v>5094</v>
      </c>
      <c r="D726" s="56" t="s">
        <v>388</v>
      </c>
      <c r="E726" s="56" t="s">
        <v>2939</v>
      </c>
      <c r="F726" s="56" t="s">
        <v>5095</v>
      </c>
      <c r="G726" s="56">
        <v>128</v>
      </c>
      <c r="H726" s="56">
        <v>4</v>
      </c>
      <c r="I726" s="58">
        <v>3.125E-2</v>
      </c>
      <c r="J726" s="56" t="s">
        <v>5021</v>
      </c>
      <c r="K726" s="56" t="s">
        <v>1873</v>
      </c>
      <c r="L726" s="56" t="s">
        <v>3162</v>
      </c>
      <c r="M726" s="56" t="str">
        <f>HYPERLINK("https://dribble.octin.io/?mode=Single+log&amp;log_id=f2f0c4cd-3bc8-4394-808d-d47319a98069","URL")</f>
        <v>URL</v>
      </c>
      <c r="N726" s="56" t="s">
        <v>3472</v>
      </c>
      <c r="O726" t="str">
        <f>_xlfn.XLOOKUP(N726,'Error-codes'!$C$2:$C$130,'Error-codes'!$B$2:$B$130, "None")</f>
        <v>Excessive slip detected</v>
      </c>
      <c r="U726" s="81">
        <f>DATEVALUE(LEFT(F726,10))</f>
        <v>44929</v>
      </c>
    </row>
    <row r="727" spans="1:21">
      <c r="A727" s="56" t="s">
        <v>5096</v>
      </c>
      <c r="B727" s="56" t="s">
        <v>295</v>
      </c>
      <c r="C727" s="56" t="s">
        <v>5094</v>
      </c>
      <c r="D727" s="56" t="s">
        <v>388</v>
      </c>
      <c r="E727" s="56" t="s">
        <v>2939</v>
      </c>
      <c r="F727" s="56" t="s">
        <v>5097</v>
      </c>
      <c r="G727" s="56">
        <v>128</v>
      </c>
      <c r="H727" s="56">
        <v>11</v>
      </c>
      <c r="I727" s="58">
        <v>8.59375E-2</v>
      </c>
      <c r="J727" s="56" t="s">
        <v>176</v>
      </c>
      <c r="K727" s="56" t="s">
        <v>1873</v>
      </c>
      <c r="L727" s="56" t="s">
        <v>3162</v>
      </c>
      <c r="M727" s="56" t="str">
        <f>HYPERLINK("https://dribble.octin.io/?mode=Single+log&amp;log_id=1bd55f71-e51a-49ce-9f7b-f6b7683a5102","URL")</f>
        <v>URL</v>
      </c>
      <c r="N727" s="56" t="s">
        <v>3444</v>
      </c>
      <c r="O727" t="str">
        <f>_xlfn.XLOOKUP(N727,'Error-codes'!$C$2:$C$130,'Error-codes'!$B$2:$B$130, "None")</f>
        <v>collision detected in operational state for the 4th time in a row</v>
      </c>
      <c r="U727" s="81">
        <f>DATEVALUE(LEFT(F727,10))</f>
        <v>44929</v>
      </c>
    </row>
    <row r="728" spans="1:21">
      <c r="A728" s="56" t="s">
        <v>5098</v>
      </c>
      <c r="B728" s="56" t="s">
        <v>295</v>
      </c>
      <c r="C728" s="56" t="s">
        <v>5094</v>
      </c>
      <c r="D728" s="56" t="s">
        <v>388</v>
      </c>
      <c r="E728" s="56" t="s">
        <v>2939</v>
      </c>
      <c r="F728" s="56" t="s">
        <v>5099</v>
      </c>
      <c r="G728" s="56">
        <v>128</v>
      </c>
      <c r="H728" s="56">
        <v>12</v>
      </c>
      <c r="I728" s="58">
        <v>9.375E-2</v>
      </c>
      <c r="J728" s="56" t="s">
        <v>5100</v>
      </c>
      <c r="K728" s="56" t="s">
        <v>1873</v>
      </c>
      <c r="L728" s="56" t="s">
        <v>3162</v>
      </c>
      <c r="M728" s="56" t="str">
        <f>HYPERLINK("https://dribble.octin.io/?mode=Single+log&amp;log_id=6d6dd45a-798d-48ed-8ae4-797f8feca106","URL")</f>
        <v>URL</v>
      </c>
      <c r="N728" s="56" t="s">
        <v>3444</v>
      </c>
      <c r="O728" t="str">
        <f>_xlfn.XLOOKUP(N728,'Error-codes'!$C$2:$C$130,'Error-codes'!$B$2:$B$130, "None")</f>
        <v>collision detected in operational state for the 4th time in a row</v>
      </c>
      <c r="U728" s="81">
        <f>DATEVALUE(LEFT(F728,10))</f>
        <v>44929</v>
      </c>
    </row>
    <row r="729" spans="1:21">
      <c r="A729" s="56" t="s">
        <v>5101</v>
      </c>
      <c r="B729" s="56" t="s">
        <v>295</v>
      </c>
      <c r="C729" s="56" t="s">
        <v>5094</v>
      </c>
      <c r="D729" s="56" t="s">
        <v>388</v>
      </c>
      <c r="E729" s="56" t="s">
        <v>2939</v>
      </c>
      <c r="F729" s="56" t="s">
        <v>5102</v>
      </c>
      <c r="G729" s="56">
        <v>128</v>
      </c>
      <c r="H729" s="56">
        <v>18</v>
      </c>
      <c r="I729" s="58">
        <v>0.140625</v>
      </c>
      <c r="J729" s="56" t="s">
        <v>5024</v>
      </c>
      <c r="K729" s="56" t="s">
        <v>1873</v>
      </c>
      <c r="L729" s="56" t="s">
        <v>3162</v>
      </c>
      <c r="M729" s="56" t="str">
        <f>HYPERLINK("https://dribble.octin.io/?mode=Single+log&amp;log_id=09c12258-9a4b-48de-9474-ab68bd14917f","URL")</f>
        <v>URL</v>
      </c>
      <c r="N729" s="56" t="s">
        <v>3444</v>
      </c>
      <c r="O729" t="str">
        <f>_xlfn.XLOOKUP(N729,'Error-codes'!$C$2:$C$130,'Error-codes'!$B$2:$B$130, "None")</f>
        <v>collision detected in operational state for the 4th time in a row</v>
      </c>
      <c r="U729" s="81">
        <f>DATEVALUE(LEFT(F729,10))</f>
        <v>44929</v>
      </c>
    </row>
    <row r="730" spans="1:21">
      <c r="A730" s="56" t="s">
        <v>5103</v>
      </c>
      <c r="B730" s="56" t="s">
        <v>29</v>
      </c>
      <c r="C730" s="56" t="s">
        <v>5104</v>
      </c>
      <c r="D730" s="56" t="s">
        <v>37</v>
      </c>
      <c r="E730" s="56" t="s">
        <v>2939</v>
      </c>
      <c r="F730" s="56" t="s">
        <v>5105</v>
      </c>
      <c r="G730" s="56">
        <v>61</v>
      </c>
      <c r="H730" s="56">
        <v>23</v>
      </c>
      <c r="I730" s="58">
        <v>0.37704918032786883</v>
      </c>
      <c r="J730" s="56" t="s">
        <v>4752</v>
      </c>
      <c r="K730" s="56" t="s">
        <v>1893</v>
      </c>
      <c r="L730" s="56" t="s">
        <v>2942</v>
      </c>
      <c r="M730" s="56" t="str">
        <f>HYPERLINK("https://dribble.octin.io/?mode=Single+log&amp;log_id=e0c1f053-1519-43f0-b8fa-f85eaa759941","URL")</f>
        <v>URL</v>
      </c>
      <c r="N730" s="56" t="s">
        <v>3444</v>
      </c>
      <c r="O730" t="str">
        <f>_xlfn.XLOOKUP(N730,'Error-codes'!$C$2:$C$130,'Error-codes'!$B$2:$B$130, "None")</f>
        <v>collision detected in operational state for the 4th time in a row</v>
      </c>
      <c r="U730" s="81">
        <f>DATEVALUE(LEFT(F730,10))</f>
        <v>44929</v>
      </c>
    </row>
    <row r="731" spans="1:21">
      <c r="A731" s="56" t="s">
        <v>5106</v>
      </c>
      <c r="B731" s="56" t="s">
        <v>295</v>
      </c>
      <c r="C731" s="56" t="s">
        <v>5094</v>
      </c>
      <c r="D731" s="56" t="s">
        <v>388</v>
      </c>
      <c r="E731" s="56" t="s">
        <v>2939</v>
      </c>
      <c r="F731" s="56" t="s">
        <v>5107</v>
      </c>
      <c r="G731" s="56">
        <v>128</v>
      </c>
      <c r="H731" s="56">
        <v>32</v>
      </c>
      <c r="I731" s="58">
        <v>0.25</v>
      </c>
      <c r="J731" s="56" t="s">
        <v>5108</v>
      </c>
      <c r="K731" s="56" t="s">
        <v>1873</v>
      </c>
      <c r="L731" s="56" t="s">
        <v>3162</v>
      </c>
      <c r="M731" s="56" t="str">
        <f>HYPERLINK("https://dribble.octin.io/?mode=Single+log&amp;log_id=79315297-0b3e-441f-b6ac-6debde81e178","URL")</f>
        <v>URL</v>
      </c>
      <c r="N731" s="56" t="s">
        <v>3446</v>
      </c>
      <c r="O731" t="str">
        <f>_xlfn.XLOOKUP(N731,'Error-codes'!$C$2:$C$130,'Error-codes'!$B$2:$B$130, "None")</f>
        <v>end of lane wall sensor error</v>
      </c>
      <c r="U731" s="81">
        <f>DATEVALUE(LEFT(F731,10))</f>
        <v>44929</v>
      </c>
    </row>
    <row r="732" spans="1:21">
      <c r="A732" s="56" t="s">
        <v>5109</v>
      </c>
      <c r="B732" s="56" t="s">
        <v>295</v>
      </c>
      <c r="C732" s="56" t="s">
        <v>5094</v>
      </c>
      <c r="D732" s="56" t="s">
        <v>388</v>
      </c>
      <c r="E732" s="56" t="s">
        <v>2939</v>
      </c>
      <c r="F732" s="56" t="s">
        <v>5110</v>
      </c>
      <c r="G732" s="56">
        <v>128</v>
      </c>
      <c r="H732" s="56">
        <v>45</v>
      </c>
      <c r="I732" s="58">
        <v>0.3515625</v>
      </c>
      <c r="J732" s="56" t="s">
        <v>202</v>
      </c>
      <c r="K732" s="56" t="s">
        <v>1873</v>
      </c>
      <c r="L732" s="56" t="s">
        <v>3162</v>
      </c>
      <c r="M732" s="56" t="str">
        <f>HYPERLINK("https://dribble.octin.io/?mode=Single+log&amp;log_id=1e309a5b-dfdf-48bd-9da5-a7e89d0a0854","URL")</f>
        <v>URL</v>
      </c>
      <c r="N732" s="56" t="s">
        <v>3444</v>
      </c>
      <c r="O732" t="str">
        <f>_xlfn.XLOOKUP(N732,'Error-codes'!$C$2:$C$130,'Error-codes'!$B$2:$B$130, "None")</f>
        <v>collision detected in operational state for the 4th time in a row</v>
      </c>
      <c r="U732" s="81">
        <f>DATEVALUE(LEFT(F732,10))</f>
        <v>44929</v>
      </c>
    </row>
    <row r="733" spans="1:21">
      <c r="A733" s="56" t="s">
        <v>5111</v>
      </c>
      <c r="B733" s="56" t="s">
        <v>295</v>
      </c>
      <c r="C733" s="56" t="s">
        <v>5094</v>
      </c>
      <c r="D733" s="56" t="s">
        <v>388</v>
      </c>
      <c r="E733" s="56" t="s">
        <v>2939</v>
      </c>
      <c r="F733" s="56" t="s">
        <v>5112</v>
      </c>
      <c r="G733" s="56">
        <v>128</v>
      </c>
      <c r="H733" s="56">
        <v>53</v>
      </c>
      <c r="I733" s="58">
        <v>0.4140625</v>
      </c>
      <c r="J733" s="56" t="s">
        <v>5113</v>
      </c>
      <c r="K733" s="56" t="s">
        <v>1873</v>
      </c>
      <c r="L733" s="56" t="s">
        <v>3162</v>
      </c>
      <c r="M733" s="56" t="str">
        <f>HYPERLINK("https://dribble.octin.io/?mode=Single+log&amp;log_id=49eb7550-51dc-4ee1-8039-5f8085f324cb","URL")</f>
        <v>URL</v>
      </c>
      <c r="N733" s="56" t="s">
        <v>3472</v>
      </c>
      <c r="O733" t="str">
        <f>_xlfn.XLOOKUP(N733,'Error-codes'!$C$2:$C$130,'Error-codes'!$B$2:$B$130, "None")</f>
        <v>Excessive slip detected</v>
      </c>
      <c r="U733" s="81">
        <f>DATEVALUE(LEFT(F733,10))</f>
        <v>44929</v>
      </c>
    </row>
    <row r="734" spans="1:21">
      <c r="A734" s="56" t="s">
        <v>5114</v>
      </c>
      <c r="B734" s="56" t="s">
        <v>29</v>
      </c>
      <c r="C734" s="56" t="s">
        <v>5104</v>
      </c>
      <c r="D734" s="56" t="s">
        <v>37</v>
      </c>
      <c r="E734" s="56" t="s">
        <v>2939</v>
      </c>
      <c r="F734" s="56" t="s">
        <v>5115</v>
      </c>
      <c r="G734" s="56">
        <v>61</v>
      </c>
      <c r="H734" s="56">
        <v>55</v>
      </c>
      <c r="I734" s="58">
        <v>0.90163934426229508</v>
      </c>
      <c r="J734" s="56" t="s">
        <v>3551</v>
      </c>
      <c r="K734" s="56" t="s">
        <v>1893</v>
      </c>
      <c r="L734" s="56" t="s">
        <v>2942</v>
      </c>
      <c r="M734" s="56" t="str">
        <f>HYPERLINK("https://dribble.octin.io/?mode=Single+log&amp;log_id=35e06673-cf9c-4e26-873a-5cdb305495df","URL")</f>
        <v>URL</v>
      </c>
      <c r="N734" s="56" t="s">
        <v>3444</v>
      </c>
      <c r="O734" t="str">
        <f>_xlfn.XLOOKUP(N734,'Error-codes'!$C$2:$C$130,'Error-codes'!$B$2:$B$130, "None")</f>
        <v>collision detected in operational state for the 4th time in a row</v>
      </c>
      <c r="U734" s="81">
        <f>DATEVALUE(LEFT(F734,10))</f>
        <v>44929</v>
      </c>
    </row>
    <row r="735" spans="1:21">
      <c r="A735" s="56" t="s">
        <v>5116</v>
      </c>
      <c r="B735" s="56" t="s">
        <v>29</v>
      </c>
      <c r="C735" s="56" t="s">
        <v>5104</v>
      </c>
      <c r="D735" s="56" t="s">
        <v>37</v>
      </c>
      <c r="E735" s="56" t="s">
        <v>4222</v>
      </c>
      <c r="F735" s="56" t="s">
        <v>5117</v>
      </c>
      <c r="G735" s="56">
        <v>61</v>
      </c>
      <c r="H735" s="56">
        <v>59</v>
      </c>
      <c r="I735" s="58">
        <v>0.96721311475409832</v>
      </c>
      <c r="J735" s="56" t="s">
        <v>293</v>
      </c>
      <c r="K735" s="56" t="s">
        <v>1893</v>
      </c>
      <c r="L735" s="56" t="s">
        <v>2942</v>
      </c>
      <c r="M735" s="56" t="str">
        <f>HYPERLINK("https://dribble.octin.io/?mode=Single+log&amp;log_id=f6f1416a-6e82-436d-845b-ca8e5c1d5600","URL")</f>
        <v>URL</v>
      </c>
      <c r="N735" s="56" t="s">
        <v>3458</v>
      </c>
      <c r="O735" t="str">
        <f>_xlfn.XLOOKUP(N735,'Error-codes'!$C$2:$C$130,'Error-codes'!$B$2:$B$130, "None")</f>
        <v>motor drive: UNDER VOLTAGE</v>
      </c>
      <c r="U735" s="81">
        <f>DATEVALUE(LEFT(F735,10))</f>
        <v>44929</v>
      </c>
    </row>
    <row r="736" spans="1:21">
      <c r="B736" s="56" t="s">
        <v>295</v>
      </c>
      <c r="C736" s="56" t="s">
        <v>5094</v>
      </c>
      <c r="D736" s="56" t="s">
        <v>388</v>
      </c>
      <c r="F736" s="56" t="s">
        <v>5118</v>
      </c>
      <c r="G736" s="56">
        <v>128</v>
      </c>
      <c r="H736" s="56">
        <v>121</v>
      </c>
      <c r="I736" s="58">
        <v>0.9453125</v>
      </c>
      <c r="K736" s="56" t="s">
        <v>1873</v>
      </c>
      <c r="L736" s="56" t="s">
        <v>3162</v>
      </c>
      <c r="O736">
        <f>_xlfn.XLOOKUP(N736,'Error-codes'!$C$2:$C$130,'Error-codes'!$B$2:$B$130, "None")</f>
        <v>0</v>
      </c>
      <c r="U736" s="81">
        <f>DATEVALUE(LEFT(F736,10))</f>
        <v>44930</v>
      </c>
    </row>
    <row r="737" spans="1:21" ht="76.5">
      <c r="A737" s="56" t="s">
        <v>5119</v>
      </c>
      <c r="B737" s="56" t="s">
        <v>29</v>
      </c>
      <c r="C737" s="56" t="s">
        <v>5120</v>
      </c>
      <c r="D737" s="56" t="s">
        <v>37</v>
      </c>
      <c r="E737" s="56" t="s">
        <v>5121</v>
      </c>
      <c r="F737" s="56" t="s">
        <v>5122</v>
      </c>
      <c r="G737" s="56">
        <v>154</v>
      </c>
      <c r="H737" s="56">
        <v>0</v>
      </c>
      <c r="I737" s="58">
        <v>0</v>
      </c>
      <c r="J737" s="56" t="s">
        <v>2990</v>
      </c>
      <c r="K737" s="56" t="s">
        <v>1893</v>
      </c>
      <c r="L737" s="56" t="s">
        <v>2942</v>
      </c>
      <c r="M737" s="56" t="str">
        <f>HYPERLINK("https://dribble.octin.io/?mode=Single+log&amp;log_id=aad411da-bbe6-4ff8-a009-17a39bad172a","URL")</f>
        <v>URL</v>
      </c>
      <c r="N737" s="56" t="s">
        <v>3458</v>
      </c>
      <c r="O737" t="str">
        <f>_xlfn.XLOOKUP(N737,'Error-codes'!$C$2:$C$130,'Error-codes'!$B$2:$B$130, "None")</f>
        <v>motor drive: UNDER VOLTAGE</v>
      </c>
      <c r="P737" s="46" t="s">
        <v>5123</v>
      </c>
      <c r="U737" s="81">
        <f>DATEVALUE(LEFT(F737,10))</f>
        <v>44930</v>
      </c>
    </row>
    <row r="738" spans="1:21">
      <c r="A738" s="56" t="s">
        <v>5124</v>
      </c>
      <c r="B738" s="56" t="s">
        <v>3771</v>
      </c>
      <c r="C738" s="56" t="s">
        <v>5125</v>
      </c>
      <c r="D738" s="56" t="s">
        <v>37</v>
      </c>
      <c r="E738" s="56" t="s">
        <v>4564</v>
      </c>
      <c r="F738" s="56" t="s">
        <v>5126</v>
      </c>
      <c r="G738" s="56">
        <v>134</v>
      </c>
      <c r="H738" s="56">
        <v>6</v>
      </c>
      <c r="I738" s="58">
        <v>4.4776119402985072E-2</v>
      </c>
      <c r="J738" s="56" t="s">
        <v>5127</v>
      </c>
      <c r="K738" s="56" t="s">
        <v>3207</v>
      </c>
      <c r="L738" s="56" t="s">
        <v>3775</v>
      </c>
      <c r="M738" s="56" t="str">
        <f>HYPERLINK("https://dribble.octin.io/?mode=Single+log&amp;log_id=a921eed1-4eb2-4e58-8254-c3cc9d4c6e26","URL")</f>
        <v>URL</v>
      </c>
      <c r="N738" s="56" t="s">
        <v>5128</v>
      </c>
      <c r="O738" t="str">
        <f>_xlfn.XLOOKUP(N738,'Error-codes'!$C$2:$C$130,'Error-codes'!$B$2:$B$130, "None")</f>
        <v>None</v>
      </c>
      <c r="U738" s="81">
        <f>DATEVALUE(LEFT(F738,10))</f>
        <v>44930</v>
      </c>
    </row>
    <row r="739" spans="1:21">
      <c r="B739" s="56" t="s">
        <v>3771</v>
      </c>
      <c r="C739" s="56" t="s">
        <v>5129</v>
      </c>
      <c r="D739" s="56" t="s">
        <v>22</v>
      </c>
      <c r="F739" s="56" t="s">
        <v>5130</v>
      </c>
      <c r="G739" s="56">
        <v>130</v>
      </c>
      <c r="H739" s="56">
        <v>1</v>
      </c>
      <c r="I739" s="58">
        <v>7.6923076923076927E-3</v>
      </c>
      <c r="K739" s="56" t="s">
        <v>3207</v>
      </c>
      <c r="L739" s="56" t="s">
        <v>3775</v>
      </c>
      <c r="O739">
        <f>_xlfn.XLOOKUP(N739,'Error-codes'!$C$2:$C$130,'Error-codes'!$B$2:$B$130, "None")</f>
        <v>0</v>
      </c>
      <c r="U739" s="81">
        <f>DATEVALUE(LEFT(F739,10))</f>
        <v>44930</v>
      </c>
    </row>
    <row r="740" spans="1:21">
      <c r="A740" s="56" t="s">
        <v>5131</v>
      </c>
      <c r="B740" s="56" t="s">
        <v>3771</v>
      </c>
      <c r="C740" s="56" t="s">
        <v>5132</v>
      </c>
      <c r="D740" s="56" t="s">
        <v>37</v>
      </c>
      <c r="E740" s="56" t="s">
        <v>4564</v>
      </c>
      <c r="F740" s="56" t="s">
        <v>5133</v>
      </c>
      <c r="G740" s="56">
        <v>130</v>
      </c>
      <c r="H740" s="56">
        <v>1</v>
      </c>
      <c r="I740" s="58">
        <v>7.6923076923076927E-3</v>
      </c>
      <c r="J740" s="56" t="s">
        <v>3315</v>
      </c>
      <c r="K740" s="56" t="s">
        <v>3207</v>
      </c>
      <c r="L740" s="56" t="s">
        <v>3775</v>
      </c>
      <c r="M740" s="56" t="str">
        <f>HYPERLINK("https://dribble.octin.io/?mode=Single+log&amp;log_id=74ac8a98-139b-46ea-94e0-dfe00f4ad820","URL")</f>
        <v>URL</v>
      </c>
      <c r="N740" s="56" t="s">
        <v>3432</v>
      </c>
      <c r="O740" t="str">
        <f>_xlfn.XLOOKUP(N740,'Error-codes'!$C$2:$C$130,'Error-codes'!$B$2:$B$130, "None")</f>
        <v>vision did not initialize in time</v>
      </c>
      <c r="U740" s="81">
        <f>DATEVALUE(LEFT(F740,10))</f>
        <v>44930</v>
      </c>
    </row>
    <row r="741" spans="1:21">
      <c r="A741" s="56" t="s">
        <v>5134</v>
      </c>
      <c r="B741" s="56" t="s">
        <v>3771</v>
      </c>
      <c r="C741" s="56" t="s">
        <v>5135</v>
      </c>
      <c r="D741" s="56" t="s">
        <v>37</v>
      </c>
      <c r="E741" s="56"/>
      <c r="F741" s="56" t="s">
        <v>5136</v>
      </c>
      <c r="G741" s="56">
        <v>130</v>
      </c>
      <c r="H741" s="56">
        <v>1</v>
      </c>
      <c r="I741" s="58">
        <v>7.6923076923076927E-3</v>
      </c>
      <c r="J741" s="56" t="s">
        <v>5137</v>
      </c>
      <c r="K741" s="56" t="s">
        <v>3207</v>
      </c>
      <c r="L741" s="56" t="s">
        <v>3775</v>
      </c>
      <c r="M741" s="56" t="str">
        <f>HYPERLINK("https://dribble.octin.io/?mode=Single+log&amp;log_id=88400cb0-0181-4c98-ac86-512985fc8c21","URL")</f>
        <v>URL</v>
      </c>
      <c r="N741" s="56" t="s">
        <v>3432</v>
      </c>
      <c r="O741" t="str">
        <f>_xlfn.XLOOKUP(N741,'Error-codes'!$C$2:$C$130,'Error-codes'!$B$2:$B$130, "None")</f>
        <v>vision did not initialize in time</v>
      </c>
      <c r="U741" s="81">
        <f>DATEVALUE(LEFT(F741,10))</f>
        <v>44930</v>
      </c>
    </row>
    <row r="742" spans="1:21">
      <c r="A742" s="56"/>
      <c r="B742" s="56" t="s">
        <v>3771</v>
      </c>
      <c r="C742" s="56" t="s">
        <v>5138</v>
      </c>
      <c r="D742" s="56" t="s">
        <v>37</v>
      </c>
      <c r="E742" s="56" t="s">
        <v>4564</v>
      </c>
      <c r="F742" s="56" t="s">
        <v>5139</v>
      </c>
      <c r="G742" s="56">
        <v>130</v>
      </c>
      <c r="H742" s="56">
        <v>1</v>
      </c>
      <c r="I742" s="58">
        <v>7.6923076923076927E-3</v>
      </c>
      <c r="J742" s="56" t="s">
        <v>5137</v>
      </c>
      <c r="K742" s="56" t="s">
        <v>3207</v>
      </c>
      <c r="L742" s="56" t="s">
        <v>3775</v>
      </c>
      <c r="N742" s="56" t="s">
        <v>3432</v>
      </c>
      <c r="O742" t="str">
        <f>_xlfn.XLOOKUP(N742,'Error-codes'!$C$2:$C$130,'Error-codes'!$B$2:$B$130, "None")</f>
        <v>vision did not initialize in time</v>
      </c>
      <c r="U742" s="81">
        <f>DATEVALUE(LEFT(F742,10))</f>
        <v>44930</v>
      </c>
    </row>
    <row r="743" spans="1:21">
      <c r="A743" s="56" t="s">
        <v>5140</v>
      </c>
      <c r="B743" s="56" t="s">
        <v>295</v>
      </c>
      <c r="C743" s="56" t="s">
        <v>5141</v>
      </c>
      <c r="D743" s="56" t="s">
        <v>388</v>
      </c>
      <c r="E743" s="56" t="s">
        <v>2939</v>
      </c>
      <c r="F743" s="56" t="s">
        <v>5142</v>
      </c>
      <c r="G743" s="56">
        <v>147</v>
      </c>
      <c r="H743" s="56">
        <v>13</v>
      </c>
      <c r="I743" s="58">
        <v>8.8435374149659865E-2</v>
      </c>
      <c r="J743" s="56" t="s">
        <v>335</v>
      </c>
      <c r="K743" s="56" t="s">
        <v>1893</v>
      </c>
      <c r="L743" s="56" t="s">
        <v>3162</v>
      </c>
      <c r="M743" s="56" t="str">
        <f>HYPERLINK("https://dribble.octin.io/?mode=Single+log&amp;log_id=2dba8e12-f68b-4c74-8e09-0a3f86ca40e5","URL")</f>
        <v>URL</v>
      </c>
      <c r="N743" s="56" t="s">
        <v>3444</v>
      </c>
      <c r="O743" t="str">
        <f>_xlfn.XLOOKUP(N743,'Error-codes'!$C$2:$C$130,'Error-codes'!$B$2:$B$130, "None")</f>
        <v>collision detected in operational state for the 4th time in a row</v>
      </c>
      <c r="U743" s="81">
        <f>DATEVALUE(LEFT(F743,10))</f>
        <v>44930</v>
      </c>
    </row>
    <row r="744" spans="1:21">
      <c r="A744" s="56" t="s">
        <v>5143</v>
      </c>
      <c r="B744" s="56" t="s">
        <v>3771</v>
      </c>
      <c r="C744" s="56" t="s">
        <v>5144</v>
      </c>
      <c r="D744" s="56" t="s">
        <v>37</v>
      </c>
      <c r="E744" s="56" t="s">
        <v>4564</v>
      </c>
      <c r="F744" s="56" t="s">
        <v>5145</v>
      </c>
      <c r="G744" s="56">
        <v>130</v>
      </c>
      <c r="H744" s="56">
        <v>84</v>
      </c>
      <c r="I744" s="58">
        <v>0.64615384615384619</v>
      </c>
      <c r="J744" s="56" t="s">
        <v>5146</v>
      </c>
      <c r="K744" s="56" t="s">
        <v>3207</v>
      </c>
      <c r="L744" s="56" t="s">
        <v>3775</v>
      </c>
      <c r="M744" s="56" t="str">
        <f>HYPERLINK("https://dribble.octin.io/?mode=Single+log&amp;log_id=eed00ae7-b5ef-444c-ab44-94721a7c6ea6","URL")</f>
        <v>URL</v>
      </c>
      <c r="N744" s="56" t="s">
        <v>3452</v>
      </c>
      <c r="O744" t="str">
        <f>_xlfn.XLOOKUP(N744,'Error-codes'!$C$2:$C$130,'Error-codes'!$B$2:$B$130, "None")</f>
        <v>ytheta sensor error</v>
      </c>
      <c r="U744" s="81">
        <f>DATEVALUE(LEFT(F744,10))</f>
        <v>44930</v>
      </c>
    </row>
    <row r="745" spans="1:21">
      <c r="A745" s="56" t="s">
        <v>5147</v>
      </c>
      <c r="B745" s="56" t="s">
        <v>295</v>
      </c>
      <c r="C745" s="56" t="s">
        <v>5141</v>
      </c>
      <c r="D745" s="56" t="s">
        <v>388</v>
      </c>
      <c r="E745" s="56" t="s">
        <v>2939</v>
      </c>
      <c r="F745" s="56" t="s">
        <v>5148</v>
      </c>
      <c r="G745" s="56">
        <v>147</v>
      </c>
      <c r="H745" s="56">
        <v>40</v>
      </c>
      <c r="I745" s="58">
        <v>0.27210884353741499</v>
      </c>
      <c r="J745" s="56" t="s">
        <v>4993</v>
      </c>
      <c r="K745" s="56" t="s">
        <v>1893</v>
      </c>
      <c r="L745" s="56" t="s">
        <v>3162</v>
      </c>
      <c r="M745" s="56" t="str">
        <f>HYPERLINK("https://dribble.octin.io/?mode=Single+log&amp;log_id=158ee165-d878-4362-8dcf-173f8bc6f3b5","URL")</f>
        <v>URL</v>
      </c>
      <c r="N745" s="56" t="s">
        <v>3444</v>
      </c>
      <c r="O745" t="str">
        <f>_xlfn.XLOOKUP(N745,'Error-codes'!$C$2:$C$130,'Error-codes'!$B$2:$B$130, "None")</f>
        <v>collision detected in operational state for the 4th time in a row</v>
      </c>
      <c r="U745" s="81">
        <f>DATEVALUE(LEFT(F745,10))</f>
        <v>44930</v>
      </c>
    </row>
    <row r="746" spans="1:21">
      <c r="A746" s="56" t="s">
        <v>5149</v>
      </c>
      <c r="B746" s="56" t="s">
        <v>295</v>
      </c>
      <c r="C746" s="56" t="s">
        <v>5141</v>
      </c>
      <c r="D746" s="56" t="s">
        <v>388</v>
      </c>
      <c r="E746" s="56" t="s">
        <v>2939</v>
      </c>
      <c r="F746" s="56" t="s">
        <v>5150</v>
      </c>
      <c r="G746" s="56">
        <v>147</v>
      </c>
      <c r="H746" s="56">
        <v>45</v>
      </c>
      <c r="I746" s="58">
        <v>0.30612244897959184</v>
      </c>
      <c r="J746" s="56" t="s">
        <v>4957</v>
      </c>
      <c r="K746" s="56" t="s">
        <v>1893</v>
      </c>
      <c r="L746" s="56" t="s">
        <v>3162</v>
      </c>
      <c r="M746" s="56" t="str">
        <f>HYPERLINK("https://dribble.octin.io/?mode=Single+log&amp;log_id=3e944bcb-8f6c-43e3-8c9c-075be9834cc7","URL")</f>
        <v>URL</v>
      </c>
      <c r="N746" s="56" t="s">
        <v>3472</v>
      </c>
      <c r="O746" t="str">
        <f>_xlfn.XLOOKUP(N746,'Error-codes'!$C$2:$C$130,'Error-codes'!$B$2:$B$130, "None")</f>
        <v>Excessive slip detected</v>
      </c>
      <c r="U746" s="81">
        <f>DATEVALUE(LEFT(F746,10))</f>
        <v>44930</v>
      </c>
    </row>
    <row r="747" spans="1:21">
      <c r="A747" s="56" t="s">
        <v>5151</v>
      </c>
      <c r="B747" s="56" t="s">
        <v>295</v>
      </c>
      <c r="C747" s="56" t="s">
        <v>5141</v>
      </c>
      <c r="D747" s="56" t="s">
        <v>388</v>
      </c>
      <c r="E747" s="56" t="s">
        <v>2939</v>
      </c>
      <c r="F747" s="56" t="s">
        <v>5152</v>
      </c>
      <c r="G747" s="56">
        <v>147</v>
      </c>
      <c r="H747" s="56">
        <v>108</v>
      </c>
      <c r="I747" s="58">
        <v>0.73469387755102045</v>
      </c>
      <c r="J747" s="56" t="s">
        <v>5000</v>
      </c>
      <c r="K747" s="56" t="s">
        <v>1893</v>
      </c>
      <c r="L747" s="56" t="s">
        <v>3162</v>
      </c>
      <c r="M747" s="56" t="str">
        <f>HYPERLINK("https://dribble.octin.io/?mode=Single+log&amp;log_id=ee9130f1-9047-425a-8ec1-da51518c32ee","URL")</f>
        <v>URL</v>
      </c>
      <c r="N747" s="56" t="s">
        <v>3444</v>
      </c>
      <c r="O747" t="str">
        <f>_xlfn.XLOOKUP(N747,'Error-codes'!$C$2:$C$130,'Error-codes'!$B$2:$B$130, "None")</f>
        <v>collision detected in operational state for the 4th time in a row</v>
      </c>
      <c r="U747" s="81">
        <f>DATEVALUE(LEFT(F747,10))</f>
        <v>44931</v>
      </c>
    </row>
    <row r="748" spans="1:21">
      <c r="A748" s="56" t="s">
        <v>5153</v>
      </c>
      <c r="B748" s="56" t="s">
        <v>29</v>
      </c>
      <c r="C748" s="56" t="s">
        <v>5154</v>
      </c>
      <c r="D748" s="56" t="s">
        <v>388</v>
      </c>
      <c r="E748" s="56" t="s">
        <v>2939</v>
      </c>
      <c r="F748" s="56" t="s">
        <v>5155</v>
      </c>
      <c r="G748" s="56">
        <v>140</v>
      </c>
      <c r="H748" s="56">
        <v>120</v>
      </c>
      <c r="I748" s="58">
        <v>0.8571428571428571</v>
      </c>
      <c r="J748" s="56" t="s">
        <v>466</v>
      </c>
      <c r="K748" s="56" t="s">
        <v>1873</v>
      </c>
      <c r="L748" s="56" t="s">
        <v>2942</v>
      </c>
      <c r="M748" s="56" t="str">
        <f>HYPERLINK("https://dribble.octin.io/?mode=Single+log&amp;log_id=9b748a71-c078-4193-8380-bb0049167bca","URL")</f>
        <v>URL</v>
      </c>
      <c r="N748" s="56" t="s">
        <v>3440</v>
      </c>
      <c r="O748" t="str">
        <f>_xlfn.XLOOKUP(N748,'Error-codes'!$C$2:$C$130,'Error-codes'!$B$2:$B$130, "None")</f>
        <v>Trajectory generation timeout</v>
      </c>
      <c r="U748" s="81">
        <f>DATEVALUE(LEFT(F748,10))</f>
        <v>44931</v>
      </c>
    </row>
    <row r="749" spans="1:21">
      <c r="B749" s="56" t="s">
        <v>29</v>
      </c>
      <c r="C749" s="56" t="s">
        <v>5154</v>
      </c>
      <c r="D749" s="56" t="s">
        <v>388</v>
      </c>
      <c r="F749" s="56" t="s">
        <v>5156</v>
      </c>
      <c r="G749" s="56">
        <v>140</v>
      </c>
      <c r="H749" s="56">
        <v>139</v>
      </c>
      <c r="I749" s="58">
        <v>0.99285714285714288</v>
      </c>
      <c r="K749" s="56" t="s">
        <v>1873</v>
      </c>
      <c r="L749" s="56" t="s">
        <v>2942</v>
      </c>
      <c r="O749">
        <f>_xlfn.XLOOKUP(N749,'Error-codes'!$C$2:$C$130,'Error-codes'!$B$2:$B$130, "None")</f>
        <v>0</v>
      </c>
      <c r="U749" s="81">
        <f>DATEVALUE(LEFT(F749,10))</f>
        <v>44931</v>
      </c>
    </row>
    <row r="750" spans="1:21">
      <c r="B750" s="56" t="s">
        <v>295</v>
      </c>
      <c r="C750" s="56" t="s">
        <v>5141</v>
      </c>
      <c r="D750" s="56" t="s">
        <v>388</v>
      </c>
      <c r="F750" s="56" t="s">
        <v>5157</v>
      </c>
      <c r="G750" s="56">
        <v>147</v>
      </c>
      <c r="H750" s="56">
        <v>143</v>
      </c>
      <c r="I750" s="58">
        <v>0.97278911564625847</v>
      </c>
      <c r="K750" s="56" t="s">
        <v>1893</v>
      </c>
      <c r="L750" s="56" t="s">
        <v>3162</v>
      </c>
      <c r="O750">
        <f>_xlfn.XLOOKUP(N750,'Error-codes'!$C$2:$C$130,'Error-codes'!$B$2:$B$130, "None")</f>
        <v>0</v>
      </c>
      <c r="U750" s="81">
        <f>DATEVALUE(LEFT(F750,10))</f>
        <v>44931</v>
      </c>
    </row>
    <row r="751" spans="1:21">
      <c r="A751" s="56" t="s">
        <v>5158</v>
      </c>
      <c r="B751" s="56" t="s">
        <v>3771</v>
      </c>
      <c r="C751" s="56" t="s">
        <v>5159</v>
      </c>
      <c r="D751" s="56" t="s">
        <v>37</v>
      </c>
      <c r="E751" s="56" t="s">
        <v>4564</v>
      </c>
      <c r="F751" s="56" t="s">
        <v>5160</v>
      </c>
      <c r="G751" s="56">
        <v>47</v>
      </c>
      <c r="H751" s="56">
        <v>1</v>
      </c>
      <c r="I751" s="58">
        <v>2.1276595744680851E-2</v>
      </c>
      <c r="J751" s="56" t="s">
        <v>5146</v>
      </c>
      <c r="K751" s="56" t="s">
        <v>3207</v>
      </c>
      <c r="L751" s="56" t="s">
        <v>3775</v>
      </c>
      <c r="M751" s="56" t="str">
        <f>HYPERLINK("https://dribble.octin.io/?mode=Single+log&amp;log_id=c6f9f15c-c023-47ec-9187-ebbfbf5d4093","URL")</f>
        <v>URL</v>
      </c>
      <c r="N751" s="56" t="s">
        <v>3432</v>
      </c>
      <c r="O751" t="str">
        <f>_xlfn.XLOOKUP(N751,'Error-codes'!$C$2:$C$130,'Error-codes'!$B$2:$B$130, "None")</f>
        <v>vision did not initialize in time</v>
      </c>
      <c r="U751" s="81">
        <f>DATEVALUE(LEFT(F751,10))</f>
        <v>44931</v>
      </c>
    </row>
    <row r="752" spans="1:21">
      <c r="A752" s="56" t="s">
        <v>5161</v>
      </c>
      <c r="B752" s="56" t="s">
        <v>3771</v>
      </c>
      <c r="C752" s="56" t="s">
        <v>5162</v>
      </c>
      <c r="D752" s="56" t="s">
        <v>37</v>
      </c>
      <c r="E752" s="56" t="s">
        <v>4564</v>
      </c>
      <c r="F752" s="56" t="s">
        <v>5163</v>
      </c>
      <c r="G752" s="56">
        <v>47</v>
      </c>
      <c r="H752" s="56">
        <v>1</v>
      </c>
      <c r="I752" s="58">
        <v>2.1276595744680851E-2</v>
      </c>
      <c r="J752" s="56" t="s">
        <v>5146</v>
      </c>
      <c r="K752" s="56" t="s">
        <v>3207</v>
      </c>
      <c r="L752" s="56" t="s">
        <v>3775</v>
      </c>
      <c r="M752" s="56" t="str">
        <f>HYPERLINK("https://dribble.octin.io/?mode=Single+log&amp;log_id=9e0e6428-9493-4de1-8a14-f21c33564e75","URL")</f>
        <v>URL</v>
      </c>
      <c r="N752" s="56" t="s">
        <v>3432</v>
      </c>
      <c r="O752" t="str">
        <f>_xlfn.XLOOKUP(N752,'Error-codes'!$C$2:$C$130,'Error-codes'!$B$2:$B$130, "None")</f>
        <v>vision did not initialize in time</v>
      </c>
      <c r="U752" s="81">
        <f>DATEVALUE(LEFT(F752,10))</f>
        <v>44931</v>
      </c>
    </row>
    <row r="753" spans="1:21">
      <c r="A753" s="56" t="s">
        <v>5164</v>
      </c>
      <c r="B753" s="56" t="s">
        <v>3771</v>
      </c>
      <c r="C753" s="56" t="s">
        <v>5165</v>
      </c>
      <c r="D753" s="56" t="s">
        <v>37</v>
      </c>
      <c r="E753" s="56" t="s">
        <v>4564</v>
      </c>
      <c r="F753" s="56" t="s">
        <v>5166</v>
      </c>
      <c r="G753" s="56">
        <v>47</v>
      </c>
      <c r="H753" s="56">
        <v>1</v>
      </c>
      <c r="I753" s="58">
        <v>2.1276595744680851E-2</v>
      </c>
      <c r="J753" s="56" t="s">
        <v>5146</v>
      </c>
      <c r="K753" s="56" t="s">
        <v>3207</v>
      </c>
      <c r="L753" s="56" t="s">
        <v>3775</v>
      </c>
      <c r="M753" s="56" t="str">
        <f>HYPERLINK("https://dribble.octin.io/?mode=Single+log&amp;log_id=222a33fb-7ebf-4ca3-8c8e-3630a049628d","URL")</f>
        <v>URL</v>
      </c>
      <c r="N753" s="56" t="s">
        <v>3452</v>
      </c>
      <c r="O753" t="str">
        <f>_xlfn.XLOOKUP(N753,'Error-codes'!$C$2:$C$130,'Error-codes'!$B$2:$B$130, "None")</f>
        <v>ytheta sensor error</v>
      </c>
      <c r="U753" s="81">
        <f>DATEVALUE(LEFT(F753,10))</f>
        <v>44931</v>
      </c>
    </row>
    <row r="754" spans="1:21">
      <c r="A754" s="56"/>
      <c r="B754" s="56" t="s">
        <v>3771</v>
      </c>
      <c r="C754" s="56" t="s">
        <v>5167</v>
      </c>
      <c r="D754" s="56" t="s">
        <v>37</v>
      </c>
      <c r="E754" s="56" t="s">
        <v>2939</v>
      </c>
      <c r="F754" s="56" t="s">
        <v>5168</v>
      </c>
      <c r="G754" s="56">
        <v>136</v>
      </c>
      <c r="H754" s="56">
        <v>13</v>
      </c>
      <c r="I754" s="58">
        <v>9.5588235294117641E-2</v>
      </c>
      <c r="J754" s="56" t="s">
        <v>5169</v>
      </c>
      <c r="K754" s="56" t="s">
        <v>3207</v>
      </c>
      <c r="L754" s="56" t="s">
        <v>3775</v>
      </c>
      <c r="N754" s="56" t="s">
        <v>3452</v>
      </c>
      <c r="O754" t="str">
        <f>_xlfn.XLOOKUP(N754,'Error-codes'!$C$2:$C$130,'Error-codes'!$B$2:$B$130, "None")</f>
        <v>ytheta sensor error</v>
      </c>
      <c r="U754" s="81">
        <f>DATEVALUE(LEFT(F754,10))</f>
        <v>44931</v>
      </c>
    </row>
    <row r="755" spans="1:21">
      <c r="A755" s="56"/>
      <c r="B755" s="56" t="s">
        <v>3771</v>
      </c>
      <c r="C755" s="56" t="s">
        <v>5167</v>
      </c>
      <c r="D755" s="56" t="s">
        <v>37</v>
      </c>
      <c r="E755" s="56" t="s">
        <v>4564</v>
      </c>
      <c r="F755" s="56" t="s">
        <v>5170</v>
      </c>
      <c r="G755" s="56">
        <v>136</v>
      </c>
      <c r="H755" s="56">
        <v>38</v>
      </c>
      <c r="I755" s="58">
        <v>0.27941176470588236</v>
      </c>
      <c r="J755" s="56" t="s">
        <v>5171</v>
      </c>
      <c r="K755" s="56" t="s">
        <v>3207</v>
      </c>
      <c r="L755" s="56" t="s">
        <v>3775</v>
      </c>
      <c r="N755" s="56" t="s">
        <v>3458</v>
      </c>
      <c r="O755" t="str">
        <f>_xlfn.XLOOKUP(N755,'Error-codes'!$C$2:$C$130,'Error-codes'!$B$2:$B$130, "None")</f>
        <v>motor drive: UNDER VOLTAGE</v>
      </c>
      <c r="U755" s="81">
        <f>DATEVALUE(LEFT(F755,10))</f>
        <v>44931</v>
      </c>
    </row>
    <row r="756" spans="1:21">
      <c r="A756" s="56" t="s">
        <v>5172</v>
      </c>
      <c r="B756" s="56" t="s">
        <v>295</v>
      </c>
      <c r="C756" s="56" t="s">
        <v>5173</v>
      </c>
      <c r="D756" s="56" t="s">
        <v>37</v>
      </c>
      <c r="E756" s="56" t="s">
        <v>5174</v>
      </c>
      <c r="F756" s="56" t="s">
        <v>5175</v>
      </c>
      <c r="G756" s="56">
        <v>147</v>
      </c>
      <c r="H756" s="56">
        <v>5</v>
      </c>
      <c r="I756" s="58">
        <v>3.4013605442176874E-2</v>
      </c>
      <c r="J756" s="56" t="s">
        <v>5017</v>
      </c>
      <c r="K756" s="56" t="s">
        <v>1873</v>
      </c>
      <c r="L756" s="56" t="s">
        <v>3162</v>
      </c>
      <c r="M756" s="56" t="str">
        <f>HYPERLINK("https://dribble.octin.io/?mode=Single+log&amp;log_id=9f24845e-24a3-4557-94e0-9b07e7789fd7","URL")</f>
        <v>URL</v>
      </c>
      <c r="N756" s="56" t="s">
        <v>3426</v>
      </c>
      <c r="O756" t="str">
        <f>_xlfn.XLOOKUP(N756,'Error-codes'!$C$2:$C$130,'Error-codes'!$B$2:$B$130, "None")</f>
        <v>low level fsm is no longer executing the given command</v>
      </c>
      <c r="U756" s="81">
        <f>DATEVALUE(LEFT(F756,10))</f>
        <v>44931</v>
      </c>
    </row>
    <row r="757" spans="1:21">
      <c r="A757" s="56" t="s">
        <v>5176</v>
      </c>
      <c r="B757" s="56" t="s">
        <v>29</v>
      </c>
      <c r="C757" s="56" t="s">
        <v>3199</v>
      </c>
      <c r="D757" s="56" t="s">
        <v>388</v>
      </c>
      <c r="E757" s="56" t="s">
        <v>2939</v>
      </c>
      <c r="F757" s="56" t="s">
        <v>5177</v>
      </c>
      <c r="G757" s="56">
        <v>188</v>
      </c>
      <c r="H757" s="56">
        <v>7</v>
      </c>
      <c r="I757" s="58">
        <v>3.7234042553191488E-2</v>
      </c>
      <c r="J757" s="56" t="s">
        <v>4159</v>
      </c>
      <c r="K757" s="56" t="s">
        <v>1893</v>
      </c>
      <c r="L757" s="56" t="s">
        <v>2942</v>
      </c>
      <c r="M757" s="56" t="str">
        <f>HYPERLINK("https://dribble.octin.io/?mode=Single+log&amp;log_id=f099aac4-154f-44fd-a89b-46308d5c4542","URL")</f>
        <v>URL</v>
      </c>
      <c r="N757" s="56" t="s">
        <v>3446</v>
      </c>
      <c r="O757" t="str">
        <f>_xlfn.XLOOKUP(N757,'Error-codes'!$C$2:$C$130,'Error-codes'!$B$2:$B$130, "None")</f>
        <v>end of lane wall sensor error</v>
      </c>
      <c r="U757" s="81">
        <f>DATEVALUE(LEFT(F757,10))</f>
        <v>44931</v>
      </c>
    </row>
    <row r="758" spans="1:21">
      <c r="A758" s="56" t="s">
        <v>3198</v>
      </c>
      <c r="B758" s="56" t="s">
        <v>29</v>
      </c>
      <c r="C758" s="56" t="s">
        <v>3199</v>
      </c>
      <c r="D758" s="56" t="s">
        <v>388</v>
      </c>
      <c r="E758" s="56" t="s">
        <v>2939</v>
      </c>
      <c r="F758" s="56" t="s">
        <v>3200</v>
      </c>
      <c r="G758" s="56">
        <v>188</v>
      </c>
      <c r="H758" s="56">
        <v>83</v>
      </c>
      <c r="I758" s="58">
        <v>0.44148936170212766</v>
      </c>
      <c r="J758" s="56" t="s">
        <v>416</v>
      </c>
      <c r="K758" s="56" t="s">
        <v>1893</v>
      </c>
      <c r="L758" s="56" t="s">
        <v>2942</v>
      </c>
      <c r="M758" s="56" t="str">
        <f>HYPERLINK("https://dribble.octin.io/?mode=Single+log&amp;log_id=19dfd67b-fecd-4e31-ae2e-d9dc7125958f","URL")</f>
        <v>URL</v>
      </c>
      <c r="N758" s="56" t="s">
        <v>2933</v>
      </c>
      <c r="O758" t="str">
        <f>_xlfn.XLOOKUP(N758,'Error-codes'!$C$2:$C$130,'Error-codes'!$B$2:$B$130, "None")</f>
        <v>inductive sensor error</v>
      </c>
      <c r="U758" s="81">
        <f>DATEVALUE(LEFT(F758,10))</f>
        <v>44931</v>
      </c>
    </row>
    <row r="759" spans="1:21">
      <c r="A759" s="56" t="s">
        <v>5178</v>
      </c>
      <c r="B759" s="56" t="s">
        <v>29</v>
      </c>
      <c r="C759" s="56" t="s">
        <v>3199</v>
      </c>
      <c r="D759" s="56" t="s">
        <v>388</v>
      </c>
      <c r="E759" s="56" t="s">
        <v>2939</v>
      </c>
      <c r="F759" s="56" t="s">
        <v>5179</v>
      </c>
      <c r="G759" s="56">
        <v>188</v>
      </c>
      <c r="H759" s="56">
        <v>126</v>
      </c>
      <c r="I759" s="58">
        <v>0.67021276595744683</v>
      </c>
      <c r="J759" s="56" t="s">
        <v>3192</v>
      </c>
      <c r="K759" s="56" t="s">
        <v>1893</v>
      </c>
      <c r="L759" s="56" t="s">
        <v>2942</v>
      </c>
      <c r="M759" s="56" t="str">
        <f>HYPERLINK("https://dribble.octin.io/?mode=Single+log&amp;log_id=d733888b-0cc0-4ed6-b164-31ecdb9f03d5","URL")</f>
        <v>URL</v>
      </c>
      <c r="N759" s="56" t="s">
        <v>3446</v>
      </c>
      <c r="O759" t="str">
        <f>_xlfn.XLOOKUP(N759,'Error-codes'!$C$2:$C$130,'Error-codes'!$B$2:$B$130, "None")</f>
        <v>end of lane wall sensor error</v>
      </c>
      <c r="U759" s="81">
        <f>DATEVALUE(LEFT(F759,10))</f>
        <v>44932</v>
      </c>
    </row>
    <row r="760" spans="1:21">
      <c r="B760" s="56" t="s">
        <v>29</v>
      </c>
      <c r="C760" s="56" t="s">
        <v>3199</v>
      </c>
      <c r="D760" s="56" t="s">
        <v>388</v>
      </c>
      <c r="F760" s="56" t="s">
        <v>5180</v>
      </c>
      <c r="G760" s="56">
        <v>188</v>
      </c>
      <c r="H760" s="56">
        <v>185</v>
      </c>
      <c r="I760" s="58">
        <v>0.98404255319148937</v>
      </c>
      <c r="K760" s="56" t="s">
        <v>1893</v>
      </c>
      <c r="L760" s="56" t="s">
        <v>2942</v>
      </c>
      <c r="O760">
        <f>_xlfn.XLOOKUP(N760,'Error-codes'!$C$2:$C$130,'Error-codes'!$B$2:$B$130, "None")</f>
        <v>0</v>
      </c>
      <c r="U760" s="81">
        <f>DATEVALUE(LEFT(F760,10))</f>
        <v>44932</v>
      </c>
    </row>
    <row r="761" spans="1:21">
      <c r="A761" s="56"/>
      <c r="B761" s="56" t="s">
        <v>295</v>
      </c>
      <c r="C761" s="56" t="s">
        <v>5181</v>
      </c>
      <c r="D761" s="56" t="s">
        <v>388</v>
      </c>
      <c r="E761" s="56" t="s">
        <v>2939</v>
      </c>
      <c r="F761" s="56" t="s">
        <v>5182</v>
      </c>
      <c r="G761" s="56">
        <v>141</v>
      </c>
      <c r="H761" s="56">
        <v>8</v>
      </c>
      <c r="I761" s="74">
        <v>5.6737588652482268E-2</v>
      </c>
      <c r="J761" s="56" t="s">
        <v>5183</v>
      </c>
      <c r="K761" s="56" t="s">
        <v>1873</v>
      </c>
      <c r="L761" s="56" t="s">
        <v>3162</v>
      </c>
      <c r="N761" s="56" t="s">
        <v>3444</v>
      </c>
      <c r="O761" t="str">
        <f>_xlfn.XLOOKUP(N761,'Error-codes'!$C$2:$C$130,'Error-codes'!$B$2:$B$130, "None")</f>
        <v>collision detected in operational state for the 4th time in a row</v>
      </c>
      <c r="U761" s="81">
        <f>DATEVALUE(LEFT(F761,10))</f>
        <v>44932</v>
      </c>
    </row>
    <row r="762" spans="1:21">
      <c r="A762" s="56"/>
      <c r="B762" s="56" t="s">
        <v>295</v>
      </c>
      <c r="C762" s="56" t="s">
        <v>5181</v>
      </c>
      <c r="D762" s="56" t="s">
        <v>388</v>
      </c>
      <c r="E762" s="56" t="s">
        <v>2939</v>
      </c>
      <c r="F762" s="56" t="s">
        <v>5184</v>
      </c>
      <c r="G762" s="56">
        <v>141</v>
      </c>
      <c r="H762" s="56">
        <v>25</v>
      </c>
      <c r="I762" s="74">
        <v>0.1773049645390071</v>
      </c>
      <c r="J762" s="56" t="s">
        <v>5100</v>
      </c>
      <c r="K762" s="56" t="s">
        <v>1873</v>
      </c>
      <c r="L762" s="56" t="s">
        <v>3162</v>
      </c>
      <c r="N762" s="56" t="s">
        <v>3444</v>
      </c>
      <c r="O762" t="str">
        <f>_xlfn.XLOOKUP(N762,'Error-codes'!$C$2:$C$130,'Error-codes'!$B$2:$B$130, "None")</f>
        <v>collision detected in operational state for the 4th time in a row</v>
      </c>
      <c r="U762" s="81">
        <f>DATEVALUE(LEFT(F762,10))</f>
        <v>44932</v>
      </c>
    </row>
    <row r="763" spans="1:21">
      <c r="A763" s="56"/>
      <c r="B763" s="56" t="s">
        <v>295</v>
      </c>
      <c r="C763" s="56" t="s">
        <v>5181</v>
      </c>
      <c r="D763" s="56" t="s">
        <v>388</v>
      </c>
      <c r="E763" s="56" t="s">
        <v>2939</v>
      </c>
      <c r="F763" s="56" t="s">
        <v>5185</v>
      </c>
      <c r="G763" s="56">
        <v>141</v>
      </c>
      <c r="H763" s="56">
        <v>31</v>
      </c>
      <c r="I763" s="74">
        <v>0.21985815602836881</v>
      </c>
      <c r="J763" s="56" t="s">
        <v>5024</v>
      </c>
      <c r="K763" s="56" t="s">
        <v>1873</v>
      </c>
      <c r="L763" s="56" t="s">
        <v>3162</v>
      </c>
      <c r="N763" s="56" t="s">
        <v>3444</v>
      </c>
      <c r="O763" t="str">
        <f>_xlfn.XLOOKUP(N763,'Error-codes'!$C$2:$C$130,'Error-codes'!$B$2:$B$130, "None")</f>
        <v>collision detected in operational state for the 4th time in a row</v>
      </c>
      <c r="U763" s="81">
        <f>DATEVALUE(LEFT(F763,10))</f>
        <v>44932</v>
      </c>
    </row>
    <row r="764" spans="1:21">
      <c r="A764" s="56"/>
      <c r="B764" s="56" t="s">
        <v>295</v>
      </c>
      <c r="C764" s="56" t="s">
        <v>5181</v>
      </c>
      <c r="D764" s="56" t="s">
        <v>388</v>
      </c>
      <c r="E764" s="56" t="s">
        <v>2939</v>
      </c>
      <c r="F764" s="56" t="s">
        <v>5186</v>
      </c>
      <c r="G764" s="56">
        <v>141</v>
      </c>
      <c r="H764" s="56">
        <v>35</v>
      </c>
      <c r="I764" s="74">
        <v>0.24822695035460993</v>
      </c>
      <c r="J764" s="56" t="s">
        <v>5187</v>
      </c>
      <c r="K764" s="56" t="s">
        <v>1873</v>
      </c>
      <c r="L764" s="56" t="s">
        <v>3162</v>
      </c>
      <c r="N764" s="56" t="s">
        <v>3440</v>
      </c>
      <c r="O764" t="str">
        <f>_xlfn.XLOOKUP(N764,'Error-codes'!$C$2:$C$130,'Error-codes'!$B$2:$B$130, "None")</f>
        <v>Trajectory generation timeout</v>
      </c>
      <c r="U764" s="81">
        <f>DATEVALUE(LEFT(F764,10))</f>
        <v>44932</v>
      </c>
    </row>
    <row r="765" spans="1:21">
      <c r="A765" s="56"/>
      <c r="B765" s="56" t="s">
        <v>295</v>
      </c>
      <c r="C765" s="56" t="s">
        <v>5181</v>
      </c>
      <c r="D765" s="56" t="s">
        <v>388</v>
      </c>
      <c r="E765" s="56" t="s">
        <v>2939</v>
      </c>
      <c r="F765" s="56" t="s">
        <v>5188</v>
      </c>
      <c r="G765" s="56">
        <v>141</v>
      </c>
      <c r="H765" s="56">
        <v>38</v>
      </c>
      <c r="I765" s="74">
        <v>0.26950354609929078</v>
      </c>
      <c r="J765" s="56" t="s">
        <v>5189</v>
      </c>
      <c r="K765" s="56" t="s">
        <v>1873</v>
      </c>
      <c r="L765" s="56" t="s">
        <v>3162</v>
      </c>
      <c r="N765" s="56" t="s">
        <v>3440</v>
      </c>
      <c r="O765" t="str">
        <f>_xlfn.XLOOKUP(N765,'Error-codes'!$C$2:$C$130,'Error-codes'!$B$2:$B$130, "None")</f>
        <v>Trajectory generation timeout</v>
      </c>
      <c r="U765" s="81">
        <f>DATEVALUE(LEFT(F765,10))</f>
        <v>44932</v>
      </c>
    </row>
    <row r="766" spans="1:21">
      <c r="A766" s="56"/>
      <c r="B766" s="56" t="s">
        <v>295</v>
      </c>
      <c r="C766" s="56" t="s">
        <v>5181</v>
      </c>
      <c r="D766" s="56" t="s">
        <v>388</v>
      </c>
      <c r="E766" s="56" t="s">
        <v>2939</v>
      </c>
      <c r="F766" s="56" t="s">
        <v>5190</v>
      </c>
      <c r="G766" s="56">
        <v>141</v>
      </c>
      <c r="H766" s="56">
        <v>50</v>
      </c>
      <c r="I766" s="58">
        <v>0.3546099290780142</v>
      </c>
      <c r="J766" s="56" t="s">
        <v>5027</v>
      </c>
      <c r="K766" s="56" t="s">
        <v>1873</v>
      </c>
      <c r="L766" s="56" t="s">
        <v>3162</v>
      </c>
      <c r="N766" s="56" t="s">
        <v>3444</v>
      </c>
      <c r="O766" t="str">
        <f>_xlfn.XLOOKUP(N766,'Error-codes'!$C$2:$C$130,'Error-codes'!$B$2:$B$130, "None")</f>
        <v>collision detected in operational state for the 4th time in a row</v>
      </c>
      <c r="U766" s="81">
        <f>DATEVALUE(LEFT(F766,10))</f>
        <v>44932</v>
      </c>
    </row>
    <row r="767" spans="1:21">
      <c r="A767" s="56"/>
      <c r="B767" s="56" t="s">
        <v>295</v>
      </c>
      <c r="C767" s="56" t="s">
        <v>5181</v>
      </c>
      <c r="D767" s="56" t="s">
        <v>388</v>
      </c>
      <c r="E767" s="56" t="s">
        <v>2939</v>
      </c>
      <c r="F767" s="56" t="s">
        <v>5191</v>
      </c>
      <c r="G767" s="56">
        <v>141</v>
      </c>
      <c r="H767" s="56">
        <v>58</v>
      </c>
      <c r="I767" s="58">
        <v>0.41134751773049644</v>
      </c>
      <c r="J767" s="56" t="s">
        <v>202</v>
      </c>
      <c r="K767" s="56" t="s">
        <v>1873</v>
      </c>
      <c r="L767" s="56" t="s">
        <v>3162</v>
      </c>
      <c r="N767" s="56" t="s">
        <v>3444</v>
      </c>
      <c r="O767" t="str">
        <f>_xlfn.XLOOKUP(N767,'Error-codes'!$C$2:$C$130,'Error-codes'!$B$2:$B$130, "None")</f>
        <v>collision detected in operational state for the 4th time in a row</v>
      </c>
      <c r="U767" s="81">
        <f>DATEVALUE(LEFT(F767,10))</f>
        <v>44932</v>
      </c>
    </row>
    <row r="768" spans="1:21">
      <c r="A768" s="56"/>
      <c r="B768" s="56" t="s">
        <v>295</v>
      </c>
      <c r="C768" s="56" t="s">
        <v>5181</v>
      </c>
      <c r="D768" s="56" t="s">
        <v>388</v>
      </c>
      <c r="E768" s="56" t="s">
        <v>2939</v>
      </c>
      <c r="F768" s="56" t="s">
        <v>5192</v>
      </c>
      <c r="G768" s="56">
        <v>141</v>
      </c>
      <c r="H768" s="56">
        <v>64</v>
      </c>
      <c r="I768" s="58">
        <v>0.45390070921985815</v>
      </c>
      <c r="J768" s="56" t="s">
        <v>5035</v>
      </c>
      <c r="K768" s="56" t="s">
        <v>1873</v>
      </c>
      <c r="L768" s="56" t="s">
        <v>3162</v>
      </c>
      <c r="N768" s="56" t="s">
        <v>3444</v>
      </c>
      <c r="O768" t="str">
        <f>_xlfn.XLOOKUP(N768,'Error-codes'!$C$2:$C$130,'Error-codes'!$B$2:$B$130, "None")</f>
        <v>collision detected in operational state for the 4th time in a row</v>
      </c>
      <c r="U768" s="81">
        <f>DATEVALUE(LEFT(F768,10))</f>
        <v>44932</v>
      </c>
    </row>
    <row r="769" spans="1:21">
      <c r="A769" s="56"/>
      <c r="B769" s="56" t="s">
        <v>295</v>
      </c>
      <c r="C769" s="56" t="s">
        <v>5181</v>
      </c>
      <c r="D769" s="56" t="s">
        <v>388</v>
      </c>
      <c r="E769" s="56" t="s">
        <v>2939</v>
      </c>
      <c r="F769" s="56" t="s">
        <v>5193</v>
      </c>
      <c r="G769" s="56">
        <v>141</v>
      </c>
      <c r="H769" s="56">
        <v>138</v>
      </c>
      <c r="I769" s="58">
        <v>0.97872340425531912</v>
      </c>
      <c r="J769" s="56" t="s">
        <v>5194</v>
      </c>
      <c r="K769" s="56" t="s">
        <v>1873</v>
      </c>
      <c r="L769" s="56" t="s">
        <v>3162</v>
      </c>
      <c r="N769" s="56" t="s">
        <v>3472</v>
      </c>
      <c r="O769" t="str">
        <f>_xlfn.XLOOKUP(N769,'Error-codes'!$C$2:$C$130,'Error-codes'!$B$2:$B$130, "None")</f>
        <v>Excessive slip detected</v>
      </c>
      <c r="U769" s="81">
        <f>DATEVALUE(LEFT(F769,10))</f>
        <v>44933</v>
      </c>
    </row>
    <row r="770" spans="1:21">
      <c r="B770" s="56" t="s">
        <v>295</v>
      </c>
      <c r="C770" s="56" t="s">
        <v>5181</v>
      </c>
      <c r="D770" s="56" t="s">
        <v>388</v>
      </c>
      <c r="F770" s="56" t="s">
        <v>5195</v>
      </c>
      <c r="G770" s="56">
        <v>141</v>
      </c>
      <c r="H770" s="56">
        <v>132</v>
      </c>
      <c r="I770" s="58">
        <v>0.93617021276595747</v>
      </c>
      <c r="K770" s="56" t="s">
        <v>1873</v>
      </c>
      <c r="L770" s="56" t="s">
        <v>3162</v>
      </c>
      <c r="O770">
        <f>_xlfn.XLOOKUP(N770,'Error-codes'!$C$2:$C$130,'Error-codes'!$B$2:$B$130, "None")</f>
        <v>0</v>
      </c>
      <c r="U770" s="81">
        <f>DATEVALUE(LEFT(F770,10))</f>
        <v>44933</v>
      </c>
    </row>
    <row r="771" spans="1:21">
      <c r="B771" s="56" t="s">
        <v>3771</v>
      </c>
      <c r="C771" s="56" t="s">
        <v>5196</v>
      </c>
      <c r="D771" s="56" t="s">
        <v>22</v>
      </c>
      <c r="F771" s="56" t="s">
        <v>5197</v>
      </c>
      <c r="G771" s="56">
        <v>41</v>
      </c>
      <c r="H771" s="56">
        <v>2</v>
      </c>
      <c r="I771" s="58">
        <v>4.878048780487805E-2</v>
      </c>
      <c r="K771" s="56" t="s">
        <v>3207</v>
      </c>
      <c r="L771" s="56" t="s">
        <v>3775</v>
      </c>
      <c r="O771">
        <f>_xlfn.XLOOKUP(N771,'Error-codes'!$C$2:$C$130,'Error-codes'!$B$2:$B$130, "None")</f>
        <v>0</v>
      </c>
      <c r="U771" s="81">
        <f>DATEVALUE(LEFT(F771,10))</f>
        <v>44937</v>
      </c>
    </row>
    <row r="772" spans="1:21">
      <c r="A772" s="56" t="s">
        <v>5198</v>
      </c>
      <c r="B772" s="56" t="s">
        <v>3771</v>
      </c>
      <c r="C772" s="56" t="s">
        <v>5199</v>
      </c>
      <c r="D772" s="56" t="s">
        <v>37</v>
      </c>
      <c r="E772" s="56" t="s">
        <v>4564</v>
      </c>
      <c r="F772" s="56" t="s">
        <v>5200</v>
      </c>
      <c r="G772" s="56">
        <v>22</v>
      </c>
      <c r="H772" s="56">
        <v>1</v>
      </c>
      <c r="I772" s="58">
        <v>4.5454545454545456E-2</v>
      </c>
      <c r="J772" s="56" t="s">
        <v>3315</v>
      </c>
      <c r="K772" s="56" t="s">
        <v>3207</v>
      </c>
      <c r="L772" s="56" t="s">
        <v>3775</v>
      </c>
      <c r="M772" s="56" t="str">
        <f>HYPERLINK("https://dribble.octin.io/?mode=Single+log&amp;log_id=84fb501e-396e-4ffe-9306-569beed3905d","URL")</f>
        <v>URL</v>
      </c>
      <c r="N772" s="56" t="s">
        <v>3432</v>
      </c>
      <c r="O772" t="str">
        <f>_xlfn.XLOOKUP(N772,'Error-codes'!$C$2:$C$130,'Error-codes'!$B$2:$B$130, "None")</f>
        <v>vision did not initialize in time</v>
      </c>
      <c r="U772" s="81">
        <f>DATEVALUE(LEFT(F772,10))</f>
        <v>44937</v>
      </c>
    </row>
    <row r="773" spans="1:21">
      <c r="B773" s="56" t="s">
        <v>3771</v>
      </c>
      <c r="C773" s="56" t="s">
        <v>5201</v>
      </c>
      <c r="D773" s="56" t="s">
        <v>22</v>
      </c>
      <c r="F773" s="56" t="s">
        <v>5202</v>
      </c>
      <c r="G773" s="56">
        <v>37</v>
      </c>
      <c r="H773" s="56">
        <v>4</v>
      </c>
      <c r="I773" s="58">
        <v>0.10810810810810811</v>
      </c>
      <c r="K773" s="56" t="s">
        <v>3207</v>
      </c>
      <c r="L773" s="56" t="s">
        <v>3775</v>
      </c>
      <c r="O773">
        <f>_xlfn.XLOOKUP(N773,'Error-codes'!$C$2:$C$130,'Error-codes'!$B$2:$B$130, "None")</f>
        <v>0</v>
      </c>
      <c r="U773" s="81">
        <f>DATEVALUE(LEFT(F773,10))</f>
        <v>44937</v>
      </c>
    </row>
    <row r="774" spans="1:21">
      <c r="A774" s="56" t="s">
        <v>5203</v>
      </c>
      <c r="B774" s="56" t="s">
        <v>3771</v>
      </c>
      <c r="C774" s="56" t="s">
        <v>5204</v>
      </c>
      <c r="D774" s="56" t="s">
        <v>37</v>
      </c>
      <c r="E774" s="56" t="s">
        <v>4564</v>
      </c>
      <c r="F774" s="56" t="s">
        <v>5205</v>
      </c>
      <c r="G774" s="56">
        <v>58</v>
      </c>
      <c r="H774" s="56">
        <v>3</v>
      </c>
      <c r="I774" s="58">
        <v>5.1724137931034482E-2</v>
      </c>
      <c r="J774" s="56" t="s">
        <v>5206</v>
      </c>
      <c r="K774" s="56" t="s">
        <v>3207</v>
      </c>
      <c r="L774" s="56" t="s">
        <v>3775</v>
      </c>
      <c r="M774" s="56" t="str">
        <f>HYPERLINK("https://dribble.octin.io/?mode=Single+log&amp;log_id=4690041a-a457-477c-aa05-29bc745a76da","URL")</f>
        <v>URL</v>
      </c>
      <c r="N774" s="56" t="s">
        <v>3454</v>
      </c>
      <c r="O774" t="str">
        <f>_xlfn.XLOOKUP(N774,'Error-codes'!$C$2:$C$130,'Error-codes'!$B$2:$B$130, "None")</f>
        <v>Veh low level FSM: safety was triggered</v>
      </c>
      <c r="U774" s="81">
        <f>DATEVALUE(LEFT(F774,10))</f>
        <v>44937</v>
      </c>
    </row>
    <row r="775" spans="1:21">
      <c r="A775" s="56" t="s">
        <v>5207</v>
      </c>
      <c r="B775" s="56" t="s">
        <v>3771</v>
      </c>
      <c r="C775" s="56" t="s">
        <v>5208</v>
      </c>
      <c r="D775" s="56" t="s">
        <v>22</v>
      </c>
      <c r="E775" s="56" t="s">
        <v>2939</v>
      </c>
      <c r="F775" s="56" t="s">
        <v>5209</v>
      </c>
      <c r="G775" s="56">
        <v>150</v>
      </c>
      <c r="H775" s="56">
        <v>6</v>
      </c>
      <c r="I775" s="58">
        <v>0.04</v>
      </c>
      <c r="J775" s="56" t="s">
        <v>3795</v>
      </c>
      <c r="K775" s="56" t="s">
        <v>5210</v>
      </c>
      <c r="L775" s="56" t="s">
        <v>3775</v>
      </c>
      <c r="M775" s="56" t="str">
        <f>HYPERLINK("https://dribble.octin.io/?mode=Single+log&amp;log_id=0695e3a0-81e8-4f68-8497-b5ad8d1a4095","URL")</f>
        <v>URL</v>
      </c>
      <c r="N775" s="56" t="s">
        <v>3454</v>
      </c>
      <c r="O775" t="str">
        <f>_xlfn.XLOOKUP(N775,'Error-codes'!$C$2:$C$130,'Error-codes'!$B$2:$B$130, "None")</f>
        <v>Veh low level FSM: safety was triggered</v>
      </c>
      <c r="U775" s="81">
        <f>DATEVALUE(LEFT(F775,10))</f>
        <v>44937</v>
      </c>
    </row>
    <row r="776" spans="1:21">
      <c r="A776" s="56" t="s">
        <v>5211</v>
      </c>
      <c r="B776" s="56" t="s">
        <v>3202</v>
      </c>
      <c r="C776" s="56" t="s">
        <v>5212</v>
      </c>
      <c r="D776" s="56" t="s">
        <v>37</v>
      </c>
      <c r="E776" s="56" t="s">
        <v>5174</v>
      </c>
      <c r="F776" s="56" t="s">
        <v>5213</v>
      </c>
      <c r="G776" s="56">
        <v>35</v>
      </c>
      <c r="H776" s="56">
        <v>0</v>
      </c>
      <c r="I776" s="58">
        <v>0</v>
      </c>
      <c r="J776" s="56" t="s">
        <v>3296</v>
      </c>
      <c r="K776" s="56" t="s">
        <v>3207</v>
      </c>
      <c r="L776" s="56" t="s">
        <v>5214</v>
      </c>
      <c r="M776" s="56" t="str">
        <f>HYPERLINK("https://dribble.octin.io/?mode=Single+log&amp;log_id=a4ed0a1b-bcfa-4a1e-a9b3-4ae1ffc69d41","URL")</f>
        <v>URL</v>
      </c>
      <c r="N776" s="56" t="s">
        <v>3446</v>
      </c>
      <c r="O776" t="str">
        <f>_xlfn.XLOOKUP(N776,'Error-codes'!$C$2:$C$130,'Error-codes'!$B$2:$B$130, "None")</f>
        <v>end of lane wall sensor error</v>
      </c>
      <c r="U776" s="81">
        <f>DATEVALUE(LEFT(F776,10))</f>
        <v>44942</v>
      </c>
    </row>
    <row r="777" spans="1:21">
      <c r="A777" s="56" t="s">
        <v>5215</v>
      </c>
      <c r="B777" s="56" t="s">
        <v>3202</v>
      </c>
      <c r="C777" s="56" t="s">
        <v>5216</v>
      </c>
      <c r="D777" s="56" t="s">
        <v>37</v>
      </c>
      <c r="E777" s="56" t="s">
        <v>4351</v>
      </c>
      <c r="F777" s="56" t="s">
        <v>5217</v>
      </c>
      <c r="G777" s="56">
        <v>35</v>
      </c>
      <c r="H777" s="56">
        <v>1</v>
      </c>
      <c r="I777" s="58">
        <v>2.8571428571428571E-2</v>
      </c>
      <c r="J777" s="56" t="s">
        <v>5218</v>
      </c>
      <c r="K777" s="56" t="s">
        <v>3207</v>
      </c>
      <c r="L777" s="56" t="s">
        <v>5214</v>
      </c>
      <c r="M777" s="56" t="str">
        <f>HYPERLINK("https://dribble.octin.io/?mode=Single+log&amp;log_id=aeac3410-be62-4514-a6ca-d14153b0d4d7","URL")</f>
        <v>URL</v>
      </c>
      <c r="N777" s="56" t="s">
        <v>3472</v>
      </c>
      <c r="O777" t="str">
        <f>_xlfn.XLOOKUP(N777,'Error-codes'!$C$2:$C$130,'Error-codes'!$B$2:$B$130, "None")</f>
        <v>Excessive slip detected</v>
      </c>
      <c r="U777" s="81">
        <f>DATEVALUE(LEFT(F777,10))</f>
        <v>44942</v>
      </c>
    </row>
    <row r="778" spans="1:21">
      <c r="B778" s="56" t="s">
        <v>3202</v>
      </c>
      <c r="C778" s="56" t="s">
        <v>5219</v>
      </c>
      <c r="D778" s="56" t="s">
        <v>22</v>
      </c>
      <c r="F778" s="56" t="s">
        <v>5220</v>
      </c>
      <c r="G778" s="56">
        <v>34</v>
      </c>
      <c r="H778" s="56">
        <v>0</v>
      </c>
      <c r="I778" s="58">
        <v>0</v>
      </c>
      <c r="K778" s="56" t="s">
        <v>3207</v>
      </c>
      <c r="L778" s="56" t="s">
        <v>5214</v>
      </c>
      <c r="O778">
        <f>_xlfn.XLOOKUP(N778,'Error-codes'!$C$2:$C$130,'Error-codes'!$B$2:$B$130, "None")</f>
        <v>0</v>
      </c>
      <c r="U778" s="81">
        <f>DATEVALUE(LEFT(F778,10))</f>
        <v>44942</v>
      </c>
    </row>
    <row r="779" spans="1:21">
      <c r="A779" s="56" t="s">
        <v>5221</v>
      </c>
      <c r="B779" s="56" t="s">
        <v>3202</v>
      </c>
      <c r="C779" s="56" t="s">
        <v>5222</v>
      </c>
      <c r="D779" s="56" t="s">
        <v>37</v>
      </c>
      <c r="E779" s="56" t="s">
        <v>2939</v>
      </c>
      <c r="F779" s="56" t="s">
        <v>5223</v>
      </c>
      <c r="G779" s="56">
        <v>36</v>
      </c>
      <c r="H779" s="56">
        <v>1</v>
      </c>
      <c r="I779" s="58">
        <v>2.7777777777777776E-2</v>
      </c>
      <c r="J779" s="56" t="s">
        <v>5224</v>
      </c>
      <c r="K779" s="56" t="s">
        <v>3207</v>
      </c>
      <c r="L779" s="56" t="s">
        <v>5214</v>
      </c>
      <c r="M779" s="56" t="str">
        <f>HYPERLINK("https://dribble.octin.io/?mode=Single+log&amp;log_id=5e524c17-a519-40d0-be59-6762853f8a8a","URL")</f>
        <v>URL</v>
      </c>
      <c r="N779" s="56" t="s">
        <v>3454</v>
      </c>
      <c r="O779" t="str">
        <f>_xlfn.XLOOKUP(N779,'Error-codes'!$C$2:$C$130,'Error-codes'!$B$2:$B$130, "None")</f>
        <v>Veh low level FSM: safety was triggered</v>
      </c>
      <c r="U779" s="81">
        <f>DATEVALUE(LEFT(F779,10))</f>
        <v>44942</v>
      </c>
    </row>
    <row r="780" spans="1:21">
      <c r="A780" s="56" t="s">
        <v>5225</v>
      </c>
      <c r="B780" s="56" t="s">
        <v>3202</v>
      </c>
      <c r="C780" s="56" t="s">
        <v>5222</v>
      </c>
      <c r="D780" s="56" t="s">
        <v>37</v>
      </c>
      <c r="E780" s="56" t="s">
        <v>5226</v>
      </c>
      <c r="F780" s="56" t="s">
        <v>5227</v>
      </c>
      <c r="G780" s="56">
        <v>36</v>
      </c>
      <c r="H780" s="56">
        <v>17</v>
      </c>
      <c r="I780" s="58">
        <v>0.47222222222222221</v>
      </c>
      <c r="J780" s="56" t="s">
        <v>5228</v>
      </c>
      <c r="K780" s="56" t="s">
        <v>3207</v>
      </c>
      <c r="L780" s="56" t="s">
        <v>5214</v>
      </c>
      <c r="M780" s="56" t="str">
        <f>HYPERLINK("https://dribble.octin.io/?mode=Single+log&amp;log_id=b14c70fe-fbb3-484b-b90d-d3497f63460a","URL")</f>
        <v>URL</v>
      </c>
      <c r="N780" s="56" t="s">
        <v>3456</v>
      </c>
      <c r="O780" t="str">
        <f>_xlfn.XLOOKUP(N780,'Error-codes'!$C$2:$C$130,'Error-codes'!$B$2:$B$130, "None")</f>
        <v>motor drive: OVER VOLTAGE</v>
      </c>
      <c r="U780" s="81">
        <f>DATEVALUE(LEFT(F780,10))</f>
        <v>44942</v>
      </c>
    </row>
    <row r="781" spans="1:21">
      <c r="A781" s="56" t="s">
        <v>5229</v>
      </c>
      <c r="B781" s="56" t="s">
        <v>3202</v>
      </c>
      <c r="C781" s="56" t="s">
        <v>5222</v>
      </c>
      <c r="D781" s="56" t="s">
        <v>37</v>
      </c>
      <c r="E781" s="56" t="s">
        <v>4358</v>
      </c>
      <c r="F781" s="56" t="s">
        <v>5230</v>
      </c>
      <c r="G781" s="56">
        <v>37</v>
      </c>
      <c r="H781" s="56">
        <v>24</v>
      </c>
      <c r="I781" s="58">
        <v>0.64864864864864868</v>
      </c>
      <c r="J781" s="56" t="s">
        <v>5231</v>
      </c>
      <c r="K781" s="56" t="s">
        <v>3207</v>
      </c>
      <c r="L781" s="56" t="s">
        <v>5214</v>
      </c>
      <c r="M781" s="56" t="str">
        <f>HYPERLINK("https://dribble.octin.io/?mode=Single+log&amp;log_id=30787667-d5dd-41b3-a4e0-baf3622ec0a2","URL")</f>
        <v>URL</v>
      </c>
      <c r="N781" s="56" t="s">
        <v>3458</v>
      </c>
      <c r="O781" t="str">
        <f>_xlfn.XLOOKUP(N781,'Error-codes'!$C$2:$C$130,'Error-codes'!$B$2:$B$130, "None")</f>
        <v>motor drive: UNDER VOLTAGE</v>
      </c>
      <c r="U781" s="81">
        <f>DATEVALUE(LEFT(F781,10))</f>
        <v>44943</v>
      </c>
    </row>
    <row r="782" spans="1:21">
      <c r="B782" s="56" t="s">
        <v>3202</v>
      </c>
      <c r="C782" s="56" t="s">
        <v>5232</v>
      </c>
      <c r="D782" s="56" t="s">
        <v>388</v>
      </c>
      <c r="F782" s="56" t="s">
        <v>5233</v>
      </c>
      <c r="G782" s="56">
        <v>5</v>
      </c>
      <c r="H782" s="56">
        <v>5</v>
      </c>
      <c r="I782" s="58">
        <v>1</v>
      </c>
      <c r="K782" s="56" t="s">
        <v>3207</v>
      </c>
      <c r="L782" s="56" t="s">
        <v>5214</v>
      </c>
      <c r="O782">
        <f>_xlfn.XLOOKUP(N782,'Error-codes'!$C$2:$C$130,'Error-codes'!$B$2:$B$130, "None")</f>
        <v>0</v>
      </c>
      <c r="U782" s="81">
        <f>DATEVALUE(LEFT(F782,10))</f>
        <v>44943</v>
      </c>
    </row>
    <row r="783" spans="1:21">
      <c r="B783" s="56" t="s">
        <v>3202</v>
      </c>
      <c r="C783" s="56" t="s">
        <v>5234</v>
      </c>
      <c r="D783" s="56" t="s">
        <v>22</v>
      </c>
      <c r="F783" s="56" t="s">
        <v>5235</v>
      </c>
      <c r="G783" s="56">
        <v>36</v>
      </c>
      <c r="H783" s="56">
        <v>0</v>
      </c>
      <c r="I783" s="58">
        <v>0</v>
      </c>
      <c r="K783" s="56" t="s">
        <v>3207</v>
      </c>
      <c r="L783" s="56" t="s">
        <v>5214</v>
      </c>
      <c r="O783">
        <f>_xlfn.XLOOKUP(N783,'Error-codes'!$C$2:$C$130,'Error-codes'!$B$2:$B$130, "None")</f>
        <v>0</v>
      </c>
      <c r="U783" s="81">
        <f>DATEVALUE(LEFT(F783,10))</f>
        <v>44943</v>
      </c>
    </row>
    <row r="784" spans="1:21">
      <c r="A784" s="56" t="s">
        <v>5236</v>
      </c>
      <c r="B784" s="56" t="s">
        <v>3202</v>
      </c>
      <c r="C784" s="56" t="s">
        <v>5237</v>
      </c>
      <c r="D784" s="56" t="s">
        <v>37</v>
      </c>
      <c r="E784" s="56" t="s">
        <v>2939</v>
      </c>
      <c r="F784" s="56" t="s">
        <v>5238</v>
      </c>
      <c r="G784" s="56">
        <v>15</v>
      </c>
      <c r="H784" s="56">
        <v>3</v>
      </c>
      <c r="I784" s="58">
        <v>0.2</v>
      </c>
      <c r="J784" s="56" t="s">
        <v>3259</v>
      </c>
      <c r="K784" s="56" t="s">
        <v>3207</v>
      </c>
      <c r="L784" s="56" t="s">
        <v>3208</v>
      </c>
      <c r="M784" s="56" t="str">
        <f>HYPERLINK("https://dribble.octin.io/?mode=Single+log&amp;log_id=6c265ad8-9b30-478d-8285-424d5288cc71","URL")</f>
        <v>URL</v>
      </c>
      <c r="N784" s="56" t="s">
        <v>3460</v>
      </c>
      <c r="O784" t="str">
        <f>_xlfn.XLOOKUP(N784,'Error-codes'!$C$2:$C$130,'Error-codes'!$B$2:$B$130, "None")</f>
        <v>motor drive: DRV8353 FAULT</v>
      </c>
      <c r="U784" s="81">
        <f>DATEVALUE(LEFT(F784,10))</f>
        <v>44943</v>
      </c>
    </row>
    <row r="785" spans="1:21">
      <c r="A785" s="56" t="s">
        <v>5239</v>
      </c>
      <c r="B785" s="56" t="s">
        <v>3202</v>
      </c>
      <c r="C785" s="56" t="s">
        <v>5237</v>
      </c>
      <c r="D785" s="56" t="s">
        <v>37</v>
      </c>
      <c r="E785" s="56" t="s">
        <v>4253</v>
      </c>
      <c r="F785" s="56" t="s">
        <v>5240</v>
      </c>
      <c r="G785" s="56">
        <v>15</v>
      </c>
      <c r="H785" s="56">
        <v>8</v>
      </c>
      <c r="I785" s="58">
        <v>0.53333333333333333</v>
      </c>
      <c r="J785" s="56" t="s">
        <v>5241</v>
      </c>
      <c r="K785" s="56" t="s">
        <v>3207</v>
      </c>
      <c r="L785" s="56" t="s">
        <v>3208</v>
      </c>
      <c r="M785" s="56" t="str">
        <f>HYPERLINK("https://dribble.octin.io/?mode=Single+log&amp;log_id=2c68668c-f1f2-4e83-b42b-80f4a428621b","URL")</f>
        <v>URL</v>
      </c>
      <c r="N785" s="56" t="s">
        <v>3460</v>
      </c>
      <c r="O785" t="str">
        <f>_xlfn.XLOOKUP(N785,'Error-codes'!$C$2:$C$130,'Error-codes'!$B$2:$B$130, "None")</f>
        <v>motor drive: DRV8353 FAULT</v>
      </c>
      <c r="U785" s="81">
        <f>DATEVALUE(LEFT(F785,10))</f>
        <v>44943</v>
      </c>
    </row>
    <row r="786" spans="1:21">
      <c r="A786" s="56" t="s">
        <v>5242</v>
      </c>
      <c r="B786" s="56" t="s">
        <v>3202</v>
      </c>
      <c r="C786" s="56" t="s">
        <v>5243</v>
      </c>
      <c r="D786" s="56" t="s">
        <v>37</v>
      </c>
      <c r="E786" s="56" t="s">
        <v>5244</v>
      </c>
      <c r="F786" s="56" t="s">
        <v>5245</v>
      </c>
      <c r="G786" s="56">
        <v>42</v>
      </c>
      <c r="H786" s="56">
        <v>1</v>
      </c>
      <c r="I786" s="58">
        <v>2.3809523809523808E-2</v>
      </c>
      <c r="J786" s="56" t="s">
        <v>5246</v>
      </c>
      <c r="K786" s="56" t="s">
        <v>3207</v>
      </c>
      <c r="L786" s="56" t="s">
        <v>3208</v>
      </c>
      <c r="M786" s="56" t="str">
        <f>HYPERLINK("https://dribble.octin.io/?mode=Single+log&amp;log_id=031b84df-1693-4e88-b21f-6188e4a685ba","URL")</f>
        <v>URL</v>
      </c>
      <c r="N786" s="56" t="s">
        <v>3426</v>
      </c>
      <c r="O786" t="str">
        <f>_xlfn.XLOOKUP(N786,'Error-codes'!$C$2:$C$130,'Error-codes'!$B$2:$B$130, "None")</f>
        <v>low level fsm is no longer executing the given command</v>
      </c>
      <c r="U786" s="81">
        <f>DATEVALUE(LEFT(F786,10))</f>
        <v>44943</v>
      </c>
    </row>
    <row r="787" spans="1:21">
      <c r="A787" s="56" t="s">
        <v>3213</v>
      </c>
      <c r="B787" s="56" t="s">
        <v>3202</v>
      </c>
      <c r="C787" s="56" t="s">
        <v>3214</v>
      </c>
      <c r="D787" s="56" t="s">
        <v>37</v>
      </c>
      <c r="E787" s="56" t="s">
        <v>2939</v>
      </c>
      <c r="F787" s="56" t="s">
        <v>3215</v>
      </c>
      <c r="G787" s="56">
        <v>36</v>
      </c>
      <c r="H787" s="56">
        <v>16</v>
      </c>
      <c r="I787" s="58">
        <v>0.44444444444444442</v>
      </c>
      <c r="J787" s="56" t="s">
        <v>3216</v>
      </c>
      <c r="K787" s="56" t="s">
        <v>3207</v>
      </c>
      <c r="L787" s="56" t="s">
        <v>3208</v>
      </c>
      <c r="M787" s="56" t="str">
        <f>HYPERLINK("https://dribble.octin.io/?mode=Single+log&amp;log_id=7c928b85-585d-45c8-8c3a-b7b1b9a5fff7","URL")</f>
        <v>URL</v>
      </c>
      <c r="N787" s="56" t="s">
        <v>2933</v>
      </c>
      <c r="O787" t="str">
        <f>_xlfn.XLOOKUP(N787,'Error-codes'!$C$2:$C$130,'Error-codes'!$B$2:$B$130, "None")</f>
        <v>inductive sensor error</v>
      </c>
      <c r="U787" s="81">
        <f>DATEVALUE(LEFT(F787,10))</f>
        <v>44943</v>
      </c>
    </row>
    <row r="788" spans="1:21">
      <c r="A788" s="56" t="s">
        <v>3213</v>
      </c>
      <c r="B788" s="56" t="s">
        <v>3202</v>
      </c>
      <c r="C788" s="56" t="s">
        <v>3214</v>
      </c>
      <c r="D788" s="56" t="s">
        <v>37</v>
      </c>
      <c r="E788" s="56" t="s">
        <v>3242</v>
      </c>
      <c r="F788" s="56" t="s">
        <v>3215</v>
      </c>
      <c r="G788" s="56">
        <v>36</v>
      </c>
      <c r="H788" s="56">
        <v>17</v>
      </c>
      <c r="I788" s="58">
        <v>0.47222222222222221</v>
      </c>
      <c r="J788" s="56" t="s">
        <v>3212</v>
      </c>
      <c r="K788" s="56" t="s">
        <v>3207</v>
      </c>
      <c r="L788" s="56" t="s">
        <v>3208</v>
      </c>
      <c r="M788" s="56" t="str">
        <f>HYPERLINK("https://dribble.octin.io/?mode=Single+log&amp;log_id=7c928b85-585d-45c8-8c3a-b7b1b9a5fff7","URL")</f>
        <v>URL</v>
      </c>
      <c r="N788" s="56" t="s">
        <v>3468</v>
      </c>
      <c r="O788" t="str">
        <f>_xlfn.XLOOKUP(N788,'Error-codes'!$C$2:$C$130,'Error-codes'!$B$2:$B$130, "None")</f>
        <v>no vision heartbeat</v>
      </c>
      <c r="U788" s="81">
        <f>DATEVALUE(LEFT(F788,10))</f>
        <v>44943</v>
      </c>
    </row>
    <row r="789" spans="1:21">
      <c r="A789" s="56" t="s">
        <v>3209</v>
      </c>
      <c r="B789" s="56" t="s">
        <v>3202</v>
      </c>
      <c r="C789" s="56" t="s">
        <v>3210</v>
      </c>
      <c r="D789" s="56" t="s">
        <v>37</v>
      </c>
      <c r="E789" s="56" t="s">
        <v>3204</v>
      </c>
      <c r="F789" s="56" t="s">
        <v>3211</v>
      </c>
      <c r="G789" s="56">
        <v>20</v>
      </c>
      <c r="H789" s="56">
        <v>1</v>
      </c>
      <c r="I789" s="58">
        <v>0.05</v>
      </c>
      <c r="J789" s="56" t="s">
        <v>3212</v>
      </c>
      <c r="K789" s="56" t="s">
        <v>3207</v>
      </c>
      <c r="L789" s="56" t="s">
        <v>3208</v>
      </c>
      <c r="M789" s="56" t="str">
        <f>HYPERLINK("https://dribble.octin.io/?mode=Single+log&amp;log_id=a5d26f16-3728-45e9-bd55-edbef216b149","URL")</f>
        <v>URL</v>
      </c>
      <c r="N789" s="56" t="s">
        <v>2933</v>
      </c>
      <c r="O789" t="str">
        <f>_xlfn.XLOOKUP(N789,'Error-codes'!$C$2:$C$130,'Error-codes'!$B$2:$B$130, "None")</f>
        <v>inductive sensor error</v>
      </c>
      <c r="Q789" t="s">
        <v>5247</v>
      </c>
      <c r="U789" s="81">
        <f>DATEVALUE(LEFT(F789,10))</f>
        <v>44943</v>
      </c>
    </row>
    <row r="790" spans="1:21">
      <c r="A790" s="56" t="s">
        <v>3201</v>
      </c>
      <c r="B790" s="56" t="s">
        <v>3202</v>
      </c>
      <c r="C790" s="56" t="s">
        <v>3203</v>
      </c>
      <c r="D790" s="56" t="s">
        <v>37</v>
      </c>
      <c r="E790" s="56" t="s">
        <v>3204</v>
      </c>
      <c r="F790" s="56" t="s">
        <v>3205</v>
      </c>
      <c r="G790" s="56">
        <v>19</v>
      </c>
      <c r="H790" s="56">
        <v>18</v>
      </c>
      <c r="I790" s="58">
        <v>0.94736842105263153</v>
      </c>
      <c r="J790" s="56" t="s">
        <v>3206</v>
      </c>
      <c r="K790" s="56" t="s">
        <v>3207</v>
      </c>
      <c r="L790" s="56" t="s">
        <v>3208</v>
      </c>
      <c r="M790" s="56" t="str">
        <f>HYPERLINK("https://dribble.octin.io/?mode=Single+log&amp;log_id=40796cef-56c5-4e61-af49-ea8c52797cf4","URL")</f>
        <v>URL</v>
      </c>
      <c r="N790" s="56" t="s">
        <v>2933</v>
      </c>
      <c r="O790" t="str">
        <f>_xlfn.XLOOKUP(N790,'Error-codes'!$C$2:$C$130,'Error-codes'!$B$2:$B$130, "None")</f>
        <v>inductive sensor error</v>
      </c>
      <c r="Q790" t="s">
        <v>5248</v>
      </c>
      <c r="U790" s="81">
        <f>DATEVALUE(LEFT(F790,10))</f>
        <v>44943</v>
      </c>
    </row>
    <row r="791" spans="1:21">
      <c r="A791" s="56" t="s">
        <v>5249</v>
      </c>
      <c r="B791" s="56" t="s">
        <v>3202</v>
      </c>
      <c r="C791" s="56" t="s">
        <v>5250</v>
      </c>
      <c r="D791" s="56" t="s">
        <v>37</v>
      </c>
      <c r="E791" s="56" t="s">
        <v>5174</v>
      </c>
      <c r="F791" s="56" t="s">
        <v>5251</v>
      </c>
      <c r="G791" s="56">
        <v>36</v>
      </c>
      <c r="H791" s="56">
        <v>0</v>
      </c>
      <c r="I791" s="58">
        <v>0</v>
      </c>
      <c r="J791" s="56" t="s">
        <v>5252</v>
      </c>
      <c r="K791" s="56" t="s">
        <v>3207</v>
      </c>
      <c r="L791" s="56" t="s">
        <v>3302</v>
      </c>
      <c r="M791" s="56" t="str">
        <f>HYPERLINK("https://dribble.octin.io/?mode=Single+log&amp;log_id=c90b7a46-f89e-4887-854e-ac4a31d77a91","URL")</f>
        <v>URL</v>
      </c>
      <c r="N791" s="56" t="s">
        <v>3446</v>
      </c>
      <c r="O791" t="str">
        <f>_xlfn.XLOOKUP(N791,'Error-codes'!$C$2:$C$130,'Error-codes'!$B$2:$B$130, "None")</f>
        <v>end of lane wall sensor error</v>
      </c>
      <c r="U791" s="81">
        <f>DATEVALUE(LEFT(F791,10))</f>
        <v>44943</v>
      </c>
    </row>
    <row r="792" spans="1:21">
      <c r="B792" s="56" t="s">
        <v>3202</v>
      </c>
      <c r="C792" s="56" t="s">
        <v>5253</v>
      </c>
      <c r="D792" s="56" t="s">
        <v>22</v>
      </c>
      <c r="F792" s="56" t="s">
        <v>5254</v>
      </c>
      <c r="G792" s="56">
        <v>35</v>
      </c>
      <c r="H792" s="56">
        <v>4</v>
      </c>
      <c r="I792" s="58">
        <v>0.11428571428571428</v>
      </c>
      <c r="K792" s="56" t="s">
        <v>3207</v>
      </c>
      <c r="L792" s="56" t="s">
        <v>3302</v>
      </c>
      <c r="O792">
        <f>_xlfn.XLOOKUP(N792,'Error-codes'!$C$2:$C$130,'Error-codes'!$B$2:$B$130, "None")</f>
        <v>0</v>
      </c>
      <c r="U792" s="81">
        <f>DATEVALUE(LEFT(F792,10))</f>
        <v>44943</v>
      </c>
    </row>
    <row r="793" spans="1:21">
      <c r="B793" s="56" t="s">
        <v>3202</v>
      </c>
      <c r="C793" s="56" t="s">
        <v>5255</v>
      </c>
      <c r="D793" s="56" t="s">
        <v>388</v>
      </c>
      <c r="F793" s="56" t="s">
        <v>5256</v>
      </c>
      <c r="G793" s="56">
        <v>31</v>
      </c>
      <c r="H793" s="56">
        <v>31</v>
      </c>
      <c r="I793" s="58">
        <v>1</v>
      </c>
      <c r="K793" s="56" t="s">
        <v>3207</v>
      </c>
      <c r="L793" s="56" t="s">
        <v>3302</v>
      </c>
      <c r="O793">
        <f>_xlfn.XLOOKUP(N793,'Error-codes'!$C$2:$C$130,'Error-codes'!$B$2:$B$130, "None")</f>
        <v>0</v>
      </c>
      <c r="U793" s="81">
        <f>DATEVALUE(LEFT(F793,10))</f>
        <v>44943</v>
      </c>
    </row>
    <row r="794" spans="1:21">
      <c r="A794" s="56" t="s">
        <v>5257</v>
      </c>
      <c r="B794" s="56" t="s">
        <v>3202</v>
      </c>
      <c r="C794" s="56" t="s">
        <v>5258</v>
      </c>
      <c r="D794" s="56" t="s">
        <v>37</v>
      </c>
      <c r="E794" s="56" t="s">
        <v>2939</v>
      </c>
      <c r="F794" s="56" t="s">
        <v>5259</v>
      </c>
      <c r="G794" s="56">
        <v>34</v>
      </c>
      <c r="H794" s="56">
        <v>0</v>
      </c>
      <c r="I794" s="58">
        <v>0</v>
      </c>
      <c r="J794" s="56" t="s">
        <v>3315</v>
      </c>
      <c r="K794" s="56" t="s">
        <v>3207</v>
      </c>
      <c r="L794" s="56" t="s">
        <v>3237</v>
      </c>
      <c r="M794" s="56" t="str">
        <f>HYPERLINK("https://dribble.octin.io/?mode=Single+log&amp;log_id=ca93a594-e8aa-46f1-ba85-bcf831169888","URL")</f>
        <v>URL</v>
      </c>
      <c r="N794" s="56" t="s">
        <v>3446</v>
      </c>
      <c r="O794" t="str">
        <f>_xlfn.XLOOKUP(N794,'Error-codes'!$C$2:$C$130,'Error-codes'!$B$2:$B$130, "None")</f>
        <v>end of lane wall sensor error</v>
      </c>
      <c r="U794" s="81">
        <f>DATEVALUE(LEFT(F794,10))</f>
        <v>44944</v>
      </c>
    </row>
    <row r="795" spans="1:21">
      <c r="A795" s="56" t="s">
        <v>5260</v>
      </c>
      <c r="B795" s="56" t="s">
        <v>3202</v>
      </c>
      <c r="C795" s="56" t="s">
        <v>5258</v>
      </c>
      <c r="D795" s="56" t="s">
        <v>37</v>
      </c>
      <c r="E795" s="56" t="s">
        <v>5174</v>
      </c>
      <c r="F795" s="56" t="s">
        <v>5261</v>
      </c>
      <c r="G795" s="56">
        <v>34</v>
      </c>
      <c r="H795" s="56">
        <v>1</v>
      </c>
      <c r="I795" s="58">
        <v>2.9411764705882353E-2</v>
      </c>
      <c r="J795" s="56" t="s">
        <v>3315</v>
      </c>
      <c r="K795" s="56" t="s">
        <v>3207</v>
      </c>
      <c r="L795" s="56" t="s">
        <v>3237</v>
      </c>
      <c r="M795" s="56" t="str">
        <f>HYPERLINK("https://dribble.octin.io/?mode=Single+log&amp;log_id=8e77a674-292c-4ded-a489-880c90683c40","URL")</f>
        <v>URL</v>
      </c>
      <c r="N795" s="56" t="s">
        <v>3454</v>
      </c>
      <c r="O795" t="str">
        <f>_xlfn.XLOOKUP(N795,'Error-codes'!$C$2:$C$130,'Error-codes'!$B$2:$B$130, "None")</f>
        <v>Veh low level FSM: safety was triggered</v>
      </c>
      <c r="U795" s="81">
        <f>DATEVALUE(LEFT(F795,10))</f>
        <v>44944</v>
      </c>
    </row>
    <row r="796" spans="1:21">
      <c r="B796" s="56" t="s">
        <v>3202</v>
      </c>
      <c r="C796" s="56" t="s">
        <v>5262</v>
      </c>
      <c r="D796" s="56" t="s">
        <v>388</v>
      </c>
      <c r="F796" s="56" t="s">
        <v>5263</v>
      </c>
      <c r="G796" s="56">
        <v>36</v>
      </c>
      <c r="H796" s="56">
        <v>36</v>
      </c>
      <c r="I796" s="58">
        <v>1</v>
      </c>
      <c r="K796" s="56" t="s">
        <v>3207</v>
      </c>
      <c r="L796" s="56" t="s">
        <v>3302</v>
      </c>
      <c r="O796">
        <f>_xlfn.XLOOKUP(N796,'Error-codes'!$C$2:$C$130,'Error-codes'!$B$2:$B$130, "None")</f>
        <v>0</v>
      </c>
      <c r="U796" s="81">
        <f>DATEVALUE(LEFT(F796,10))</f>
        <v>44944</v>
      </c>
    </row>
    <row r="797" spans="1:21">
      <c r="B797" s="56" t="s">
        <v>3202</v>
      </c>
      <c r="C797" s="56" t="s">
        <v>5264</v>
      </c>
      <c r="D797" s="56" t="s">
        <v>22</v>
      </c>
      <c r="F797" s="56" t="s">
        <v>5265</v>
      </c>
      <c r="G797" s="56">
        <v>42</v>
      </c>
      <c r="H797" s="56">
        <v>0</v>
      </c>
      <c r="I797" s="58">
        <v>0</v>
      </c>
      <c r="K797" s="56" t="s">
        <v>3207</v>
      </c>
      <c r="L797" s="56" t="s">
        <v>3237</v>
      </c>
      <c r="O797">
        <f>_xlfn.XLOOKUP(N797,'Error-codes'!$C$2:$C$130,'Error-codes'!$B$2:$B$130, "None")</f>
        <v>0</v>
      </c>
      <c r="U797" s="81">
        <f>DATEVALUE(LEFT(F797,10))</f>
        <v>44945</v>
      </c>
    </row>
    <row r="798" spans="1:21">
      <c r="B798" s="56" t="s">
        <v>3202</v>
      </c>
      <c r="C798" s="56" t="s">
        <v>5266</v>
      </c>
      <c r="D798" s="56" t="s">
        <v>22</v>
      </c>
      <c r="F798" s="56" t="s">
        <v>5267</v>
      </c>
      <c r="G798" s="56">
        <v>41</v>
      </c>
      <c r="H798" s="56">
        <v>1</v>
      </c>
      <c r="I798" s="58">
        <v>2.4390243902439025E-2</v>
      </c>
      <c r="K798" s="56" t="s">
        <v>3207</v>
      </c>
      <c r="L798" s="56" t="s">
        <v>3237</v>
      </c>
      <c r="O798">
        <f>_xlfn.XLOOKUP(N798,'Error-codes'!$C$2:$C$130,'Error-codes'!$B$2:$B$130, "None")</f>
        <v>0</v>
      </c>
      <c r="U798" s="81">
        <f>DATEVALUE(LEFT(F798,10))</f>
        <v>44945</v>
      </c>
    </row>
    <row r="799" spans="1:21">
      <c r="B799" s="56" t="s">
        <v>3202</v>
      </c>
      <c r="C799" s="56" t="s">
        <v>5268</v>
      </c>
      <c r="D799" s="56" t="s">
        <v>22</v>
      </c>
      <c r="F799" s="56" t="s">
        <v>5269</v>
      </c>
      <c r="G799" s="56">
        <v>34</v>
      </c>
      <c r="H799" s="56">
        <v>0</v>
      </c>
      <c r="I799" s="58">
        <v>0</v>
      </c>
      <c r="K799" s="56" t="s">
        <v>3207</v>
      </c>
      <c r="L799" s="56" t="s">
        <v>3237</v>
      </c>
      <c r="O799">
        <f>_xlfn.XLOOKUP(N799,'Error-codes'!$C$2:$C$130,'Error-codes'!$B$2:$B$130, "None")</f>
        <v>0</v>
      </c>
      <c r="U799" s="81">
        <f>DATEVALUE(LEFT(F799,10))</f>
        <v>44945</v>
      </c>
    </row>
    <row r="800" spans="1:21">
      <c r="A800" s="56"/>
      <c r="B800" s="56" t="s">
        <v>3202</v>
      </c>
      <c r="C800" s="56" t="s">
        <v>3217</v>
      </c>
      <c r="D800" s="56" t="s">
        <v>22</v>
      </c>
      <c r="E800" s="56" t="s">
        <v>2939</v>
      </c>
      <c r="F800" s="56" t="s">
        <v>3218</v>
      </c>
      <c r="G800" s="56">
        <v>31</v>
      </c>
      <c r="H800" s="56">
        <v>0</v>
      </c>
      <c r="I800" s="58">
        <v>0</v>
      </c>
      <c r="J800" s="56" t="s">
        <v>3219</v>
      </c>
      <c r="K800" s="56" t="s">
        <v>3207</v>
      </c>
      <c r="L800" s="56" t="s">
        <v>3208</v>
      </c>
      <c r="N800" s="56" t="s">
        <v>2933</v>
      </c>
      <c r="O800" t="str">
        <f>_xlfn.XLOOKUP(N800,'Error-codes'!$C$2:$C$130,'Error-codes'!$B$2:$B$130, "None")</f>
        <v>inductive sensor error</v>
      </c>
      <c r="U800" s="81">
        <f>DATEVALUE(LEFT(F800,10))</f>
        <v>44945</v>
      </c>
    </row>
    <row r="801" spans="1:21">
      <c r="B801" s="56" t="s">
        <v>3202</v>
      </c>
      <c r="C801" s="56" t="s">
        <v>5270</v>
      </c>
      <c r="D801" s="56" t="s">
        <v>388</v>
      </c>
      <c r="F801" s="56" t="s">
        <v>5271</v>
      </c>
      <c r="G801" s="56">
        <v>5</v>
      </c>
      <c r="H801" s="56">
        <v>5</v>
      </c>
      <c r="I801" s="58">
        <v>1</v>
      </c>
      <c r="K801" s="56" t="s">
        <v>3207</v>
      </c>
      <c r="L801" s="56" t="s">
        <v>3208</v>
      </c>
      <c r="O801">
        <f>_xlfn.XLOOKUP(N801,'Error-codes'!$C$2:$C$130,'Error-codes'!$B$2:$B$130, "None")</f>
        <v>0</v>
      </c>
      <c r="U801" s="81">
        <f>DATEVALUE(LEFT(F801,10))</f>
        <v>44946</v>
      </c>
    </row>
    <row r="802" spans="1:21">
      <c r="B802" s="56" t="s">
        <v>3202</v>
      </c>
      <c r="C802" s="56" t="s">
        <v>5272</v>
      </c>
      <c r="D802" s="56" t="s">
        <v>388</v>
      </c>
      <c r="F802" s="56" t="s">
        <v>5273</v>
      </c>
      <c r="G802" s="56">
        <v>1</v>
      </c>
      <c r="H802" s="56">
        <v>1</v>
      </c>
      <c r="I802" s="58">
        <v>1</v>
      </c>
      <c r="K802" s="56" t="s">
        <v>3207</v>
      </c>
      <c r="L802" s="56" t="s">
        <v>3208</v>
      </c>
      <c r="O802">
        <f>_xlfn.XLOOKUP(N802,'Error-codes'!$C$2:$C$130,'Error-codes'!$B$2:$B$130, "None")</f>
        <v>0</v>
      </c>
      <c r="U802" s="81">
        <f>DATEVALUE(LEFT(F802,10))</f>
        <v>44946</v>
      </c>
    </row>
    <row r="803" spans="1:21">
      <c r="A803" s="56" t="s">
        <v>3230</v>
      </c>
      <c r="B803" s="56" t="s">
        <v>3202</v>
      </c>
      <c r="C803" s="56" t="s">
        <v>3231</v>
      </c>
      <c r="D803" s="56" t="s">
        <v>37</v>
      </c>
      <c r="E803" s="56" t="s">
        <v>2939</v>
      </c>
      <c r="F803" s="56" t="s">
        <v>3232</v>
      </c>
      <c r="G803" s="56">
        <v>45</v>
      </c>
      <c r="H803" s="56">
        <v>1</v>
      </c>
      <c r="I803" s="58">
        <v>2.2222222222222223E-2</v>
      </c>
      <c r="J803" s="56" t="s">
        <v>3233</v>
      </c>
      <c r="K803" s="56" t="s">
        <v>3207</v>
      </c>
      <c r="L803" s="56" t="s">
        <v>3208</v>
      </c>
      <c r="M803" s="56" t="str">
        <f>HYPERLINK("https://dribble.octin.io/?mode=Single+log&amp;log_id=c390a24e-cbee-406e-a498-c0c72a2e1744","URL")</f>
        <v>URL</v>
      </c>
      <c r="N803" s="56" t="s">
        <v>2933</v>
      </c>
      <c r="O803" t="str">
        <f>_xlfn.XLOOKUP(N803,'Error-codes'!$C$2:$C$130,'Error-codes'!$B$2:$B$130, "None")</f>
        <v>inductive sensor error</v>
      </c>
      <c r="U803" s="81">
        <f>DATEVALUE(LEFT(F803,10))</f>
        <v>44946</v>
      </c>
    </row>
    <row r="804" spans="1:21">
      <c r="A804" s="56" t="s">
        <v>5274</v>
      </c>
      <c r="B804" s="56" t="s">
        <v>3202</v>
      </c>
      <c r="C804" s="56" t="s">
        <v>3231</v>
      </c>
      <c r="D804" s="56" t="s">
        <v>37</v>
      </c>
      <c r="E804" s="56" t="s">
        <v>2939</v>
      </c>
      <c r="F804" s="56" t="s">
        <v>5275</v>
      </c>
      <c r="G804" s="56">
        <v>45</v>
      </c>
      <c r="H804" s="56">
        <v>7</v>
      </c>
      <c r="I804" s="58">
        <v>0.15555555555555556</v>
      </c>
      <c r="J804" s="56" t="s">
        <v>3335</v>
      </c>
      <c r="K804" s="56" t="s">
        <v>3207</v>
      </c>
      <c r="L804" s="56" t="s">
        <v>3208</v>
      </c>
      <c r="M804" s="56" t="str">
        <f>HYPERLINK("https://dribble.octin.io/?mode=Single+log&amp;log_id=9a3a6e85-dc8a-4dd2-b408-f657aed03e27","URL")</f>
        <v>URL</v>
      </c>
      <c r="N804" s="56" t="s">
        <v>3458</v>
      </c>
      <c r="O804" t="str">
        <f>_xlfn.XLOOKUP(N804,'Error-codes'!$C$2:$C$130,'Error-codes'!$B$2:$B$130, "None")</f>
        <v>motor drive: UNDER VOLTAGE</v>
      </c>
      <c r="U804" s="81">
        <f>DATEVALUE(LEFT(F804,10))</f>
        <v>44946</v>
      </c>
    </row>
    <row r="805" spans="1:21">
      <c r="A805" s="56" t="s">
        <v>5276</v>
      </c>
      <c r="B805" s="56" t="s">
        <v>3202</v>
      </c>
      <c r="C805" s="56" t="s">
        <v>3231</v>
      </c>
      <c r="D805" s="56" t="s">
        <v>37</v>
      </c>
      <c r="E805" s="56" t="s">
        <v>2939</v>
      </c>
      <c r="F805" s="56" t="s">
        <v>5277</v>
      </c>
      <c r="G805" s="56">
        <v>45</v>
      </c>
      <c r="H805" s="56">
        <v>9</v>
      </c>
      <c r="I805" s="58">
        <v>0.2</v>
      </c>
      <c r="J805" s="56" t="s">
        <v>3338</v>
      </c>
      <c r="K805" s="56" t="s">
        <v>3207</v>
      </c>
      <c r="L805" s="56" t="s">
        <v>3208</v>
      </c>
      <c r="M805" s="56" t="str">
        <f>HYPERLINK("https://dribble.octin.io/?mode=Single+log&amp;log_id=9986941a-4792-456e-90d2-657f0b37822c","URL")</f>
        <v>URL</v>
      </c>
      <c r="N805" s="56" t="s">
        <v>3454</v>
      </c>
      <c r="O805" t="str">
        <f>_xlfn.XLOOKUP(N805,'Error-codes'!$C$2:$C$130,'Error-codes'!$B$2:$B$130, "None")</f>
        <v>Veh low level FSM: safety was triggered</v>
      </c>
      <c r="U805" s="81">
        <f>DATEVALUE(LEFT(F805,10))</f>
        <v>44946</v>
      </c>
    </row>
    <row r="806" spans="1:21">
      <c r="A806" s="56" t="s">
        <v>5278</v>
      </c>
      <c r="B806" s="56" t="s">
        <v>3202</v>
      </c>
      <c r="C806" s="56" t="s">
        <v>3231</v>
      </c>
      <c r="D806" s="56" t="s">
        <v>37</v>
      </c>
      <c r="E806" s="56" t="s">
        <v>3253</v>
      </c>
      <c r="F806" s="56" t="s">
        <v>5279</v>
      </c>
      <c r="G806" s="56">
        <v>45</v>
      </c>
      <c r="H806" s="56">
        <v>15</v>
      </c>
      <c r="I806" s="58">
        <v>0.33333333333333331</v>
      </c>
      <c r="J806" s="56" t="s">
        <v>5280</v>
      </c>
      <c r="K806" s="56" t="s">
        <v>3207</v>
      </c>
      <c r="L806" s="56" t="s">
        <v>3208</v>
      </c>
      <c r="M806" s="56" t="str">
        <f>HYPERLINK("https://dribble.octin.io/?mode=Single+log&amp;log_id=d02717f1-ada7-4a60-98f4-178761cc21f9","URL")</f>
        <v>URL</v>
      </c>
      <c r="N806" s="56" t="s">
        <v>3454</v>
      </c>
      <c r="O806" t="str">
        <f>_xlfn.XLOOKUP(N806,'Error-codes'!$C$2:$C$130,'Error-codes'!$B$2:$B$130, "None")</f>
        <v>Veh low level FSM: safety was triggered</v>
      </c>
      <c r="U806" s="81">
        <f>DATEVALUE(LEFT(F806,10))</f>
        <v>44946</v>
      </c>
    </row>
    <row r="807" spans="1:21">
      <c r="A807" s="56" t="s">
        <v>3227</v>
      </c>
      <c r="B807" s="56" t="s">
        <v>3202</v>
      </c>
      <c r="C807" s="56" t="s">
        <v>3221</v>
      </c>
      <c r="D807" s="56" t="s">
        <v>388</v>
      </c>
      <c r="E807" s="56" t="s">
        <v>2939</v>
      </c>
      <c r="F807" s="56" t="s">
        <v>3228</v>
      </c>
      <c r="G807" s="56">
        <v>30</v>
      </c>
      <c r="H807" s="56">
        <v>0</v>
      </c>
      <c r="I807" s="58">
        <v>0</v>
      </c>
      <c r="J807" s="56" t="s">
        <v>3229</v>
      </c>
      <c r="K807" s="56" t="s">
        <v>3207</v>
      </c>
      <c r="L807" s="56" t="s">
        <v>3208</v>
      </c>
      <c r="M807" s="56" t="str">
        <f>HYPERLINK("https://dribble.octin.io/?mode=Single+log&amp;log_id=fb5b85e9-fe60-4ef1-9678-c2cab37b38f4","URL")</f>
        <v>URL</v>
      </c>
      <c r="N807" s="56" t="s">
        <v>2933</v>
      </c>
      <c r="O807" t="str">
        <f>_xlfn.XLOOKUP(N807,'Error-codes'!$C$2:$C$130,'Error-codes'!$B$2:$B$130, "None")</f>
        <v>inductive sensor error</v>
      </c>
      <c r="U807" s="81">
        <f>DATEVALUE(LEFT(F807,10))</f>
        <v>44946</v>
      </c>
    </row>
    <row r="808" spans="1:21">
      <c r="A808" s="56" t="s">
        <v>3224</v>
      </c>
      <c r="B808" s="56" t="s">
        <v>3202</v>
      </c>
      <c r="C808" s="56" t="s">
        <v>3221</v>
      </c>
      <c r="D808" s="56" t="s">
        <v>388</v>
      </c>
      <c r="E808" s="56" t="s">
        <v>2939</v>
      </c>
      <c r="F808" s="56" t="s">
        <v>3225</v>
      </c>
      <c r="G808" s="56">
        <v>30</v>
      </c>
      <c r="H808" s="56">
        <v>1</v>
      </c>
      <c r="I808" s="58">
        <v>3.3333333333333333E-2</v>
      </c>
      <c r="J808" s="56" t="s">
        <v>3226</v>
      </c>
      <c r="K808" s="56" t="s">
        <v>3207</v>
      </c>
      <c r="L808" s="56" t="s">
        <v>3208</v>
      </c>
      <c r="M808" s="56" t="str">
        <f>HYPERLINK("https://dribble.octin.io/?mode=Single+log&amp;log_id=9a764e26-b9d5-411f-bfc8-1c401de15424","URL")</f>
        <v>URL</v>
      </c>
      <c r="N808" s="56" t="s">
        <v>2933</v>
      </c>
      <c r="O808" t="str">
        <f>_xlfn.XLOOKUP(N808,'Error-codes'!$C$2:$C$130,'Error-codes'!$B$2:$B$130, "None")</f>
        <v>inductive sensor error</v>
      </c>
      <c r="U808" s="81">
        <f>DATEVALUE(LEFT(F808,10))</f>
        <v>44946</v>
      </c>
    </row>
    <row r="809" spans="1:21">
      <c r="A809" s="56" t="s">
        <v>3220</v>
      </c>
      <c r="B809" s="56" t="s">
        <v>3202</v>
      </c>
      <c r="C809" s="56" t="s">
        <v>3221</v>
      </c>
      <c r="D809" s="56" t="s">
        <v>388</v>
      </c>
      <c r="E809" s="56" t="s">
        <v>2939</v>
      </c>
      <c r="F809" s="56" t="s">
        <v>3222</v>
      </c>
      <c r="G809" s="56">
        <v>30</v>
      </c>
      <c r="H809" s="56">
        <v>7</v>
      </c>
      <c r="I809" s="58">
        <v>0.23333333333333334</v>
      </c>
      <c r="J809" s="56" t="s">
        <v>3223</v>
      </c>
      <c r="K809" s="56" t="s">
        <v>3207</v>
      </c>
      <c r="L809" s="56" t="s">
        <v>3208</v>
      </c>
      <c r="M809" s="56" t="str">
        <f>HYPERLINK("https://dribble.octin.io/?mode=Single+log&amp;log_id=40a259b8-c4d7-4826-aef7-226c8578c41a","URL")</f>
        <v>URL</v>
      </c>
      <c r="N809" s="56" t="s">
        <v>2933</v>
      </c>
      <c r="O809" t="str">
        <f>_xlfn.XLOOKUP(N809,'Error-codes'!$C$2:$C$130,'Error-codes'!$B$2:$B$130, "None")</f>
        <v>inductive sensor error</v>
      </c>
      <c r="U809" s="81">
        <f>DATEVALUE(LEFT(F809,10))</f>
        <v>44946</v>
      </c>
    </row>
    <row r="810" spans="1:21">
      <c r="B810" s="56" t="s">
        <v>3202</v>
      </c>
      <c r="C810" s="56" t="s">
        <v>3221</v>
      </c>
      <c r="D810" s="56" t="s">
        <v>388</v>
      </c>
      <c r="F810" s="56" t="s">
        <v>5281</v>
      </c>
      <c r="G810" s="56">
        <v>30</v>
      </c>
      <c r="H810" s="56">
        <v>27</v>
      </c>
      <c r="I810" s="58">
        <v>0.9</v>
      </c>
      <c r="K810" s="56" t="s">
        <v>3207</v>
      </c>
      <c r="L810" s="56" t="s">
        <v>3208</v>
      </c>
      <c r="O810">
        <f>_xlfn.XLOOKUP(N810,'Error-codes'!$C$2:$C$130,'Error-codes'!$B$2:$B$130, "None")</f>
        <v>0</v>
      </c>
      <c r="U810" s="81">
        <f>DATEVALUE(LEFT(F810,10))</f>
        <v>44946</v>
      </c>
    </row>
    <row r="811" spans="1:21">
      <c r="A811" s="56" t="s">
        <v>5282</v>
      </c>
      <c r="B811" s="56" t="s">
        <v>3293</v>
      </c>
      <c r="C811" s="56" t="s">
        <v>5283</v>
      </c>
      <c r="D811" s="56" t="s">
        <v>37</v>
      </c>
      <c r="E811" s="56" t="s">
        <v>2939</v>
      </c>
      <c r="F811" s="56" t="s">
        <v>5284</v>
      </c>
      <c r="G811" s="56">
        <v>5</v>
      </c>
      <c r="H811" s="56">
        <v>0</v>
      </c>
      <c r="I811" s="58">
        <v>0</v>
      </c>
      <c r="J811" s="56" t="s">
        <v>5285</v>
      </c>
      <c r="K811" s="56" t="s">
        <v>3207</v>
      </c>
      <c r="L811" s="56" t="s">
        <v>5286</v>
      </c>
      <c r="M811" s="56" t="str">
        <f>HYPERLINK("https://dribble.octin.io/?mode=Single+log&amp;log_id=86c68be2-76ae-4d83-93e3-0dc548f698a4","URL")</f>
        <v>URL</v>
      </c>
      <c r="N811" s="56" t="s">
        <v>3470</v>
      </c>
      <c r="O811" t="str">
        <f>_xlfn.XLOOKUP(N811,'Error-codes'!$C$2:$C$130,'Error-codes'!$B$2:$B$130, "None")</f>
        <v>battery level critical low</v>
      </c>
      <c r="U811" s="81">
        <f>DATEVALUE(LEFT(F811,10))</f>
        <v>44949</v>
      </c>
    </row>
    <row r="812" spans="1:21">
      <c r="A812" s="56" t="s">
        <v>5287</v>
      </c>
      <c r="B812" s="56" t="s">
        <v>3293</v>
      </c>
      <c r="C812" s="56" t="s">
        <v>5283</v>
      </c>
      <c r="D812" s="56" t="s">
        <v>37</v>
      </c>
      <c r="E812" s="56" t="s">
        <v>2939</v>
      </c>
      <c r="F812" s="56" t="s">
        <v>5288</v>
      </c>
      <c r="G812" s="56">
        <v>5</v>
      </c>
      <c r="H812" s="56">
        <v>1</v>
      </c>
      <c r="I812" s="58">
        <v>0.2</v>
      </c>
      <c r="J812" s="56" t="s">
        <v>5285</v>
      </c>
      <c r="K812" s="56" t="s">
        <v>3207</v>
      </c>
      <c r="L812" s="56" t="s">
        <v>5286</v>
      </c>
      <c r="M812" s="56" t="str">
        <f>HYPERLINK("https://dribble.octin.io/?mode=Single+log&amp;log_id=ee4615c9-0cb4-492d-8ef5-dcc82f2ae24e","URL")</f>
        <v>URL</v>
      </c>
      <c r="N812" s="56" t="s">
        <v>3470</v>
      </c>
      <c r="O812" t="str">
        <f>_xlfn.XLOOKUP(N812,'Error-codes'!$C$2:$C$130,'Error-codes'!$B$2:$B$130, "None")</f>
        <v>battery level critical low</v>
      </c>
      <c r="U812" s="81">
        <f>DATEVALUE(LEFT(F812,10))</f>
        <v>44949</v>
      </c>
    </row>
    <row r="813" spans="1:21">
      <c r="A813" s="56" t="s">
        <v>5289</v>
      </c>
      <c r="B813" s="56" t="s">
        <v>3293</v>
      </c>
      <c r="C813" s="56" t="s">
        <v>5283</v>
      </c>
      <c r="D813" s="56" t="s">
        <v>37</v>
      </c>
      <c r="E813" s="56" t="s">
        <v>2939</v>
      </c>
      <c r="F813" s="56" t="s">
        <v>5290</v>
      </c>
      <c r="G813" s="56">
        <v>5</v>
      </c>
      <c r="H813" s="56">
        <v>2</v>
      </c>
      <c r="I813" s="58">
        <v>0.4</v>
      </c>
      <c r="J813" s="56" t="s">
        <v>5285</v>
      </c>
      <c r="K813" s="56" t="s">
        <v>3207</v>
      </c>
      <c r="L813" s="56" t="s">
        <v>5286</v>
      </c>
      <c r="M813" s="56" t="str">
        <f>HYPERLINK("https://dribble.octin.io/?mode=Single+log&amp;log_id=416c6aa3-f3ee-488d-94ba-07a5b0f673e1","URL")</f>
        <v>URL</v>
      </c>
      <c r="N813" s="56" t="s">
        <v>3470</v>
      </c>
      <c r="O813" t="str">
        <f>_xlfn.XLOOKUP(N813,'Error-codes'!$C$2:$C$130,'Error-codes'!$B$2:$B$130, "None")</f>
        <v>battery level critical low</v>
      </c>
      <c r="U813" s="81">
        <f>DATEVALUE(LEFT(F813,10))</f>
        <v>44949</v>
      </c>
    </row>
    <row r="814" spans="1:21">
      <c r="A814" s="56" t="s">
        <v>5291</v>
      </c>
      <c r="B814" s="56" t="s">
        <v>3293</v>
      </c>
      <c r="C814" s="56" t="s">
        <v>5283</v>
      </c>
      <c r="D814" s="56" t="s">
        <v>37</v>
      </c>
      <c r="E814" s="56" t="s">
        <v>2939</v>
      </c>
      <c r="F814" s="56" t="s">
        <v>5292</v>
      </c>
      <c r="G814" s="56">
        <v>5</v>
      </c>
      <c r="H814" s="56">
        <v>3</v>
      </c>
      <c r="I814" s="58">
        <v>0.6</v>
      </c>
      <c r="J814" s="56" t="s">
        <v>5285</v>
      </c>
      <c r="K814" s="56" t="s">
        <v>3207</v>
      </c>
      <c r="L814" s="56" t="s">
        <v>5286</v>
      </c>
      <c r="M814" s="56" t="str">
        <f>HYPERLINK("https://dribble.octin.io/?mode=Single+log&amp;log_id=a6a520b1-ec2c-4faf-bbd7-bad2ba048754","URL")</f>
        <v>URL</v>
      </c>
      <c r="N814" s="56" t="s">
        <v>3470</v>
      </c>
      <c r="O814" t="str">
        <f>_xlfn.XLOOKUP(N814,'Error-codes'!$C$2:$C$130,'Error-codes'!$B$2:$B$130, "None")</f>
        <v>battery level critical low</v>
      </c>
      <c r="U814" s="81">
        <f>DATEVALUE(LEFT(F814,10))</f>
        <v>44949</v>
      </c>
    </row>
    <row r="815" spans="1:21">
      <c r="A815" s="56" t="s">
        <v>5293</v>
      </c>
      <c r="B815" s="56" t="s">
        <v>3293</v>
      </c>
      <c r="C815" s="56" t="s">
        <v>5283</v>
      </c>
      <c r="D815" s="56" t="s">
        <v>37</v>
      </c>
      <c r="E815" s="56" t="s">
        <v>3242</v>
      </c>
      <c r="F815" s="56" t="s">
        <v>5294</v>
      </c>
      <c r="G815" s="56">
        <v>5</v>
      </c>
      <c r="H815" s="56">
        <v>4</v>
      </c>
      <c r="I815" s="58">
        <v>0.8</v>
      </c>
      <c r="J815" s="56" t="s">
        <v>5285</v>
      </c>
      <c r="K815" s="56" t="s">
        <v>3207</v>
      </c>
      <c r="L815" s="56" t="s">
        <v>5286</v>
      </c>
      <c r="M815" s="56" t="str">
        <f>HYPERLINK("https://dribble.octin.io/?mode=Single+log&amp;log_id=662f3610-2d9e-4807-8928-8f63da4b0dab","URL")</f>
        <v>URL</v>
      </c>
      <c r="N815" s="56" t="s">
        <v>3470</v>
      </c>
      <c r="O815" t="str">
        <f>_xlfn.XLOOKUP(N815,'Error-codes'!$C$2:$C$130,'Error-codes'!$B$2:$B$130, "None")</f>
        <v>battery level critical low</v>
      </c>
      <c r="U815" s="81">
        <f>DATEVALUE(LEFT(F815,10))</f>
        <v>44949</v>
      </c>
    </row>
    <row r="816" spans="1:21">
      <c r="B816" s="56" t="s">
        <v>3293</v>
      </c>
      <c r="C816" s="56" t="s">
        <v>5295</v>
      </c>
      <c r="D816" s="56" t="s">
        <v>388</v>
      </c>
      <c r="F816" s="56" t="s">
        <v>5296</v>
      </c>
      <c r="G816" s="56">
        <v>2</v>
      </c>
      <c r="H816" s="56">
        <v>2</v>
      </c>
      <c r="I816" s="58">
        <v>1</v>
      </c>
      <c r="K816" s="56" t="s">
        <v>3207</v>
      </c>
      <c r="L816" s="56" t="s">
        <v>5286</v>
      </c>
      <c r="O816">
        <f>_xlfn.XLOOKUP(N816,'Error-codes'!$C$2:$C$130,'Error-codes'!$B$2:$B$130, "None")</f>
        <v>0</v>
      </c>
      <c r="U816" s="81">
        <f>DATEVALUE(LEFT(F816,10))</f>
        <v>44949</v>
      </c>
    </row>
    <row r="817" spans="1:21">
      <c r="A817" s="56" t="s">
        <v>3234</v>
      </c>
      <c r="B817" s="56" t="s">
        <v>3202</v>
      </c>
      <c r="C817" s="56" t="s">
        <v>3235</v>
      </c>
      <c r="D817" s="56" t="s">
        <v>37</v>
      </c>
      <c r="E817" s="56" t="s">
        <v>2939</v>
      </c>
      <c r="F817" s="56" t="s">
        <v>3236</v>
      </c>
      <c r="G817" s="56">
        <v>43</v>
      </c>
      <c r="H817" s="56">
        <v>1</v>
      </c>
      <c r="I817" s="58">
        <v>2.3255813953488372E-2</v>
      </c>
      <c r="J817" s="56" t="s">
        <v>3229</v>
      </c>
      <c r="K817" s="56" t="s">
        <v>3207</v>
      </c>
      <c r="L817" s="56" t="s">
        <v>3237</v>
      </c>
      <c r="M817" s="56" t="str">
        <f>HYPERLINK("https://dribble.octin.io/?mode=Single+log&amp;log_id=707ec81e-8eff-4298-ab81-4255903b70de","URL")</f>
        <v>URL</v>
      </c>
      <c r="N817" s="56" t="s">
        <v>2933</v>
      </c>
      <c r="O817" t="str">
        <f>_xlfn.XLOOKUP(N817,'Error-codes'!$C$2:$C$130,'Error-codes'!$B$2:$B$130, "None")</f>
        <v>inductive sensor error</v>
      </c>
      <c r="U817" s="81">
        <f>DATEVALUE(LEFT(F817,10))</f>
        <v>44949</v>
      </c>
    </row>
    <row r="818" spans="1:21">
      <c r="A818" s="56" t="s">
        <v>5297</v>
      </c>
      <c r="B818" s="56" t="s">
        <v>3202</v>
      </c>
      <c r="C818" s="56" t="s">
        <v>3235</v>
      </c>
      <c r="D818" s="56" t="s">
        <v>37</v>
      </c>
      <c r="E818" s="56" t="s">
        <v>2939</v>
      </c>
      <c r="F818" s="56" t="s">
        <v>5298</v>
      </c>
      <c r="G818" s="56">
        <v>43</v>
      </c>
      <c r="H818" s="56">
        <v>2</v>
      </c>
      <c r="I818" s="58">
        <v>4.6511627906976744E-2</v>
      </c>
      <c r="J818" s="56" t="s">
        <v>3226</v>
      </c>
      <c r="K818" s="56" t="s">
        <v>3207</v>
      </c>
      <c r="L818" s="56" t="s">
        <v>3237</v>
      </c>
      <c r="M818" s="56" t="str">
        <f>HYPERLINK("https://dribble.octin.io/?mode=Single+log&amp;log_id=c642772e-9290-4fb8-be5a-a5444b2d5b40","URL")</f>
        <v>URL</v>
      </c>
      <c r="N818" s="56" t="s">
        <v>3458</v>
      </c>
      <c r="O818" t="str">
        <f>_xlfn.XLOOKUP(N818,'Error-codes'!$C$2:$C$130,'Error-codes'!$B$2:$B$130, "None")</f>
        <v>motor drive: UNDER VOLTAGE</v>
      </c>
      <c r="U818" s="81">
        <f>DATEVALUE(LEFT(F818,10))</f>
        <v>44949</v>
      </c>
    </row>
    <row r="819" spans="1:21">
      <c r="A819" s="56" t="s">
        <v>5299</v>
      </c>
      <c r="B819" s="56" t="s">
        <v>3202</v>
      </c>
      <c r="C819" s="56" t="s">
        <v>3235</v>
      </c>
      <c r="D819" s="56" t="s">
        <v>37</v>
      </c>
      <c r="E819" s="56" t="s">
        <v>2939</v>
      </c>
      <c r="F819" s="56" t="s">
        <v>5300</v>
      </c>
      <c r="G819" s="56">
        <v>43</v>
      </c>
      <c r="H819" s="56">
        <v>4</v>
      </c>
      <c r="I819" s="58">
        <v>9.3023255813953487E-2</v>
      </c>
      <c r="J819" s="56" t="s">
        <v>3353</v>
      </c>
      <c r="K819" s="56" t="s">
        <v>3207</v>
      </c>
      <c r="L819" s="56" t="s">
        <v>3237</v>
      </c>
      <c r="M819" s="56" t="str">
        <f>HYPERLINK("https://dribble.octin.io/?mode=Single+log&amp;log_id=3ab82702-50c6-47a0-8622-40f2b5d61e9f","URL")</f>
        <v>URL</v>
      </c>
      <c r="N819" s="56" t="s">
        <v>3454</v>
      </c>
      <c r="O819" t="str">
        <f>_xlfn.XLOOKUP(N819,'Error-codes'!$C$2:$C$130,'Error-codes'!$B$2:$B$130, "None")</f>
        <v>Veh low level FSM: safety was triggered</v>
      </c>
      <c r="U819" s="81">
        <f>DATEVALUE(LEFT(F819,10))</f>
        <v>44949</v>
      </c>
    </row>
    <row r="820" spans="1:21">
      <c r="A820" s="56" t="s">
        <v>5301</v>
      </c>
      <c r="B820" s="56" t="s">
        <v>3202</v>
      </c>
      <c r="C820" s="56" t="s">
        <v>3235</v>
      </c>
      <c r="D820" s="56" t="s">
        <v>37</v>
      </c>
      <c r="E820" s="56" t="s">
        <v>2939</v>
      </c>
      <c r="F820" s="56" t="s">
        <v>5302</v>
      </c>
      <c r="G820" s="56">
        <v>43</v>
      </c>
      <c r="H820" s="56">
        <v>7</v>
      </c>
      <c r="I820" s="58">
        <v>0.16279069767441862</v>
      </c>
      <c r="J820" s="56" t="s">
        <v>5303</v>
      </c>
      <c r="K820" s="56" t="s">
        <v>3207</v>
      </c>
      <c r="L820" s="56" t="s">
        <v>3237</v>
      </c>
      <c r="M820" s="56" t="str">
        <f>HYPERLINK("https://dribble.octin.io/?mode=Single+log&amp;log_id=19a9ee35-b19c-4097-837e-33664f471886","URL")</f>
        <v>URL</v>
      </c>
      <c r="N820" s="56" t="s">
        <v>3472</v>
      </c>
      <c r="O820" t="str">
        <f>_xlfn.XLOOKUP(N820,'Error-codes'!$C$2:$C$130,'Error-codes'!$B$2:$B$130, "None")</f>
        <v>Excessive slip detected</v>
      </c>
      <c r="U820" s="81">
        <f>DATEVALUE(LEFT(F820,10))</f>
        <v>44949</v>
      </c>
    </row>
    <row r="821" spans="1:21">
      <c r="A821" s="56" t="s">
        <v>5304</v>
      </c>
      <c r="B821" s="56" t="s">
        <v>3202</v>
      </c>
      <c r="C821" s="56" t="s">
        <v>3235</v>
      </c>
      <c r="D821" s="56" t="s">
        <v>37</v>
      </c>
      <c r="E821" s="56" t="s">
        <v>3242</v>
      </c>
      <c r="F821" s="56" t="s">
        <v>5305</v>
      </c>
      <c r="G821" s="56">
        <v>43</v>
      </c>
      <c r="H821" s="56">
        <v>8</v>
      </c>
      <c r="I821" s="58">
        <v>0.18604651162790697</v>
      </c>
      <c r="J821" s="56" t="s">
        <v>3223</v>
      </c>
      <c r="K821" s="56" t="s">
        <v>3207</v>
      </c>
      <c r="L821" s="56" t="s">
        <v>3237</v>
      </c>
      <c r="M821" s="56" t="str">
        <f>HYPERLINK("https://dribble.octin.io/?mode=Single+log&amp;log_id=2ebdecb1-a0c0-4493-9671-2be2a6f6ca0b","URL")</f>
        <v>URL</v>
      </c>
      <c r="N821" s="56" t="s">
        <v>3460</v>
      </c>
      <c r="O821" t="str">
        <f>_xlfn.XLOOKUP(N821,'Error-codes'!$C$2:$C$130,'Error-codes'!$B$2:$B$130, "None")</f>
        <v>motor drive: DRV8353 FAULT</v>
      </c>
      <c r="U821" s="81">
        <f>DATEVALUE(LEFT(F821,10))</f>
        <v>44949</v>
      </c>
    </row>
    <row r="822" spans="1:21">
      <c r="A822" s="56" t="s">
        <v>5306</v>
      </c>
      <c r="B822" s="56" t="s">
        <v>3202</v>
      </c>
      <c r="C822" s="56" t="s">
        <v>5307</v>
      </c>
      <c r="D822" s="56" t="s">
        <v>37</v>
      </c>
      <c r="E822" s="56" t="s">
        <v>4222</v>
      </c>
      <c r="F822" s="56" t="s">
        <v>5308</v>
      </c>
      <c r="G822" s="56">
        <v>37</v>
      </c>
      <c r="H822" s="56">
        <v>2</v>
      </c>
      <c r="I822" s="58">
        <v>5.4054054054054057E-2</v>
      </c>
      <c r="J822" s="56" t="s">
        <v>5309</v>
      </c>
      <c r="K822" s="56" t="s">
        <v>3207</v>
      </c>
      <c r="L822" s="56" t="s">
        <v>3237</v>
      </c>
      <c r="M822" s="56" t="str">
        <f>HYPERLINK("https://dribble.octin.io/?mode=Single+log&amp;log_id=717f7898-4569-4ce0-8069-6d01421c4bac","URL")</f>
        <v>URL</v>
      </c>
      <c r="N822" s="56" t="s">
        <v>3458</v>
      </c>
      <c r="O822" t="str">
        <f>_xlfn.XLOOKUP(N822,'Error-codes'!$C$2:$C$130,'Error-codes'!$B$2:$B$130, "None")</f>
        <v>motor drive: UNDER VOLTAGE</v>
      </c>
      <c r="U822" s="81">
        <f>DATEVALUE(LEFT(F822,10))</f>
        <v>44949</v>
      </c>
    </row>
    <row r="823" spans="1:21">
      <c r="B823" s="56" t="s">
        <v>295</v>
      </c>
      <c r="C823" s="56" t="s">
        <v>5310</v>
      </c>
      <c r="D823" s="56" t="s">
        <v>388</v>
      </c>
      <c r="F823" s="56" t="s">
        <v>5311</v>
      </c>
      <c r="G823" s="56">
        <v>69</v>
      </c>
      <c r="H823" s="56">
        <v>69</v>
      </c>
      <c r="I823" s="58">
        <v>1</v>
      </c>
      <c r="K823" s="56" t="s">
        <v>1893</v>
      </c>
      <c r="L823" s="56" t="s">
        <v>2942</v>
      </c>
      <c r="O823">
        <f>_xlfn.XLOOKUP(N823,'Error-codes'!$C$2:$C$130,'Error-codes'!$B$2:$B$130, "None")</f>
        <v>0</v>
      </c>
      <c r="U823" s="81">
        <f>DATEVALUE(LEFT(F823,10))</f>
        <v>44949</v>
      </c>
    </row>
    <row r="824" spans="1:21">
      <c r="A824" s="56" t="s">
        <v>5312</v>
      </c>
      <c r="B824" s="56" t="s">
        <v>3293</v>
      </c>
      <c r="C824" s="56" t="s">
        <v>5313</v>
      </c>
      <c r="D824" s="56" t="s">
        <v>37</v>
      </c>
      <c r="E824" s="56" t="s">
        <v>2939</v>
      </c>
      <c r="F824" s="56" t="s">
        <v>5314</v>
      </c>
      <c r="G824" s="56">
        <v>16</v>
      </c>
      <c r="H824" s="56">
        <v>1</v>
      </c>
      <c r="I824" s="58">
        <v>6.25E-2</v>
      </c>
      <c r="J824" s="56" t="s">
        <v>5285</v>
      </c>
      <c r="K824" s="56" t="s">
        <v>3207</v>
      </c>
      <c r="L824" s="56" t="s">
        <v>5286</v>
      </c>
      <c r="M824" s="56" t="str">
        <f>HYPERLINK("https://dribble.octin.io/?mode=Single+log&amp;log_id=9712255d-1966-4c9f-85a5-4f6aac1e6b6c","URL")</f>
        <v>URL</v>
      </c>
      <c r="N824" s="56" t="s">
        <v>3472</v>
      </c>
      <c r="O824" t="str">
        <f>_xlfn.XLOOKUP(N824,'Error-codes'!$C$2:$C$130,'Error-codes'!$B$2:$B$130, "None")</f>
        <v>Excessive slip detected</v>
      </c>
      <c r="U824" s="81">
        <f>DATEVALUE(LEFT(F824,10))</f>
        <v>44950</v>
      </c>
    </row>
    <row r="825" spans="1:21">
      <c r="A825" s="56" t="s">
        <v>5315</v>
      </c>
      <c r="B825" s="56" t="s">
        <v>3293</v>
      </c>
      <c r="C825" s="56" t="s">
        <v>5313</v>
      </c>
      <c r="D825" s="56" t="s">
        <v>37</v>
      </c>
      <c r="E825" s="56" t="s">
        <v>2939</v>
      </c>
      <c r="F825" s="56" t="s">
        <v>5316</v>
      </c>
      <c r="G825" s="56">
        <v>16</v>
      </c>
      <c r="H825" s="56">
        <v>2</v>
      </c>
      <c r="I825" s="58">
        <v>0.125</v>
      </c>
      <c r="J825" s="56" t="s">
        <v>5285</v>
      </c>
      <c r="K825" s="56" t="s">
        <v>3207</v>
      </c>
      <c r="L825" s="56" t="s">
        <v>5286</v>
      </c>
      <c r="M825" s="56" t="str">
        <f>HYPERLINK("https://dribble.octin.io/?mode=Single+log&amp;log_id=b8fccd7c-8591-4d62-91cf-d397ff2cb6d5","URL")</f>
        <v>URL</v>
      </c>
      <c r="N825" s="56" t="s">
        <v>3472</v>
      </c>
      <c r="O825" t="str">
        <f>_xlfn.XLOOKUP(N825,'Error-codes'!$C$2:$C$130,'Error-codes'!$B$2:$B$130, "None")</f>
        <v>Excessive slip detected</v>
      </c>
      <c r="U825" s="81">
        <f>DATEVALUE(LEFT(F825,10))</f>
        <v>44950</v>
      </c>
    </row>
    <row r="826" spans="1:21">
      <c r="A826" s="56" t="s">
        <v>5317</v>
      </c>
      <c r="B826" s="56" t="s">
        <v>3293</v>
      </c>
      <c r="C826" s="56" t="s">
        <v>5313</v>
      </c>
      <c r="D826" s="56" t="s">
        <v>37</v>
      </c>
      <c r="E826" s="56" t="s">
        <v>3253</v>
      </c>
      <c r="F826" s="56" t="s">
        <v>5318</v>
      </c>
      <c r="G826" s="56">
        <v>16</v>
      </c>
      <c r="H826" s="56">
        <v>10</v>
      </c>
      <c r="I826" s="58">
        <v>0.625</v>
      </c>
      <c r="J826" s="56" t="s">
        <v>5319</v>
      </c>
      <c r="K826" s="56" t="s">
        <v>3207</v>
      </c>
      <c r="L826" s="56" t="s">
        <v>5286</v>
      </c>
      <c r="M826" s="56" t="str">
        <f>HYPERLINK("https://dribble.octin.io/?mode=Single+log&amp;log_id=922d033e-e6b2-4457-9702-90d42f8217e2","URL")</f>
        <v>URL</v>
      </c>
      <c r="N826" s="56" t="s">
        <v>3454</v>
      </c>
      <c r="O826" t="str">
        <f>_xlfn.XLOOKUP(N826,'Error-codes'!$C$2:$C$130,'Error-codes'!$B$2:$B$130, "None")</f>
        <v>Veh low level FSM: safety was triggered</v>
      </c>
      <c r="U826" s="81">
        <f>DATEVALUE(LEFT(F826,10))</f>
        <v>44950</v>
      </c>
    </row>
    <row r="827" spans="1:21">
      <c r="A827" s="56" t="s">
        <v>5320</v>
      </c>
      <c r="B827" s="56" t="s">
        <v>3293</v>
      </c>
      <c r="C827" s="56" t="s">
        <v>5321</v>
      </c>
      <c r="D827" s="56" t="s">
        <v>388</v>
      </c>
      <c r="E827" s="56" t="s">
        <v>2939</v>
      </c>
      <c r="F827" s="56" t="s">
        <v>5322</v>
      </c>
      <c r="G827" s="56">
        <v>9</v>
      </c>
      <c r="H827" s="56">
        <v>3</v>
      </c>
      <c r="I827" s="58">
        <v>0.33333333333333331</v>
      </c>
      <c r="J827" s="56" t="s">
        <v>3357</v>
      </c>
      <c r="K827" s="56" t="s">
        <v>3207</v>
      </c>
      <c r="L827" s="56" t="s">
        <v>5286</v>
      </c>
      <c r="M827" s="56" t="str">
        <f>HYPERLINK("https://dribble.octin.io/?mode=Single+log&amp;log_id=c468af7b-f381-43ce-bbae-8371f49c55c6","URL")</f>
        <v>URL</v>
      </c>
      <c r="N827" s="56" t="s">
        <v>3460</v>
      </c>
      <c r="O827" t="str">
        <f>_xlfn.XLOOKUP(N827,'Error-codes'!$C$2:$C$130,'Error-codes'!$B$2:$B$130, "None")</f>
        <v>motor drive: DRV8353 FAULT</v>
      </c>
      <c r="U827" s="81">
        <f>DATEVALUE(LEFT(F827,10))</f>
        <v>44950</v>
      </c>
    </row>
    <row r="828" spans="1:21">
      <c r="B828" s="56" t="s">
        <v>3293</v>
      </c>
      <c r="C828" s="56" t="s">
        <v>5321</v>
      </c>
      <c r="D828" s="56" t="s">
        <v>388</v>
      </c>
      <c r="F828" s="56" t="s">
        <v>5323</v>
      </c>
      <c r="G828" s="56">
        <v>9</v>
      </c>
      <c r="H828" s="56">
        <v>8</v>
      </c>
      <c r="I828" s="58">
        <v>0.88888888888888884</v>
      </c>
      <c r="K828" s="56" t="s">
        <v>3207</v>
      </c>
      <c r="L828" s="56" t="s">
        <v>5286</v>
      </c>
      <c r="O828">
        <f>_xlfn.XLOOKUP(N828,'Error-codes'!$C$2:$C$130,'Error-codes'!$B$2:$B$130, "None")</f>
        <v>0</v>
      </c>
      <c r="U828" s="81">
        <f>DATEVALUE(LEFT(F828,10))</f>
        <v>44950</v>
      </c>
    </row>
    <row r="829" spans="1:21">
      <c r="B829" s="56" t="s">
        <v>3293</v>
      </c>
      <c r="C829" s="56" t="s">
        <v>5324</v>
      </c>
      <c r="D829" s="56" t="s">
        <v>22</v>
      </c>
      <c r="F829" s="56" t="s">
        <v>5325</v>
      </c>
      <c r="G829" s="56">
        <v>22</v>
      </c>
      <c r="H829" s="56">
        <v>1</v>
      </c>
      <c r="I829" s="58">
        <v>4.5454545454545456E-2</v>
      </c>
      <c r="K829" s="56" t="s">
        <v>3207</v>
      </c>
      <c r="L829" s="56" t="s">
        <v>3297</v>
      </c>
      <c r="O829">
        <f>_xlfn.XLOOKUP(N829,'Error-codes'!$C$2:$C$130,'Error-codes'!$B$2:$B$130, "None")</f>
        <v>0</v>
      </c>
      <c r="U829" s="81">
        <f>DATEVALUE(LEFT(F829,10))</f>
        <v>44950</v>
      </c>
    </row>
    <row r="830" spans="1:21">
      <c r="B830" s="56" t="s">
        <v>3293</v>
      </c>
      <c r="C830" s="56" t="s">
        <v>5326</v>
      </c>
      <c r="D830" s="56" t="s">
        <v>22</v>
      </c>
      <c r="F830" s="56" t="s">
        <v>5327</v>
      </c>
      <c r="G830" s="56">
        <v>14</v>
      </c>
      <c r="H830" s="56">
        <v>6</v>
      </c>
      <c r="I830" s="58">
        <v>0.42857142857142855</v>
      </c>
      <c r="K830" s="56" t="s">
        <v>3207</v>
      </c>
      <c r="L830" s="56" t="s">
        <v>3297</v>
      </c>
      <c r="O830">
        <f>_xlfn.XLOOKUP(N830,'Error-codes'!$C$2:$C$130,'Error-codes'!$B$2:$B$130, "None")</f>
        <v>0</v>
      </c>
      <c r="U830" s="81">
        <f>DATEVALUE(LEFT(F830,10))</f>
        <v>44950</v>
      </c>
    </row>
    <row r="831" spans="1:21">
      <c r="A831" s="56" t="s">
        <v>5328</v>
      </c>
      <c r="B831" s="56" t="s">
        <v>3293</v>
      </c>
      <c r="C831" s="56" t="s">
        <v>5329</v>
      </c>
      <c r="D831" s="56" t="s">
        <v>37</v>
      </c>
      <c r="E831" s="56" t="s">
        <v>4222</v>
      </c>
      <c r="F831" s="56" t="s">
        <v>5330</v>
      </c>
      <c r="G831" s="56">
        <v>16</v>
      </c>
      <c r="H831" s="56">
        <v>2</v>
      </c>
      <c r="I831" s="58">
        <v>0.125</v>
      </c>
      <c r="J831" s="56" t="s">
        <v>5319</v>
      </c>
      <c r="K831" s="56" t="s">
        <v>3207</v>
      </c>
      <c r="L831" s="56" t="s">
        <v>3297</v>
      </c>
      <c r="M831" s="56" t="str">
        <f>HYPERLINK("https://dribble.octin.io/?mode=Single+log&amp;log_id=75a2ec75-b39c-46ab-8fec-9dd76ea1508f","URL")</f>
        <v>URL</v>
      </c>
      <c r="N831" s="56" t="s">
        <v>3458</v>
      </c>
      <c r="O831" t="str">
        <f>_xlfn.XLOOKUP(N831,'Error-codes'!$C$2:$C$130,'Error-codes'!$B$2:$B$130, "None")</f>
        <v>motor drive: UNDER VOLTAGE</v>
      </c>
      <c r="P831" t="s">
        <v>5331</v>
      </c>
      <c r="U831" s="81">
        <f>DATEVALUE(LEFT(F831,10))</f>
        <v>44950</v>
      </c>
    </row>
    <row r="832" spans="1:21">
      <c r="B832" s="56" t="s">
        <v>3293</v>
      </c>
      <c r="C832" s="56" t="s">
        <v>5332</v>
      </c>
      <c r="D832" s="56" t="s">
        <v>22</v>
      </c>
      <c r="F832" s="56" t="s">
        <v>5333</v>
      </c>
      <c r="G832" s="56">
        <v>19</v>
      </c>
      <c r="H832" s="56">
        <v>4</v>
      </c>
      <c r="I832" s="58">
        <v>0.21052631578947367</v>
      </c>
      <c r="K832" s="56" t="s">
        <v>3207</v>
      </c>
      <c r="L832" s="56" t="s">
        <v>3297</v>
      </c>
      <c r="O832">
        <f>_xlfn.XLOOKUP(N832,'Error-codes'!$C$2:$C$130,'Error-codes'!$B$2:$B$130, "None")</f>
        <v>0</v>
      </c>
      <c r="U832" s="81">
        <f>DATEVALUE(LEFT(F832,10))</f>
        <v>44950</v>
      </c>
    </row>
    <row r="833" spans="1:21">
      <c r="B833" s="56" t="s">
        <v>3293</v>
      </c>
      <c r="C833" s="56" t="s">
        <v>5334</v>
      </c>
      <c r="D833" s="56" t="s">
        <v>22</v>
      </c>
      <c r="F833" s="56" t="s">
        <v>5335</v>
      </c>
      <c r="G833" s="56">
        <v>15</v>
      </c>
      <c r="H833" s="56">
        <v>0</v>
      </c>
      <c r="I833" s="58">
        <v>0</v>
      </c>
      <c r="K833" s="56" t="s">
        <v>3207</v>
      </c>
      <c r="L833" s="56" t="s">
        <v>3297</v>
      </c>
      <c r="O833">
        <f>_xlfn.XLOOKUP(N833,'Error-codes'!$C$2:$C$130,'Error-codes'!$B$2:$B$130, "None")</f>
        <v>0</v>
      </c>
      <c r="U833" s="81">
        <f>DATEVALUE(LEFT(F833,10))</f>
        <v>44950</v>
      </c>
    </row>
    <row r="834" spans="1:21">
      <c r="B834" s="56" t="s">
        <v>3293</v>
      </c>
      <c r="C834" s="56" t="s">
        <v>5336</v>
      </c>
      <c r="D834" s="56" t="s">
        <v>388</v>
      </c>
      <c r="F834" s="56" t="s">
        <v>5337</v>
      </c>
      <c r="G834" s="56">
        <v>15</v>
      </c>
      <c r="H834" s="56">
        <v>15</v>
      </c>
      <c r="I834" s="58">
        <v>1</v>
      </c>
      <c r="K834" s="56" t="s">
        <v>3207</v>
      </c>
      <c r="L834" s="56" t="s">
        <v>3297</v>
      </c>
      <c r="O834">
        <f>_xlfn.XLOOKUP(N834,'Error-codes'!$C$2:$C$130,'Error-codes'!$B$2:$B$130, "None")</f>
        <v>0</v>
      </c>
      <c r="U834" s="81">
        <f>DATEVALUE(LEFT(F834,10))</f>
        <v>44950</v>
      </c>
    </row>
    <row r="835" spans="1:21">
      <c r="A835" s="56"/>
      <c r="B835" s="56" t="s">
        <v>3202</v>
      </c>
      <c r="C835" s="56" t="s">
        <v>5338</v>
      </c>
      <c r="D835" s="56" t="s">
        <v>388</v>
      </c>
      <c r="E835" s="56" t="s">
        <v>2939</v>
      </c>
      <c r="F835" s="56" t="s">
        <v>5339</v>
      </c>
      <c r="G835" s="56">
        <v>4</v>
      </c>
      <c r="H835" s="56">
        <v>2</v>
      </c>
      <c r="I835" s="58">
        <v>0.5</v>
      </c>
      <c r="J835" s="56" t="s">
        <v>3347</v>
      </c>
      <c r="K835" s="56" t="s">
        <v>3207</v>
      </c>
      <c r="L835" s="56" t="s">
        <v>3208</v>
      </c>
      <c r="N835" s="56" t="s">
        <v>3472</v>
      </c>
      <c r="O835" t="str">
        <f>_xlfn.XLOOKUP(N835,'Error-codes'!$C$2:$C$130,'Error-codes'!$B$2:$B$130, "None")</f>
        <v>Excessive slip detected</v>
      </c>
      <c r="U835" s="81">
        <f>DATEVALUE(LEFT(F835,10))</f>
        <v>44950</v>
      </c>
    </row>
    <row r="836" spans="1:21">
      <c r="B836" s="56" t="s">
        <v>3202</v>
      </c>
      <c r="C836" s="56" t="s">
        <v>5338</v>
      </c>
      <c r="D836" s="56" t="s">
        <v>388</v>
      </c>
      <c r="F836" s="56" t="s">
        <v>5340</v>
      </c>
      <c r="G836" s="56">
        <v>4</v>
      </c>
      <c r="H836" s="56">
        <v>3</v>
      </c>
      <c r="I836" s="58">
        <v>0.75</v>
      </c>
      <c r="K836" s="56" t="s">
        <v>3207</v>
      </c>
      <c r="L836" s="56" t="s">
        <v>3208</v>
      </c>
      <c r="O836">
        <f>_xlfn.XLOOKUP(N836,'Error-codes'!$C$2:$C$130,'Error-codes'!$B$2:$B$130, "None")</f>
        <v>0</v>
      </c>
      <c r="U836" s="81">
        <f>DATEVALUE(LEFT(F836,10))</f>
        <v>44950</v>
      </c>
    </row>
    <row r="837" spans="1:21">
      <c r="A837" s="56"/>
      <c r="B837" s="56" t="s">
        <v>3293</v>
      </c>
      <c r="C837" s="56" t="s">
        <v>5341</v>
      </c>
      <c r="D837" s="56" t="s">
        <v>37</v>
      </c>
      <c r="E837" s="56" t="s">
        <v>4731</v>
      </c>
      <c r="F837" s="56" t="s">
        <v>5342</v>
      </c>
      <c r="G837" s="56">
        <v>8</v>
      </c>
      <c r="H837" s="56">
        <v>6</v>
      </c>
      <c r="I837" s="58">
        <v>0.75</v>
      </c>
      <c r="J837" s="56" t="s">
        <v>5343</v>
      </c>
      <c r="K837" s="56" t="s">
        <v>3207</v>
      </c>
      <c r="L837" s="56" t="s">
        <v>3297</v>
      </c>
      <c r="N837" s="56" t="s">
        <v>3460</v>
      </c>
      <c r="O837" t="str">
        <f>_xlfn.XLOOKUP(N837,'Error-codes'!$C$2:$C$130,'Error-codes'!$B$2:$B$130, "None")</f>
        <v>motor drive: DRV8353 FAULT</v>
      </c>
      <c r="U837" s="81">
        <f>DATEVALUE(LEFT(F837,10))</f>
        <v>44950</v>
      </c>
    </row>
    <row r="838" spans="1:21">
      <c r="B838" s="56" t="s">
        <v>3293</v>
      </c>
      <c r="C838" s="56" t="s">
        <v>5344</v>
      </c>
      <c r="D838" s="56" t="s">
        <v>388</v>
      </c>
      <c r="F838" s="56" t="s">
        <v>5345</v>
      </c>
      <c r="G838" s="56">
        <v>23</v>
      </c>
      <c r="H838" s="56">
        <v>23</v>
      </c>
      <c r="I838" s="58">
        <v>1</v>
      </c>
      <c r="K838" s="56" t="s">
        <v>3207</v>
      </c>
      <c r="L838" s="56" t="s">
        <v>3297</v>
      </c>
      <c r="O838">
        <f>_xlfn.XLOOKUP(N838,'Error-codes'!$C$2:$C$130,'Error-codes'!$B$2:$B$130, "None")</f>
        <v>0</v>
      </c>
      <c r="U838" s="81">
        <f>DATEVALUE(LEFT(F838,10))</f>
        <v>44950</v>
      </c>
    </row>
    <row r="839" spans="1:21">
      <c r="A839" s="56"/>
      <c r="B839" s="56" t="s">
        <v>3202</v>
      </c>
      <c r="C839" s="56" t="s">
        <v>3238</v>
      </c>
      <c r="D839" s="56"/>
      <c r="E839" s="56"/>
      <c r="F839" s="56" t="s">
        <v>3239</v>
      </c>
      <c r="G839" s="56">
        <v>43</v>
      </c>
      <c r="H839" s="56">
        <v>42</v>
      </c>
      <c r="I839" s="58">
        <v>0.97674418604651159</v>
      </c>
      <c r="J839" s="56" t="s">
        <v>3233</v>
      </c>
      <c r="K839" s="56" t="s">
        <v>3207</v>
      </c>
      <c r="L839" s="56" t="s">
        <v>3208</v>
      </c>
      <c r="N839" s="56" t="s">
        <v>2933</v>
      </c>
      <c r="O839" t="str">
        <f>_xlfn.XLOOKUP(N839,'Error-codes'!$C$2:$C$130,'Error-codes'!$B$2:$B$130, "None")</f>
        <v>inductive sensor error</v>
      </c>
      <c r="U839" s="81">
        <f>DATEVALUE(LEFT(F839,10))</f>
        <v>44950</v>
      </c>
    </row>
    <row r="840" spans="1:21">
      <c r="A840" s="56" t="s">
        <v>5346</v>
      </c>
      <c r="B840" s="56" t="s">
        <v>3293</v>
      </c>
      <c r="C840" s="56" t="s">
        <v>5347</v>
      </c>
      <c r="D840" s="56" t="s">
        <v>388</v>
      </c>
      <c r="E840" s="56" t="s">
        <v>2939</v>
      </c>
      <c r="F840" s="56" t="s">
        <v>5348</v>
      </c>
      <c r="G840" s="56">
        <v>23</v>
      </c>
      <c r="H840" s="56">
        <v>18</v>
      </c>
      <c r="I840" s="58">
        <v>0.78260869565217395</v>
      </c>
      <c r="J840" s="56" t="s">
        <v>5218</v>
      </c>
      <c r="K840" s="56" t="s">
        <v>3207</v>
      </c>
      <c r="L840" s="56" t="s">
        <v>3297</v>
      </c>
      <c r="M840" s="56" t="str">
        <f>HYPERLINK("https://dribble.octin.io/?mode=Single+log&amp;log_id=430e2481-07e4-4d47-b39c-82a5cef4cfcc","URL")</f>
        <v>URL</v>
      </c>
      <c r="N840" s="56" t="s">
        <v>3446</v>
      </c>
      <c r="O840" t="str">
        <f>_xlfn.XLOOKUP(N840,'Error-codes'!$C$2:$C$130,'Error-codes'!$B$2:$B$130, "None")</f>
        <v>end of lane wall sensor error</v>
      </c>
      <c r="U840" s="81">
        <f>DATEVALUE(LEFT(F840,10))</f>
        <v>44951</v>
      </c>
    </row>
    <row r="841" spans="1:21">
      <c r="B841" s="56" t="s">
        <v>3293</v>
      </c>
      <c r="C841" s="56" t="s">
        <v>5347</v>
      </c>
      <c r="D841" s="56" t="s">
        <v>388</v>
      </c>
      <c r="F841" s="56" t="s">
        <v>5349</v>
      </c>
      <c r="G841" s="56">
        <v>23</v>
      </c>
      <c r="H841" s="56">
        <v>22</v>
      </c>
      <c r="I841" s="58">
        <v>0.95652173913043481</v>
      </c>
      <c r="K841" s="56" t="s">
        <v>3207</v>
      </c>
      <c r="L841" s="56" t="s">
        <v>3297</v>
      </c>
      <c r="O841">
        <f>_xlfn.XLOOKUP(N841,'Error-codes'!$C$2:$C$130,'Error-codes'!$B$2:$B$130, "None")</f>
        <v>0</v>
      </c>
      <c r="U841" s="81">
        <f>DATEVALUE(LEFT(F841,10))</f>
        <v>44951</v>
      </c>
    </row>
    <row r="842" spans="1:21">
      <c r="B842" s="56" t="s">
        <v>295</v>
      </c>
      <c r="C842" s="56" t="s">
        <v>5350</v>
      </c>
      <c r="D842" s="56" t="s">
        <v>388</v>
      </c>
      <c r="F842" s="56" t="s">
        <v>5351</v>
      </c>
      <c r="G842" s="56">
        <v>6</v>
      </c>
      <c r="H842" s="56">
        <v>6</v>
      </c>
      <c r="I842" s="58">
        <v>1</v>
      </c>
      <c r="K842" s="56" t="s">
        <v>1893</v>
      </c>
      <c r="L842" s="56" t="s">
        <v>2942</v>
      </c>
      <c r="O842">
        <f>_xlfn.XLOOKUP(N842,'Error-codes'!$C$2:$C$130,'Error-codes'!$B$2:$B$130, "None")</f>
        <v>0</v>
      </c>
      <c r="U842" s="81">
        <f>DATEVALUE(LEFT(F842,10))</f>
        <v>44952</v>
      </c>
    </row>
    <row r="843" spans="1:21">
      <c r="B843" s="56" t="s">
        <v>3293</v>
      </c>
      <c r="C843" s="56" t="s">
        <v>5352</v>
      </c>
      <c r="D843" s="56" t="s">
        <v>388</v>
      </c>
      <c r="F843" s="56" t="s">
        <v>5353</v>
      </c>
      <c r="G843" s="56">
        <v>6</v>
      </c>
      <c r="H843" s="56">
        <v>6</v>
      </c>
      <c r="I843" s="58">
        <v>1</v>
      </c>
      <c r="K843" s="56" t="s">
        <v>3207</v>
      </c>
      <c r="L843" s="56" t="s">
        <v>5286</v>
      </c>
      <c r="O843">
        <f>_xlfn.XLOOKUP(N843,'Error-codes'!$C$2:$C$130,'Error-codes'!$B$2:$B$130, "None")</f>
        <v>0</v>
      </c>
      <c r="U843" s="81">
        <f>DATEVALUE(LEFT(F843,10))</f>
        <v>44953</v>
      </c>
    </row>
    <row r="844" spans="1:21">
      <c r="A844" s="56" t="s">
        <v>5354</v>
      </c>
      <c r="B844" s="56" t="s">
        <v>3202</v>
      </c>
      <c r="C844" s="56" t="s">
        <v>3241</v>
      </c>
      <c r="D844" s="56"/>
      <c r="E844" s="56" t="s">
        <v>2939</v>
      </c>
      <c r="F844" s="56" t="s">
        <v>5355</v>
      </c>
      <c r="G844" s="56">
        <v>46</v>
      </c>
      <c r="H844" s="56">
        <v>0</v>
      </c>
      <c r="I844" s="58">
        <v>0</v>
      </c>
      <c r="J844" s="56" t="s">
        <v>3229</v>
      </c>
      <c r="K844" s="56" t="s">
        <v>3207</v>
      </c>
      <c r="L844" s="56" t="s">
        <v>3237</v>
      </c>
      <c r="M844" s="56" t="str">
        <f>HYPERLINK("https://dribble.octin.io/?mode=Single+log&amp;log_id=1f7c6f65-f284-4e45-be8b-4c2ccc51b3c9","URL")</f>
        <v>URL</v>
      </c>
      <c r="N844" s="56" t="s">
        <v>3458</v>
      </c>
      <c r="O844" t="str">
        <f>_xlfn.XLOOKUP(N844,'Error-codes'!$C$2:$C$130,'Error-codes'!$B$2:$B$130, "None")</f>
        <v>motor drive: UNDER VOLTAGE</v>
      </c>
      <c r="U844" s="81">
        <f>DATEVALUE(LEFT(F844,10))</f>
        <v>44953</v>
      </c>
    </row>
    <row r="845" spans="1:21">
      <c r="A845" s="56" t="s">
        <v>3244</v>
      </c>
      <c r="B845" s="56" t="s">
        <v>3202</v>
      </c>
      <c r="C845" s="56" t="s">
        <v>3241</v>
      </c>
      <c r="D845" s="56"/>
      <c r="E845" s="56" t="s">
        <v>2939</v>
      </c>
      <c r="F845" s="56" t="s">
        <v>3245</v>
      </c>
      <c r="G845" s="56">
        <v>46</v>
      </c>
      <c r="H845" s="56">
        <v>1</v>
      </c>
      <c r="I845" s="58">
        <v>2.1739130434782608E-2</v>
      </c>
      <c r="J845" s="56" t="s">
        <v>3229</v>
      </c>
      <c r="K845" s="56" t="s">
        <v>3207</v>
      </c>
      <c r="L845" s="56" t="s">
        <v>3237</v>
      </c>
      <c r="M845" s="56" t="str">
        <f>HYPERLINK("https://dribble.octin.io/?mode=Single+log&amp;log_id=38dd2f5e-66ea-4560-a70b-c41ad8dfecf0","URL")</f>
        <v>URL</v>
      </c>
      <c r="N845" s="56" t="s">
        <v>2933</v>
      </c>
      <c r="O845" t="str">
        <f>_xlfn.XLOOKUP(N845,'Error-codes'!$C$2:$C$130,'Error-codes'!$B$2:$B$130, "None")</f>
        <v>inductive sensor error</v>
      </c>
      <c r="U845" s="81">
        <f>DATEVALUE(LEFT(F845,10))</f>
        <v>44953</v>
      </c>
    </row>
    <row r="846" spans="1:21">
      <c r="A846" s="56" t="s">
        <v>5356</v>
      </c>
      <c r="B846" s="56" t="s">
        <v>3202</v>
      </c>
      <c r="C846" s="56" t="s">
        <v>3241</v>
      </c>
      <c r="D846" s="56"/>
      <c r="E846" s="56" t="s">
        <v>2939</v>
      </c>
      <c r="F846" s="56" t="s">
        <v>5357</v>
      </c>
      <c r="G846" s="56">
        <v>46</v>
      </c>
      <c r="H846" s="56">
        <v>5</v>
      </c>
      <c r="I846" s="58">
        <v>0.10869565217391304</v>
      </c>
      <c r="J846" s="56" t="s">
        <v>5358</v>
      </c>
      <c r="K846" s="56" t="s">
        <v>3207</v>
      </c>
      <c r="L846" s="56" t="s">
        <v>3237</v>
      </c>
      <c r="M846" s="56" t="str">
        <f>HYPERLINK("https://dribble.octin.io/?mode=Single+log&amp;log_id=ea173358-9bb6-42f4-b8ce-57f5e2e1f742","URL")</f>
        <v>URL</v>
      </c>
      <c r="N846" s="56" t="s">
        <v>3454</v>
      </c>
      <c r="O846" t="str">
        <f>_xlfn.XLOOKUP(N846,'Error-codes'!$C$2:$C$130,'Error-codes'!$B$2:$B$130, "None")</f>
        <v>Veh low level FSM: safety was triggered</v>
      </c>
      <c r="U846" s="81">
        <f>DATEVALUE(LEFT(F846,10))</f>
        <v>44953</v>
      </c>
    </row>
    <row r="847" spans="1:21">
      <c r="A847" s="56" t="s">
        <v>5359</v>
      </c>
      <c r="B847" s="56" t="s">
        <v>3202</v>
      </c>
      <c r="C847" s="56" t="s">
        <v>3241</v>
      </c>
      <c r="D847" s="56"/>
      <c r="E847" s="56" t="s">
        <v>2939</v>
      </c>
      <c r="F847" s="56" t="s">
        <v>5360</v>
      </c>
      <c r="G847" s="56">
        <v>46</v>
      </c>
      <c r="H847" s="56">
        <v>6</v>
      </c>
      <c r="I847" s="58">
        <v>0.13043478260869565</v>
      </c>
      <c r="J847" s="56" t="s">
        <v>5358</v>
      </c>
      <c r="K847" s="56" t="s">
        <v>3207</v>
      </c>
      <c r="L847" s="56" t="s">
        <v>3237</v>
      </c>
      <c r="M847" s="56" t="str">
        <f>HYPERLINK("https://dribble.octin.io/?mode=Single+log&amp;log_id=f6b0e565-beab-4f7b-b126-87ab5693fac6","URL")</f>
        <v>URL</v>
      </c>
      <c r="N847" s="56" t="s">
        <v>3472</v>
      </c>
      <c r="O847" t="str">
        <f>_xlfn.XLOOKUP(N847,'Error-codes'!$C$2:$C$130,'Error-codes'!$B$2:$B$130, "None")</f>
        <v>Excessive slip detected</v>
      </c>
      <c r="U847" s="81">
        <f>DATEVALUE(LEFT(F847,10))</f>
        <v>44953</v>
      </c>
    </row>
    <row r="848" spans="1:21">
      <c r="A848" s="56" t="s">
        <v>5361</v>
      </c>
      <c r="B848" s="56" t="s">
        <v>3202</v>
      </c>
      <c r="C848" s="56" t="s">
        <v>3241</v>
      </c>
      <c r="D848" s="56"/>
      <c r="E848" s="56" t="s">
        <v>2939</v>
      </c>
      <c r="F848" s="56" t="s">
        <v>5362</v>
      </c>
      <c r="G848" s="56">
        <v>46</v>
      </c>
      <c r="H848" s="56">
        <v>9</v>
      </c>
      <c r="I848" s="58">
        <v>0.19565217391304349</v>
      </c>
      <c r="J848" s="56" t="s">
        <v>5303</v>
      </c>
      <c r="K848" s="56" t="s">
        <v>3207</v>
      </c>
      <c r="L848" s="56" t="s">
        <v>3237</v>
      </c>
      <c r="M848" s="56" t="str">
        <f>HYPERLINK("https://dribble.octin.io/?mode=Single+log&amp;log_id=827fa036-5352-4821-8cb3-88ae81f27b7c","URL")</f>
        <v>URL</v>
      </c>
      <c r="N848" s="56" t="s">
        <v>3472</v>
      </c>
      <c r="O848" t="str">
        <f>_xlfn.XLOOKUP(N848,'Error-codes'!$C$2:$C$130,'Error-codes'!$B$2:$B$130, "None")</f>
        <v>Excessive slip detected</v>
      </c>
      <c r="U848" s="81">
        <f>DATEVALUE(LEFT(F848,10))</f>
        <v>44953</v>
      </c>
    </row>
    <row r="849" spans="1:21">
      <c r="A849" s="56" t="s">
        <v>5363</v>
      </c>
      <c r="B849" s="56" t="s">
        <v>3202</v>
      </c>
      <c r="C849" s="56" t="s">
        <v>3241</v>
      </c>
      <c r="D849" s="56"/>
      <c r="E849" s="56" t="s">
        <v>2939</v>
      </c>
      <c r="F849" s="56" t="s">
        <v>5364</v>
      </c>
      <c r="G849" s="56">
        <v>46</v>
      </c>
      <c r="H849" s="56">
        <v>10</v>
      </c>
      <c r="I849" s="58">
        <v>0.21739130434782608</v>
      </c>
      <c r="J849" s="56" t="s">
        <v>3223</v>
      </c>
      <c r="K849" s="56" t="s">
        <v>3207</v>
      </c>
      <c r="L849" s="56" t="s">
        <v>3237</v>
      </c>
      <c r="M849" s="56" t="str">
        <f>HYPERLINK("https://dribble.octin.io/?mode=Single+log&amp;log_id=59fda235-d50c-4a44-8d7b-1dee9a800e88","URL")</f>
        <v>URL</v>
      </c>
      <c r="N849" s="56" t="s">
        <v>3472</v>
      </c>
      <c r="O849" t="str">
        <f>_xlfn.XLOOKUP(N849,'Error-codes'!$C$2:$C$130,'Error-codes'!$B$2:$B$130, "None")</f>
        <v>Excessive slip detected</v>
      </c>
      <c r="U849" s="81">
        <f>DATEVALUE(LEFT(F849,10))</f>
        <v>44953</v>
      </c>
    </row>
    <row r="850" spans="1:21">
      <c r="A850" s="56" t="s">
        <v>3240</v>
      </c>
      <c r="B850" s="56" t="s">
        <v>3202</v>
      </c>
      <c r="C850" s="56" t="s">
        <v>3241</v>
      </c>
      <c r="D850" s="56"/>
      <c r="E850" s="56" t="s">
        <v>3242</v>
      </c>
      <c r="F850" s="56" t="s">
        <v>3243</v>
      </c>
      <c r="G850" s="56">
        <v>46</v>
      </c>
      <c r="H850" s="56">
        <v>45</v>
      </c>
      <c r="I850" s="58">
        <v>0.97826086956521741</v>
      </c>
      <c r="J850" s="56" t="s">
        <v>3233</v>
      </c>
      <c r="K850" s="56" t="s">
        <v>3207</v>
      </c>
      <c r="L850" s="56" t="s">
        <v>3237</v>
      </c>
      <c r="M850" s="56" t="str">
        <f>HYPERLINK("https://dribble.octin.io/?mode=Single+log&amp;log_id=a424cd5f-8a43-4032-b3ee-7784ce0f54ca","URL")</f>
        <v>URL</v>
      </c>
      <c r="N850" s="56" t="s">
        <v>2933</v>
      </c>
      <c r="O850" t="str">
        <f>_xlfn.XLOOKUP(N850,'Error-codes'!$C$2:$C$130,'Error-codes'!$B$2:$B$130, "None")</f>
        <v>inductive sensor error</v>
      </c>
      <c r="Q850" t="s">
        <v>5365</v>
      </c>
      <c r="U850" s="81">
        <f>DATEVALUE(LEFT(F850,10))</f>
        <v>44953</v>
      </c>
    </row>
    <row r="851" spans="1:21">
      <c r="A851" s="56" t="s">
        <v>5366</v>
      </c>
      <c r="B851" s="56" t="s">
        <v>3202</v>
      </c>
      <c r="C851" s="56" t="s">
        <v>5367</v>
      </c>
      <c r="D851" s="56" t="s">
        <v>22</v>
      </c>
      <c r="E851" s="56" t="s">
        <v>2939</v>
      </c>
      <c r="F851" s="56" t="s">
        <v>5368</v>
      </c>
      <c r="G851" s="56">
        <v>46</v>
      </c>
      <c r="H851" s="56">
        <v>1</v>
      </c>
      <c r="I851" s="58">
        <v>2.1739130434782608E-2</v>
      </c>
      <c r="J851" s="56" t="s">
        <v>3229</v>
      </c>
      <c r="K851" s="56" t="s">
        <v>3207</v>
      </c>
      <c r="L851" s="56" t="s">
        <v>3208</v>
      </c>
      <c r="M851" s="56" t="str">
        <f>HYPERLINK("https://dribble.octin.io/?mode=Single+log&amp;log_id=f657c4fb-4105-45d7-bcfa-fe61e9a76259","URL")</f>
        <v>URL</v>
      </c>
      <c r="N851" s="56" t="s">
        <v>3466</v>
      </c>
      <c r="O851" t="str">
        <f>_xlfn.XLOOKUP(N851,'Error-codes'!$C$2:$C$130,'Error-codes'!$B$2:$B$130, "None")</f>
        <v>vision error</v>
      </c>
      <c r="U851" s="81">
        <f>DATEVALUE(LEFT(F851,10))</f>
        <v>44956</v>
      </c>
    </row>
    <row r="852" spans="1:21">
      <c r="A852" s="56" t="s">
        <v>5369</v>
      </c>
      <c r="B852" s="56" t="s">
        <v>3202</v>
      </c>
      <c r="C852" s="56" t="s">
        <v>5367</v>
      </c>
      <c r="D852" s="56" t="s">
        <v>22</v>
      </c>
      <c r="E852" s="56" t="s">
        <v>2939</v>
      </c>
      <c r="F852" s="56" t="s">
        <v>5370</v>
      </c>
      <c r="G852" s="56">
        <v>46</v>
      </c>
      <c r="H852" s="56">
        <v>2</v>
      </c>
      <c r="I852" s="58">
        <v>4.3478260869565216E-2</v>
      </c>
      <c r="J852" s="56" t="s">
        <v>3226</v>
      </c>
      <c r="K852" s="56" t="s">
        <v>3207</v>
      </c>
      <c r="L852" s="56" t="s">
        <v>3208</v>
      </c>
      <c r="M852" s="56" t="str">
        <f>HYPERLINK("https://dribble.octin.io/?mode=Single+log&amp;log_id=a53f7a5e-f675-4cd6-b92a-c7ce96d03276","URL")</f>
        <v>URL</v>
      </c>
      <c r="N852" s="56" t="s">
        <v>3426</v>
      </c>
      <c r="O852" t="str">
        <f>_xlfn.XLOOKUP(N852,'Error-codes'!$C$2:$C$130,'Error-codes'!$B$2:$B$130, "None")</f>
        <v>low level fsm is no longer executing the given command</v>
      </c>
      <c r="U852" s="81">
        <f>DATEVALUE(LEFT(F852,10))</f>
        <v>44956</v>
      </c>
    </row>
    <row r="853" spans="1:21">
      <c r="A853" s="56" t="s">
        <v>5371</v>
      </c>
      <c r="B853" s="56" t="s">
        <v>3202</v>
      </c>
      <c r="C853" s="56" t="s">
        <v>5367</v>
      </c>
      <c r="D853" s="56" t="s">
        <v>22</v>
      </c>
      <c r="E853" s="56" t="s">
        <v>2939</v>
      </c>
      <c r="F853" s="56" t="s">
        <v>5372</v>
      </c>
      <c r="G853" s="56">
        <v>46</v>
      </c>
      <c r="H853" s="56">
        <v>3</v>
      </c>
      <c r="I853" s="58">
        <v>6.5217391304347824E-2</v>
      </c>
      <c r="J853" s="56" t="s">
        <v>3226</v>
      </c>
      <c r="K853" s="56" t="s">
        <v>3207</v>
      </c>
      <c r="L853" s="56" t="s">
        <v>3208</v>
      </c>
      <c r="M853" s="56" t="str">
        <f>HYPERLINK("https://dribble.octin.io/?mode=Single+log&amp;log_id=7e66018b-99b1-4596-be6e-abaa564905b5","URL")</f>
        <v>URL</v>
      </c>
      <c r="N853" s="56" t="s">
        <v>3472</v>
      </c>
      <c r="O853" t="str">
        <f>_xlfn.XLOOKUP(N853,'Error-codes'!$C$2:$C$130,'Error-codes'!$B$2:$B$130, "None")</f>
        <v>Excessive slip detected</v>
      </c>
      <c r="U853" s="81">
        <f>DATEVALUE(LEFT(F853,10))</f>
        <v>44956</v>
      </c>
    </row>
    <row r="854" spans="1:21">
      <c r="A854" s="56" t="s">
        <v>5373</v>
      </c>
      <c r="B854" s="56" t="s">
        <v>3202</v>
      </c>
      <c r="C854" s="56" t="s">
        <v>5367</v>
      </c>
      <c r="D854" s="56" t="s">
        <v>22</v>
      </c>
      <c r="E854" s="56" t="s">
        <v>2939</v>
      </c>
      <c r="F854" s="56" t="s">
        <v>5374</v>
      </c>
      <c r="G854" s="56">
        <v>46</v>
      </c>
      <c r="H854" s="56">
        <v>4</v>
      </c>
      <c r="I854" s="58">
        <v>8.6956521739130432E-2</v>
      </c>
      <c r="J854" s="56" t="s">
        <v>3226</v>
      </c>
      <c r="K854" s="56" t="s">
        <v>3207</v>
      </c>
      <c r="L854" s="56" t="s">
        <v>3208</v>
      </c>
      <c r="M854" s="56" t="str">
        <f>HYPERLINK("https://dribble.octin.io/?mode=Single+log&amp;log_id=9117ccfe-4038-4470-bc07-f10cac3b242e","URL")</f>
        <v>URL</v>
      </c>
      <c r="N854" s="56" t="s">
        <v>3466</v>
      </c>
      <c r="O854" t="str">
        <f>_xlfn.XLOOKUP(N854,'Error-codes'!$C$2:$C$130,'Error-codes'!$B$2:$B$130, "None")</f>
        <v>vision error</v>
      </c>
      <c r="U854" s="81">
        <f>DATEVALUE(LEFT(F854,10))</f>
        <v>44956</v>
      </c>
    </row>
    <row r="855" spans="1:21">
      <c r="A855" s="56" t="s">
        <v>5375</v>
      </c>
      <c r="B855" s="56" t="s">
        <v>3202</v>
      </c>
      <c r="C855" s="56" t="s">
        <v>5367</v>
      </c>
      <c r="D855" s="56" t="s">
        <v>22</v>
      </c>
      <c r="E855" s="56" t="s">
        <v>2939</v>
      </c>
      <c r="F855" s="56" t="s">
        <v>5376</v>
      </c>
      <c r="G855" s="56">
        <v>46</v>
      </c>
      <c r="H855" s="56">
        <v>5</v>
      </c>
      <c r="I855" s="58">
        <v>0.10869565217391304</v>
      </c>
      <c r="J855" s="56" t="s">
        <v>3304</v>
      </c>
      <c r="K855" s="56" t="s">
        <v>3207</v>
      </c>
      <c r="L855" s="56" t="s">
        <v>3208</v>
      </c>
      <c r="M855" s="56" t="str">
        <f>HYPERLINK("https://dribble.octin.io/?mode=Single+log&amp;log_id=e0878d6c-b4ba-42d1-adc5-76ad25bcb260","URL")</f>
        <v>URL</v>
      </c>
      <c r="N855" s="56" t="s">
        <v>3466</v>
      </c>
      <c r="O855" t="str">
        <f>_xlfn.XLOOKUP(N855,'Error-codes'!$C$2:$C$130,'Error-codes'!$B$2:$B$130, "None")</f>
        <v>vision error</v>
      </c>
      <c r="U855" s="81">
        <f>DATEVALUE(LEFT(F855,10))</f>
        <v>44956</v>
      </c>
    </row>
    <row r="856" spans="1:21">
      <c r="A856" s="56" t="s">
        <v>5377</v>
      </c>
      <c r="B856" s="56" t="s">
        <v>3202</v>
      </c>
      <c r="C856" s="56" t="s">
        <v>5378</v>
      </c>
      <c r="D856" s="56" t="s">
        <v>37</v>
      </c>
      <c r="E856" s="56" t="s">
        <v>2939</v>
      </c>
      <c r="F856" s="56" t="s">
        <v>5379</v>
      </c>
      <c r="G856" s="56">
        <v>41</v>
      </c>
      <c r="H856" s="56">
        <v>0</v>
      </c>
      <c r="I856" s="58">
        <v>0</v>
      </c>
      <c r="J856" s="56" t="s">
        <v>3304</v>
      </c>
      <c r="K856" s="56" t="s">
        <v>3207</v>
      </c>
      <c r="L856" s="56" t="s">
        <v>3208</v>
      </c>
      <c r="M856" s="56" t="str">
        <f>HYPERLINK("https://dribble.octin.io/?mode=Single+log&amp;log_id=f53f260a-a876-44e0-bf71-08dec8b24339","URL")</f>
        <v>URL</v>
      </c>
      <c r="N856" s="56" t="s">
        <v>3466</v>
      </c>
      <c r="O856" t="str">
        <f>_xlfn.XLOOKUP(N856,'Error-codes'!$C$2:$C$130,'Error-codes'!$B$2:$B$130, "None")</f>
        <v>vision error</v>
      </c>
      <c r="U856" s="81">
        <f>DATEVALUE(LEFT(F856,10))</f>
        <v>44956</v>
      </c>
    </row>
    <row r="857" spans="1:21">
      <c r="A857" s="56" t="s">
        <v>5380</v>
      </c>
      <c r="B857" s="56" t="s">
        <v>3202</v>
      </c>
      <c r="C857" s="56" t="s">
        <v>5378</v>
      </c>
      <c r="D857" s="56" t="s">
        <v>37</v>
      </c>
      <c r="E857" s="56" t="s">
        <v>2939</v>
      </c>
      <c r="F857" s="56" t="s">
        <v>5381</v>
      </c>
      <c r="G857" s="56">
        <v>41</v>
      </c>
      <c r="H857" s="56">
        <v>1</v>
      </c>
      <c r="I857" s="58">
        <v>2.4390243902439025E-2</v>
      </c>
      <c r="J857" s="56" t="s">
        <v>3353</v>
      </c>
      <c r="K857" s="56" t="s">
        <v>3207</v>
      </c>
      <c r="L857" s="56" t="s">
        <v>3208</v>
      </c>
      <c r="M857" s="56" t="str">
        <f>HYPERLINK("https://dribble.octin.io/?mode=Single+log&amp;log_id=6f90ac49-f726-449b-8cc0-0999ee56bcbf","URL")</f>
        <v>URL</v>
      </c>
      <c r="N857" s="56" t="s">
        <v>3466</v>
      </c>
      <c r="O857" t="str">
        <f>_xlfn.XLOOKUP(N857,'Error-codes'!$C$2:$C$130,'Error-codes'!$B$2:$B$130, "None")</f>
        <v>vision error</v>
      </c>
      <c r="U857" s="81">
        <f>DATEVALUE(LEFT(F857,10))</f>
        <v>44956</v>
      </c>
    </row>
    <row r="858" spans="1:21">
      <c r="A858" s="56" t="s">
        <v>5382</v>
      </c>
      <c r="B858" s="56" t="s">
        <v>3202</v>
      </c>
      <c r="C858" s="56" t="s">
        <v>5378</v>
      </c>
      <c r="D858" s="56" t="s">
        <v>37</v>
      </c>
      <c r="E858" s="56" t="s">
        <v>2939</v>
      </c>
      <c r="F858" s="56" t="s">
        <v>5383</v>
      </c>
      <c r="G858" s="56">
        <v>41</v>
      </c>
      <c r="H858" s="56">
        <v>2</v>
      </c>
      <c r="I858" s="58">
        <v>4.878048780487805E-2</v>
      </c>
      <c r="J858" s="56" t="s">
        <v>3353</v>
      </c>
      <c r="K858" s="56" t="s">
        <v>3207</v>
      </c>
      <c r="L858" s="56" t="s">
        <v>3208</v>
      </c>
      <c r="M858" s="56" t="str">
        <f>HYPERLINK("https://dribble.octin.io/?mode=Single+log&amp;log_id=724ddecd-388c-467d-8119-e2c3246e989c","URL")</f>
        <v>URL</v>
      </c>
      <c r="N858" s="56" t="s">
        <v>3466</v>
      </c>
      <c r="O858" t="str">
        <f>_xlfn.XLOOKUP(N858,'Error-codes'!$C$2:$C$130,'Error-codes'!$B$2:$B$130, "None")</f>
        <v>vision error</v>
      </c>
      <c r="U858" s="81">
        <f>DATEVALUE(LEFT(F858,10))</f>
        <v>44956</v>
      </c>
    </row>
    <row r="859" spans="1:21">
      <c r="A859" s="56" t="s">
        <v>5384</v>
      </c>
      <c r="B859" s="56" t="s">
        <v>3202</v>
      </c>
      <c r="C859" s="56" t="s">
        <v>5378</v>
      </c>
      <c r="D859" s="56" t="s">
        <v>37</v>
      </c>
      <c r="E859" s="56" t="s">
        <v>3242</v>
      </c>
      <c r="F859" s="56" t="s">
        <v>5385</v>
      </c>
      <c r="G859" s="56">
        <v>41</v>
      </c>
      <c r="H859" s="56">
        <v>3</v>
      </c>
      <c r="I859" s="58">
        <v>7.3170731707317069E-2</v>
      </c>
      <c r="J859" s="56" t="s">
        <v>5358</v>
      </c>
      <c r="K859" s="56" t="s">
        <v>3207</v>
      </c>
      <c r="L859" s="56" t="s">
        <v>3208</v>
      </c>
      <c r="M859" s="56" t="str">
        <f>HYPERLINK("https://dribble.octin.io/?mode=Single+log&amp;log_id=9d346523-14a0-49c6-8dde-6f6a0f41eb5b","URL")</f>
        <v>URL</v>
      </c>
      <c r="N859" s="56" t="s">
        <v>3466</v>
      </c>
      <c r="O859" t="str">
        <f>_xlfn.XLOOKUP(N859,'Error-codes'!$C$2:$C$130,'Error-codes'!$B$2:$B$130, "None")</f>
        <v>vision error</v>
      </c>
      <c r="U859" s="81">
        <f>DATEVALUE(LEFT(F859,10))</f>
        <v>44956</v>
      </c>
    </row>
    <row r="860" spans="1:21">
      <c r="A860" s="56" t="s">
        <v>5386</v>
      </c>
      <c r="B860" s="56" t="s">
        <v>3293</v>
      </c>
      <c r="C860" s="56" t="s">
        <v>5387</v>
      </c>
      <c r="D860" s="56" t="s">
        <v>37</v>
      </c>
      <c r="E860" s="56" t="s">
        <v>2939</v>
      </c>
      <c r="F860" s="56" t="s">
        <v>5388</v>
      </c>
      <c r="G860" s="56">
        <v>20</v>
      </c>
      <c r="H860" s="56">
        <v>5</v>
      </c>
      <c r="I860" s="58">
        <v>0.25</v>
      </c>
      <c r="J860" s="56" t="s">
        <v>3357</v>
      </c>
      <c r="K860" s="56" t="s">
        <v>3207</v>
      </c>
      <c r="L860" s="56" t="s">
        <v>5286</v>
      </c>
      <c r="M860" s="56" t="str">
        <f>HYPERLINK("https://dribble.octin.io/?mode=Single+log&amp;log_id=cd75ae63-6534-4fe3-99de-1807b5eba9ae","URL")</f>
        <v>URL</v>
      </c>
      <c r="N860" s="56" t="s">
        <v>3472</v>
      </c>
      <c r="O860" t="str">
        <f>_xlfn.XLOOKUP(N860,'Error-codes'!$C$2:$C$130,'Error-codes'!$B$2:$B$130, "None")</f>
        <v>Excessive slip detected</v>
      </c>
      <c r="P860" t="s">
        <v>5389</v>
      </c>
      <c r="U860" s="81">
        <f>DATEVALUE(LEFT(F860,10))</f>
        <v>44956</v>
      </c>
    </row>
    <row r="861" spans="1:21">
      <c r="A861" s="56"/>
      <c r="B861" s="56" t="s">
        <v>3202</v>
      </c>
      <c r="C861" s="56" t="s">
        <v>3248</v>
      </c>
      <c r="D861" s="56" t="s">
        <v>37</v>
      </c>
      <c r="E861" s="56" t="s">
        <v>2939</v>
      </c>
      <c r="F861" s="56" t="s">
        <v>3250</v>
      </c>
      <c r="G861" s="56">
        <v>38</v>
      </c>
      <c r="H861" s="56">
        <v>1</v>
      </c>
      <c r="I861" s="58">
        <v>2.6315789473684209E-2</v>
      </c>
      <c r="J861" s="56" t="s">
        <v>3251</v>
      </c>
      <c r="K861" s="56" t="s">
        <v>3207</v>
      </c>
      <c r="L861" s="56" t="s">
        <v>3208</v>
      </c>
      <c r="N861" s="56" t="s">
        <v>2933</v>
      </c>
      <c r="O861" t="str">
        <f>_xlfn.XLOOKUP(N861,'Error-codes'!$C$2:$C$130,'Error-codes'!$B$2:$B$130, "None")</f>
        <v>inductive sensor error</v>
      </c>
      <c r="U861" s="81">
        <f>DATEVALUE(LEFT(F861,10))</f>
        <v>44956</v>
      </c>
    </row>
    <row r="862" spans="1:21">
      <c r="A862" s="56" t="s">
        <v>5390</v>
      </c>
      <c r="B862" s="56" t="s">
        <v>3293</v>
      </c>
      <c r="C862" s="56" t="s">
        <v>5387</v>
      </c>
      <c r="D862" s="56" t="s">
        <v>37</v>
      </c>
      <c r="E862" s="56" t="s">
        <v>4253</v>
      </c>
      <c r="F862" s="56" t="s">
        <v>5391</v>
      </c>
      <c r="G862" s="56">
        <v>20</v>
      </c>
      <c r="H862" s="56">
        <v>17</v>
      </c>
      <c r="I862" s="58">
        <v>0.85</v>
      </c>
      <c r="J862" s="56" t="s">
        <v>5392</v>
      </c>
      <c r="K862" s="56" t="s">
        <v>3207</v>
      </c>
      <c r="L862" s="56" t="s">
        <v>5286</v>
      </c>
      <c r="M862" s="56" t="str">
        <f>HYPERLINK("https://dribble.octin.io/?mode=Single+log&amp;log_id=899f5ae4-5233-4632-a98a-33da2583a137","URL")</f>
        <v>URL</v>
      </c>
      <c r="N862" s="56" t="s">
        <v>3460</v>
      </c>
      <c r="O862" t="str">
        <f>_xlfn.XLOOKUP(N862,'Error-codes'!$C$2:$C$130,'Error-codes'!$B$2:$B$130, "None")</f>
        <v>motor drive: DRV8353 FAULT</v>
      </c>
      <c r="P862" t="s">
        <v>5393</v>
      </c>
      <c r="U862" s="81">
        <f>DATEVALUE(LEFT(F862,10))</f>
        <v>44956</v>
      </c>
    </row>
    <row r="863" spans="1:21">
      <c r="A863" s="56"/>
      <c r="B863" s="56" t="s">
        <v>3202</v>
      </c>
      <c r="C863" s="56" t="s">
        <v>3248</v>
      </c>
      <c r="D863" s="56" t="s">
        <v>37</v>
      </c>
      <c r="E863" s="56" t="s">
        <v>3204</v>
      </c>
      <c r="F863" s="56" t="s">
        <v>3249</v>
      </c>
      <c r="G863" s="56">
        <v>38</v>
      </c>
      <c r="H863" s="56">
        <v>37</v>
      </c>
      <c r="I863" s="58">
        <v>0.97368421052631582</v>
      </c>
      <c r="J863" s="56" t="s">
        <v>3233</v>
      </c>
      <c r="K863" s="56" t="s">
        <v>3207</v>
      </c>
      <c r="L863" s="56" t="s">
        <v>3208</v>
      </c>
      <c r="N863" s="56" t="s">
        <v>2933</v>
      </c>
      <c r="O863" t="str">
        <f>_xlfn.XLOOKUP(N863,'Error-codes'!$C$2:$C$130,'Error-codes'!$B$2:$B$130, "None")</f>
        <v>inductive sensor error</v>
      </c>
      <c r="U863" s="81">
        <f>DATEVALUE(LEFT(F863,10))</f>
        <v>44956</v>
      </c>
    </row>
    <row r="864" spans="1:21">
      <c r="A864" s="56"/>
      <c r="B864" s="56" t="s">
        <v>3202</v>
      </c>
      <c r="C864" s="56" t="s">
        <v>3246</v>
      </c>
      <c r="D864" s="56"/>
      <c r="E864" s="56"/>
      <c r="F864" s="56" t="s">
        <v>3247</v>
      </c>
      <c r="G864" s="56">
        <v>1</v>
      </c>
      <c r="H864" s="56">
        <v>0</v>
      </c>
      <c r="I864" s="58">
        <v>0</v>
      </c>
      <c r="J864" s="56" t="s">
        <v>3233</v>
      </c>
      <c r="K864" s="56" t="s">
        <v>3207</v>
      </c>
      <c r="L864" s="56" t="s">
        <v>3208</v>
      </c>
      <c r="N864" s="56" t="s">
        <v>2933</v>
      </c>
      <c r="O864" t="str">
        <f>_xlfn.XLOOKUP(N864,'Error-codes'!$C$2:$C$130,'Error-codes'!$B$2:$B$130, "None")</f>
        <v>inductive sensor error</v>
      </c>
      <c r="U864" s="81">
        <f>DATEVALUE(LEFT(F864,10))</f>
        <v>44956</v>
      </c>
    </row>
    <row r="865" spans="1:21">
      <c r="B865" s="77" t="s">
        <v>5394</v>
      </c>
      <c r="C865" s="77" t="s">
        <v>5395</v>
      </c>
      <c r="D865" s="77" t="s">
        <v>388</v>
      </c>
      <c r="E865" s="77"/>
      <c r="F865" s="77" t="s">
        <v>5396</v>
      </c>
      <c r="G865" s="77">
        <v>8</v>
      </c>
      <c r="H865" s="77">
        <v>8</v>
      </c>
      <c r="I865" s="77">
        <v>1</v>
      </c>
      <c r="J865" s="77"/>
      <c r="K865" s="77" t="s">
        <v>1873</v>
      </c>
      <c r="L865" s="77">
        <v>10</v>
      </c>
      <c r="O865">
        <f>_xlfn.XLOOKUP(N865,'Error-codes'!$C$2:$C$130,'Error-codes'!$B$2:$B$130, "None")</f>
        <v>0</v>
      </c>
      <c r="U865" s="81">
        <f>DATEVALUE(LEFT(F865,10))</f>
        <v>44957</v>
      </c>
    </row>
    <row r="866" spans="1:21">
      <c r="B866" s="77" t="s">
        <v>5394</v>
      </c>
      <c r="C866" s="77" t="s">
        <v>5397</v>
      </c>
      <c r="D866" s="77" t="s">
        <v>22</v>
      </c>
      <c r="E866" s="77"/>
      <c r="F866" s="77" t="s">
        <v>5398</v>
      </c>
      <c r="G866" s="77">
        <v>23</v>
      </c>
      <c r="H866" s="77">
        <v>1</v>
      </c>
      <c r="I866" s="77">
        <v>4.3478260869565001E-2</v>
      </c>
      <c r="J866" s="77"/>
      <c r="K866" s="77" t="s">
        <v>1873</v>
      </c>
      <c r="L866" s="77">
        <v>10</v>
      </c>
      <c r="O866">
        <f>_xlfn.XLOOKUP(N866,'Error-codes'!$C$2:$C$130,'Error-codes'!$B$2:$B$130, "None")</f>
        <v>0</v>
      </c>
      <c r="U866" s="81">
        <f>DATEVALUE(LEFT(F866,10))</f>
        <v>44957</v>
      </c>
    </row>
    <row r="867" spans="1:21">
      <c r="B867" s="77" t="s">
        <v>5394</v>
      </c>
      <c r="C867" s="77" t="s">
        <v>5399</v>
      </c>
      <c r="D867" s="77" t="s">
        <v>22</v>
      </c>
      <c r="E867" s="77"/>
      <c r="F867" s="77" t="s">
        <v>5400</v>
      </c>
      <c r="G867" s="77">
        <v>119</v>
      </c>
      <c r="H867" s="77">
        <v>1</v>
      </c>
      <c r="I867" s="77">
        <v>8.4033613445380004E-3</v>
      </c>
      <c r="J867" s="77"/>
      <c r="K867" s="77" t="s">
        <v>1893</v>
      </c>
      <c r="L867" s="77">
        <v>10</v>
      </c>
      <c r="O867">
        <f>_xlfn.XLOOKUP(N867,'Error-codes'!$C$2:$C$130,'Error-codes'!$B$2:$B$130, "None")</f>
        <v>0</v>
      </c>
      <c r="U867" s="81">
        <f>DATEVALUE(LEFT(F867,10))</f>
        <v>44957</v>
      </c>
    </row>
    <row r="868" spans="1:21">
      <c r="B868" s="77" t="s">
        <v>5394</v>
      </c>
      <c r="C868" s="77" t="s">
        <v>5401</v>
      </c>
      <c r="D868" s="77" t="s">
        <v>22</v>
      </c>
      <c r="E868" s="77"/>
      <c r="F868" s="77" t="s">
        <v>5402</v>
      </c>
      <c r="G868" s="77">
        <v>119</v>
      </c>
      <c r="H868" s="77">
        <v>1</v>
      </c>
      <c r="I868" s="77">
        <v>8.4033613445380004E-3</v>
      </c>
      <c r="J868" s="77"/>
      <c r="K868" s="77" t="s">
        <v>1893</v>
      </c>
      <c r="L868" s="77">
        <v>10</v>
      </c>
      <c r="O868">
        <f>_xlfn.XLOOKUP(N868,'Error-codes'!$C$2:$C$130,'Error-codes'!$B$2:$B$130, "None")</f>
        <v>0</v>
      </c>
      <c r="U868" s="81">
        <f>DATEVALUE(LEFT(F868,10))</f>
        <v>44957</v>
      </c>
    </row>
    <row r="869" spans="1:21">
      <c r="B869" s="77" t="s">
        <v>3202</v>
      </c>
      <c r="C869" s="77" t="s">
        <v>5403</v>
      </c>
      <c r="D869" s="77" t="s">
        <v>388</v>
      </c>
      <c r="E869" s="77"/>
      <c r="F869" s="77" t="s">
        <v>5404</v>
      </c>
      <c r="G869" s="77">
        <v>3</v>
      </c>
      <c r="H869" s="77">
        <v>3</v>
      </c>
      <c r="I869" s="77">
        <v>1</v>
      </c>
      <c r="J869" s="77"/>
      <c r="K869" s="77" t="s">
        <v>3207</v>
      </c>
      <c r="L869" s="77">
        <v>64</v>
      </c>
      <c r="M869" s="77"/>
      <c r="N869" s="77"/>
      <c r="O869">
        <f>_xlfn.XLOOKUP(N869,'Error-codes'!$C$2:$C$130,'Error-codes'!$B$2:$B$130, "None")</f>
        <v>0</v>
      </c>
      <c r="U869" s="81">
        <f>DATEVALUE(LEFT(F869,10))</f>
        <v>44957</v>
      </c>
    </row>
    <row r="870" spans="1:21">
      <c r="B870" s="77" t="s">
        <v>3202</v>
      </c>
      <c r="C870" s="77" t="s">
        <v>3252</v>
      </c>
      <c r="D870" s="77"/>
      <c r="E870" s="77" t="s">
        <v>2939</v>
      </c>
      <c r="F870" s="77" t="s">
        <v>3255</v>
      </c>
      <c r="G870" s="77">
        <v>45</v>
      </c>
      <c r="H870" s="77">
        <v>1</v>
      </c>
      <c r="I870" s="77">
        <v>2.2222222222222001E-2</v>
      </c>
      <c r="J870" s="77" t="s">
        <v>3229</v>
      </c>
      <c r="K870" s="77" t="s">
        <v>3207</v>
      </c>
      <c r="L870" s="77">
        <v>64</v>
      </c>
      <c r="M870" s="77"/>
      <c r="N870" s="77" t="s">
        <v>2933</v>
      </c>
      <c r="O870" t="str">
        <f>_xlfn.XLOOKUP(N870,'Error-codes'!$C$2:$C$130,'Error-codes'!$B$2:$B$130, "None")</f>
        <v>inductive sensor error</v>
      </c>
      <c r="U870" s="81">
        <f>DATEVALUE(LEFT(F870,10))</f>
        <v>44957</v>
      </c>
    </row>
    <row r="871" spans="1:21">
      <c r="B871" s="77" t="s">
        <v>3202</v>
      </c>
      <c r="C871" s="77" t="s">
        <v>3252</v>
      </c>
      <c r="D871" s="77"/>
      <c r="E871" s="77" t="s">
        <v>2939</v>
      </c>
      <c r="F871" s="77" t="s">
        <v>5405</v>
      </c>
      <c r="G871" s="77">
        <v>45</v>
      </c>
      <c r="H871" s="77">
        <v>10</v>
      </c>
      <c r="I871" s="77">
        <v>0.22222222222222199</v>
      </c>
      <c r="J871" s="77" t="s">
        <v>5406</v>
      </c>
      <c r="K871" s="77" t="s">
        <v>3207</v>
      </c>
      <c r="L871" s="77">
        <v>64</v>
      </c>
      <c r="M871" s="77"/>
      <c r="N871" s="77" t="s">
        <v>3454</v>
      </c>
      <c r="O871" t="str">
        <f>_xlfn.XLOOKUP(N871,'Error-codes'!$C$2:$C$130,'Error-codes'!$B$2:$B$130, "None")</f>
        <v>Veh low level FSM: safety was triggered</v>
      </c>
      <c r="U871" s="81">
        <f>DATEVALUE(LEFT(F871,10))</f>
        <v>44957</v>
      </c>
    </row>
    <row r="872" spans="1:21">
      <c r="B872" s="77" t="s">
        <v>3202</v>
      </c>
      <c r="C872" s="77" t="s">
        <v>3252</v>
      </c>
      <c r="D872" s="77"/>
      <c r="E872" s="77" t="s">
        <v>2939</v>
      </c>
      <c r="F872" s="77" t="s">
        <v>5407</v>
      </c>
      <c r="G872" s="77">
        <v>45</v>
      </c>
      <c r="H872" s="77">
        <v>16</v>
      </c>
      <c r="I872" s="77">
        <v>0.35555555555555601</v>
      </c>
      <c r="J872" s="77" t="s">
        <v>5408</v>
      </c>
      <c r="K872" s="77" t="s">
        <v>3207</v>
      </c>
      <c r="L872" s="77">
        <v>64</v>
      </c>
      <c r="M872" s="77"/>
      <c r="N872" s="77" t="s">
        <v>3454</v>
      </c>
      <c r="O872" t="str">
        <f>_xlfn.XLOOKUP(N872,'Error-codes'!$C$2:$C$130,'Error-codes'!$B$2:$B$130, "None")</f>
        <v>Veh low level FSM: safety was triggered</v>
      </c>
      <c r="U872" s="81">
        <f>DATEVALUE(LEFT(F872,10))</f>
        <v>44957</v>
      </c>
    </row>
    <row r="873" spans="1:21">
      <c r="A873" s="77" t="s">
        <v>5409</v>
      </c>
      <c r="B873" s="77" t="s">
        <v>3293</v>
      </c>
      <c r="C873" s="77" t="s">
        <v>5410</v>
      </c>
      <c r="D873" s="77" t="s">
        <v>388</v>
      </c>
      <c r="E873" s="77" t="s">
        <v>2939</v>
      </c>
      <c r="F873" s="77" t="s">
        <v>5411</v>
      </c>
      <c r="G873" s="77">
        <v>23</v>
      </c>
      <c r="H873" s="77">
        <v>11</v>
      </c>
      <c r="I873" s="77">
        <v>0.47826086956521702</v>
      </c>
      <c r="J873" s="77" t="s">
        <v>5412</v>
      </c>
      <c r="K873" s="77" t="s">
        <v>3207</v>
      </c>
      <c r="L873" s="77">
        <v>51</v>
      </c>
      <c r="M873" s="45" t="str">
        <f>HYPERLINK("https://dribble.octin.io/?mode=Single+log&amp;log_id=bf7bd3aa-f03d-431e-979a-ddac50321451","URL")</f>
        <v>URL</v>
      </c>
      <c r="N873" s="77" t="s">
        <v>3446</v>
      </c>
      <c r="O873" t="str">
        <f>_xlfn.XLOOKUP(N873,'Error-codes'!$C$2:$C$130,'Error-codes'!$B$2:$B$130, "None")</f>
        <v>end of lane wall sensor error</v>
      </c>
      <c r="P873" t="s">
        <v>5413</v>
      </c>
      <c r="U873" s="81">
        <f>DATEVALUE(LEFT(F873,10))</f>
        <v>44957</v>
      </c>
    </row>
    <row r="874" spans="1:21">
      <c r="A874" s="77"/>
      <c r="B874" s="77" t="s">
        <v>3293</v>
      </c>
      <c r="C874" s="77" t="s">
        <v>5410</v>
      </c>
      <c r="D874" s="77" t="s">
        <v>388</v>
      </c>
      <c r="E874" s="77"/>
      <c r="F874" s="77" t="s">
        <v>5414</v>
      </c>
      <c r="G874" s="77">
        <v>23</v>
      </c>
      <c r="H874" s="77">
        <v>22</v>
      </c>
      <c r="I874" s="77">
        <v>0.95652173913043503</v>
      </c>
      <c r="J874" s="77"/>
      <c r="K874" s="77" t="s">
        <v>3207</v>
      </c>
      <c r="L874" s="77">
        <v>51</v>
      </c>
      <c r="M874" s="77"/>
      <c r="N874" s="77"/>
      <c r="O874">
        <f>_xlfn.XLOOKUP(N874,'Error-codes'!$C$2:$C$130,'Error-codes'!$B$2:$B$130, "None")</f>
        <v>0</v>
      </c>
      <c r="U874" s="81">
        <f>DATEVALUE(LEFT(F874,10))</f>
        <v>44957</v>
      </c>
    </row>
    <row r="875" spans="1:21">
      <c r="B875" s="77" t="s">
        <v>3202</v>
      </c>
      <c r="C875" s="77" t="s">
        <v>3252</v>
      </c>
      <c r="D875" s="77"/>
      <c r="E875" s="77" t="s">
        <v>3253</v>
      </c>
      <c r="F875" s="77" t="s">
        <v>3254</v>
      </c>
      <c r="G875" s="77">
        <v>45</v>
      </c>
      <c r="H875" s="77">
        <v>44</v>
      </c>
      <c r="I875" s="77">
        <v>0.97777777777777797</v>
      </c>
      <c r="J875" s="77" t="s">
        <v>3233</v>
      </c>
      <c r="K875" s="77" t="s">
        <v>3207</v>
      </c>
      <c r="L875" s="77">
        <v>64</v>
      </c>
      <c r="M875" s="77"/>
      <c r="N875" s="77" t="s">
        <v>2933</v>
      </c>
      <c r="O875" t="str">
        <f>_xlfn.XLOOKUP(N875,'Error-codes'!$C$2:$C$130,'Error-codes'!$B$2:$B$130, "None")</f>
        <v>inductive sensor error</v>
      </c>
      <c r="U875" s="81">
        <f>DATEVALUE(LEFT(F875,10))</f>
        <v>44957</v>
      </c>
    </row>
    <row r="876" spans="1:21">
      <c r="B876" s="77" t="s">
        <v>3202</v>
      </c>
      <c r="C876" s="77" t="s">
        <v>5415</v>
      </c>
      <c r="D876" s="77" t="s">
        <v>388</v>
      </c>
      <c r="E876" s="77"/>
      <c r="F876" s="77" t="s">
        <v>5416</v>
      </c>
      <c r="G876" s="77">
        <v>3</v>
      </c>
      <c r="H876" s="77">
        <v>3</v>
      </c>
      <c r="I876" s="77">
        <v>1</v>
      </c>
      <c r="J876" s="77"/>
      <c r="K876" s="77" t="s">
        <v>3207</v>
      </c>
      <c r="L876" s="77">
        <v>61</v>
      </c>
      <c r="M876" s="77"/>
      <c r="N876" s="77"/>
      <c r="O876">
        <f>_xlfn.XLOOKUP(N876,'Error-codes'!$C$2:$C$130,'Error-codes'!$B$2:$B$130, "None")</f>
        <v>0</v>
      </c>
      <c r="U876" s="81">
        <f>DATEVALUE(LEFT(F876,10))</f>
        <v>44958</v>
      </c>
    </row>
    <row r="877" spans="1:21">
      <c r="B877" s="56" t="s">
        <v>3202</v>
      </c>
      <c r="C877" s="56" t="s">
        <v>5415</v>
      </c>
      <c r="D877" s="56" t="s">
        <v>388</v>
      </c>
      <c r="F877" s="56" t="s">
        <v>5416</v>
      </c>
      <c r="G877" s="56">
        <v>3</v>
      </c>
      <c r="H877" s="56">
        <v>3</v>
      </c>
      <c r="I877" s="56">
        <v>1</v>
      </c>
      <c r="K877" s="56" t="s">
        <v>3207</v>
      </c>
      <c r="L877" s="56" t="s">
        <v>5214</v>
      </c>
      <c r="O877">
        <f>_xlfn.XLOOKUP(N877,'Error-codes'!$C$2:$C$130,'Error-codes'!$B$2:$B$130, "None")</f>
        <v>0</v>
      </c>
      <c r="U877" s="81">
        <f>DATEVALUE(LEFT(F877,10))</f>
        <v>44958</v>
      </c>
    </row>
    <row r="878" spans="1:21">
      <c r="B878" s="77" t="s">
        <v>3202</v>
      </c>
      <c r="C878" s="77" t="s">
        <v>5417</v>
      </c>
      <c r="D878" s="77" t="s">
        <v>37</v>
      </c>
      <c r="E878" s="77" t="s">
        <v>4650</v>
      </c>
      <c r="F878" s="77" t="s">
        <v>5418</v>
      </c>
      <c r="G878" s="77">
        <v>37</v>
      </c>
      <c r="H878" s="77">
        <v>25</v>
      </c>
      <c r="I878" s="77">
        <v>0.67567567567567599</v>
      </c>
      <c r="J878" s="77" t="s">
        <v>3341</v>
      </c>
      <c r="K878" s="77" t="s">
        <v>3207</v>
      </c>
      <c r="L878" s="77">
        <v>61</v>
      </c>
      <c r="M878" s="77"/>
      <c r="N878" s="77" t="s">
        <v>3440</v>
      </c>
      <c r="O878" t="str">
        <f>_xlfn.XLOOKUP(N878,'Error-codes'!$C$2:$C$130,'Error-codes'!$B$2:$B$130, "None")</f>
        <v>Trajectory generation timeout</v>
      </c>
      <c r="U878" s="81">
        <f>DATEVALUE(LEFT(F878,10))</f>
        <v>44958</v>
      </c>
    </row>
    <row r="879" spans="1:21">
      <c r="A879" s="56"/>
      <c r="B879" s="56" t="s">
        <v>3202</v>
      </c>
      <c r="C879" s="56" t="s">
        <v>5417</v>
      </c>
      <c r="D879" s="56" t="s">
        <v>37</v>
      </c>
      <c r="E879" s="56" t="s">
        <v>4650</v>
      </c>
      <c r="F879" s="56" t="s">
        <v>5418</v>
      </c>
      <c r="G879" s="56">
        <v>37</v>
      </c>
      <c r="H879" s="56">
        <v>25</v>
      </c>
      <c r="I879" s="56">
        <v>0.67567567567567566</v>
      </c>
      <c r="J879" s="56" t="s">
        <v>3341</v>
      </c>
      <c r="K879" s="56" t="s">
        <v>3207</v>
      </c>
      <c r="L879" s="56" t="s">
        <v>5214</v>
      </c>
      <c r="N879" s="56" t="s">
        <v>3440</v>
      </c>
      <c r="O879" t="str">
        <f>_xlfn.XLOOKUP(N879,'Error-codes'!$C$2:$C$130,'Error-codes'!$B$2:$B$130, "None")</f>
        <v>Trajectory generation timeout</v>
      </c>
      <c r="U879" s="81">
        <f>DATEVALUE(LEFT(F879,10))</f>
        <v>44958</v>
      </c>
    </row>
    <row r="880" spans="1:21">
      <c r="A880" s="77" t="s">
        <v>5419</v>
      </c>
      <c r="B880" s="77" t="s">
        <v>3293</v>
      </c>
      <c r="C880" s="77" t="s">
        <v>5420</v>
      </c>
      <c r="D880" s="77" t="s">
        <v>388</v>
      </c>
      <c r="E880" s="77" t="s">
        <v>2939</v>
      </c>
      <c r="F880" s="77" t="s">
        <v>5421</v>
      </c>
      <c r="G880" s="77">
        <v>23</v>
      </c>
      <c r="H880" s="77">
        <v>4</v>
      </c>
      <c r="I880" s="77">
        <v>0.173913043478261</v>
      </c>
      <c r="J880" s="77" t="s">
        <v>5218</v>
      </c>
      <c r="K880" s="77" t="s">
        <v>3207</v>
      </c>
      <c r="L880" s="77">
        <v>51</v>
      </c>
      <c r="M880" s="45" t="str">
        <f>HYPERLINK("https://dribble.octin.io/?mode=Single+log&amp;log_id=ab0584cb-28fa-4c44-a7dd-4bd2e3187d10","URL")</f>
        <v>URL</v>
      </c>
      <c r="N880" s="77" t="s">
        <v>3446</v>
      </c>
      <c r="O880" t="str">
        <f>_xlfn.XLOOKUP(N880,'Error-codes'!$C$2:$C$130,'Error-codes'!$B$2:$B$130, "None")</f>
        <v>end of lane wall sensor error</v>
      </c>
      <c r="P880" t="s">
        <v>5413</v>
      </c>
      <c r="U880" s="81">
        <f>DATEVALUE(LEFT(F880,10))</f>
        <v>44958</v>
      </c>
    </row>
    <row r="881" spans="1:21">
      <c r="A881" s="56" t="s">
        <v>5419</v>
      </c>
      <c r="B881" s="56" t="s">
        <v>3293</v>
      </c>
      <c r="C881" s="56" t="s">
        <v>5420</v>
      </c>
      <c r="D881" s="56" t="s">
        <v>388</v>
      </c>
      <c r="E881" s="56" t="s">
        <v>2939</v>
      </c>
      <c r="F881" s="56" t="s">
        <v>5421</v>
      </c>
      <c r="G881" s="56">
        <v>23</v>
      </c>
      <c r="H881" s="56">
        <v>4</v>
      </c>
      <c r="I881" s="56">
        <v>0.17391304347826086</v>
      </c>
      <c r="J881" s="56" t="s">
        <v>5218</v>
      </c>
      <c r="K881" s="56" t="s">
        <v>3207</v>
      </c>
      <c r="L881" s="56" t="s">
        <v>3297</v>
      </c>
      <c r="M881" s="56" t="str">
        <f>HYPERLINK("https://dribble.octin.io/?mode=Single+log&amp;log_id=ab0584cb-28fa-4c44-a7dd-4bd2e3187d10","URL")</f>
        <v>URL</v>
      </c>
      <c r="N881" s="56" t="s">
        <v>3446</v>
      </c>
      <c r="O881" t="str">
        <f>_xlfn.XLOOKUP(N881,'Error-codes'!$C$2:$C$130,'Error-codes'!$B$2:$B$130, "None")</f>
        <v>end of lane wall sensor error</v>
      </c>
      <c r="P881" t="s">
        <v>5413</v>
      </c>
      <c r="U881" s="81">
        <f>DATEVALUE(LEFT(F881,10))</f>
        <v>44958</v>
      </c>
    </row>
    <row r="882" spans="1:21">
      <c r="B882" s="77" t="s">
        <v>3202</v>
      </c>
      <c r="C882" s="77" t="s">
        <v>5422</v>
      </c>
      <c r="D882" s="77" t="s">
        <v>388</v>
      </c>
      <c r="E882" s="77"/>
      <c r="F882" s="77" t="s">
        <v>5423</v>
      </c>
      <c r="G882" s="77">
        <v>12</v>
      </c>
      <c r="H882" s="77">
        <v>12</v>
      </c>
      <c r="I882" s="77">
        <v>1</v>
      </c>
      <c r="J882" s="77"/>
      <c r="K882" s="77" t="s">
        <v>3207</v>
      </c>
      <c r="L882" s="77">
        <v>61</v>
      </c>
      <c r="M882" s="77"/>
      <c r="N882" s="77"/>
      <c r="O882">
        <f>_xlfn.XLOOKUP(N882,'Error-codes'!$C$2:$C$130,'Error-codes'!$B$2:$B$130, "None")</f>
        <v>0</v>
      </c>
      <c r="U882" s="81">
        <f>DATEVALUE(LEFT(F882,10))</f>
        <v>44958</v>
      </c>
    </row>
    <row r="883" spans="1:21">
      <c r="B883" s="56" t="s">
        <v>3202</v>
      </c>
      <c r="C883" s="56" t="s">
        <v>5422</v>
      </c>
      <c r="D883" s="56" t="s">
        <v>388</v>
      </c>
      <c r="F883" s="56" t="s">
        <v>5423</v>
      </c>
      <c r="G883" s="56">
        <v>12</v>
      </c>
      <c r="H883" s="56">
        <v>12</v>
      </c>
      <c r="I883" s="56">
        <v>1</v>
      </c>
      <c r="K883" s="56" t="s">
        <v>3207</v>
      </c>
      <c r="L883" s="56" t="s">
        <v>5214</v>
      </c>
      <c r="O883">
        <f>_xlfn.XLOOKUP(N883,'Error-codes'!$C$2:$C$130,'Error-codes'!$B$2:$B$130, "None")</f>
        <v>0</v>
      </c>
      <c r="U883" s="81">
        <f>DATEVALUE(LEFT(F883,10))</f>
        <v>44958</v>
      </c>
    </row>
    <row r="884" spans="1:21">
      <c r="A884" s="77"/>
      <c r="B884" s="77" t="s">
        <v>3293</v>
      </c>
      <c r="C884" s="77" t="s">
        <v>5420</v>
      </c>
      <c r="D884" s="77" t="s">
        <v>388</v>
      </c>
      <c r="E884" s="77"/>
      <c r="F884" s="77" t="s">
        <v>5424</v>
      </c>
      <c r="G884" s="77">
        <v>23</v>
      </c>
      <c r="H884" s="77">
        <v>22</v>
      </c>
      <c r="I884" s="77">
        <v>0.95652173913043503</v>
      </c>
      <c r="J884" s="77"/>
      <c r="K884" s="77" t="s">
        <v>3207</v>
      </c>
      <c r="L884" s="77">
        <v>51</v>
      </c>
      <c r="M884" s="77"/>
      <c r="N884" s="77"/>
      <c r="O884">
        <f>_xlfn.XLOOKUP(N884,'Error-codes'!$C$2:$C$130,'Error-codes'!$B$2:$B$130, "None")</f>
        <v>0</v>
      </c>
      <c r="U884" s="81">
        <f>DATEVALUE(LEFT(F884,10))</f>
        <v>44958</v>
      </c>
    </row>
    <row r="885" spans="1:21">
      <c r="B885" s="56" t="s">
        <v>3293</v>
      </c>
      <c r="C885" s="56" t="s">
        <v>5420</v>
      </c>
      <c r="D885" s="56" t="s">
        <v>388</v>
      </c>
      <c r="F885" s="56" t="s">
        <v>5424</v>
      </c>
      <c r="G885" s="56">
        <v>23</v>
      </c>
      <c r="H885" s="56">
        <v>22</v>
      </c>
      <c r="I885" s="56">
        <v>0.95652173913043481</v>
      </c>
      <c r="K885" s="56" t="s">
        <v>3207</v>
      </c>
      <c r="L885" s="56" t="s">
        <v>3297</v>
      </c>
      <c r="O885">
        <f>_xlfn.XLOOKUP(N885,'Error-codes'!$C$2:$C$130,'Error-codes'!$B$2:$B$130, "None")</f>
        <v>0</v>
      </c>
      <c r="U885" s="81">
        <f>DATEVALUE(LEFT(F885,10))</f>
        <v>44958</v>
      </c>
    </row>
    <row r="886" spans="1:21">
      <c r="A886" s="56" t="s">
        <v>5425</v>
      </c>
      <c r="B886" s="56" t="s">
        <v>86</v>
      </c>
      <c r="C886" s="56" t="s">
        <v>5426</v>
      </c>
      <c r="D886" s="56" t="s">
        <v>37</v>
      </c>
      <c r="E886" s="56" t="s">
        <v>2939</v>
      </c>
      <c r="F886" s="56" t="s">
        <v>5427</v>
      </c>
      <c r="G886" s="56">
        <v>116</v>
      </c>
      <c r="H886" s="56">
        <v>0</v>
      </c>
      <c r="I886" s="56">
        <v>0</v>
      </c>
      <c r="J886" s="56" t="s">
        <v>3315</v>
      </c>
      <c r="K886" s="56" t="s">
        <v>3260</v>
      </c>
      <c r="L886" s="56" t="s">
        <v>3261</v>
      </c>
      <c r="M886" s="56" t="str">
        <f>HYPERLINK("https://dribble.octin.io/?mode=Single+log&amp;log_id=7d5708d8-a743-41dd-aeb4-74f1017e27a1","URL")</f>
        <v>URL</v>
      </c>
      <c r="N886" s="56" t="s">
        <v>3472</v>
      </c>
      <c r="O886" t="str">
        <f>_xlfn.XLOOKUP(N886,'Error-codes'!$C$2:$C$130,'Error-codes'!$B$2:$B$130, "None")</f>
        <v>Excessive slip detected</v>
      </c>
      <c r="U886" s="81">
        <f>DATEVALUE(LEFT(F886,10))</f>
        <v>44958</v>
      </c>
    </row>
    <row r="887" spans="1:21">
      <c r="A887" s="56" t="s">
        <v>5428</v>
      </c>
      <c r="B887" s="56" t="s">
        <v>86</v>
      </c>
      <c r="C887" s="56" t="s">
        <v>5426</v>
      </c>
      <c r="D887" s="56" t="s">
        <v>37</v>
      </c>
      <c r="E887" s="56" t="s">
        <v>3242</v>
      </c>
      <c r="F887" s="56" t="s">
        <v>5429</v>
      </c>
      <c r="G887" s="56">
        <v>116</v>
      </c>
      <c r="H887" s="56">
        <v>1</v>
      </c>
      <c r="I887" s="56">
        <v>8.6206896551724137E-3</v>
      </c>
      <c r="J887" s="56" t="s">
        <v>3259</v>
      </c>
      <c r="K887" s="56" t="s">
        <v>3260</v>
      </c>
      <c r="L887" s="56" t="s">
        <v>3261</v>
      </c>
      <c r="M887" s="56" t="str">
        <f>HYPERLINK("https://dribble.octin.io/?mode=Single+log&amp;log_id=b2d9e367-20ba-490f-bac5-1cd70714ba09","URL")</f>
        <v>URL</v>
      </c>
      <c r="N887" s="56" t="s">
        <v>3472</v>
      </c>
      <c r="O887" t="str">
        <f>_xlfn.XLOOKUP(N887,'Error-codes'!$C$2:$C$130,'Error-codes'!$B$2:$B$130, "None")</f>
        <v>Excessive slip detected</v>
      </c>
      <c r="U887" s="81">
        <f>DATEVALUE(LEFT(F887,10))</f>
        <v>44958</v>
      </c>
    </row>
    <row r="888" spans="1:21">
      <c r="A888" s="56" t="s">
        <v>5430</v>
      </c>
      <c r="B888" s="56" t="s">
        <v>86</v>
      </c>
      <c r="C888" s="56" t="s">
        <v>5431</v>
      </c>
      <c r="D888" s="56" t="s">
        <v>37</v>
      </c>
      <c r="E888" s="56" t="s">
        <v>3242</v>
      </c>
      <c r="F888" s="56" t="s">
        <v>5432</v>
      </c>
      <c r="G888" s="56">
        <v>9</v>
      </c>
      <c r="H888" s="56">
        <v>0</v>
      </c>
      <c r="I888" s="56">
        <v>0</v>
      </c>
      <c r="J888" s="56" t="s">
        <v>3315</v>
      </c>
      <c r="K888" s="56" t="s">
        <v>3260</v>
      </c>
      <c r="L888" s="56" t="s">
        <v>3261</v>
      </c>
      <c r="M888" s="56" t="str">
        <f>HYPERLINK("https://dribble.octin.io/?mode=Single+log&amp;log_id=a774867d-4269-4c45-afcb-56754fc9c205","URL")</f>
        <v>URL</v>
      </c>
      <c r="N888" s="56" t="s">
        <v>3472</v>
      </c>
      <c r="O888" t="str">
        <f>_xlfn.XLOOKUP(N888,'Error-codes'!$C$2:$C$130,'Error-codes'!$B$2:$B$130, "None")</f>
        <v>Excessive slip detected</v>
      </c>
      <c r="U888" s="81">
        <f>DATEVALUE(LEFT(F888,10))</f>
        <v>44958</v>
      </c>
    </row>
    <row r="889" spans="1:21">
      <c r="A889" s="56" t="s">
        <v>5433</v>
      </c>
      <c r="B889" s="56" t="s">
        <v>86</v>
      </c>
      <c r="C889" s="56" t="s">
        <v>5434</v>
      </c>
      <c r="D889" s="56" t="s">
        <v>37</v>
      </c>
      <c r="E889" s="56" t="s">
        <v>3242</v>
      </c>
      <c r="F889" s="56" t="s">
        <v>5435</v>
      </c>
      <c r="G889" s="56">
        <v>115</v>
      </c>
      <c r="H889" s="56">
        <v>0</v>
      </c>
      <c r="I889" s="56">
        <v>0</v>
      </c>
      <c r="J889" s="56" t="s">
        <v>3259</v>
      </c>
      <c r="K889" s="56" t="s">
        <v>3260</v>
      </c>
      <c r="L889" s="56" t="s">
        <v>3261</v>
      </c>
      <c r="M889" s="56" t="str">
        <f>HYPERLINK("https://dribble.octin.io/?mode=Single+log&amp;log_id=e0de07e2-2ccd-436c-bd86-cbb68a7d4dce","URL")</f>
        <v>URL</v>
      </c>
      <c r="N889" s="56" t="s">
        <v>3472</v>
      </c>
      <c r="O889" t="str">
        <f>_xlfn.XLOOKUP(N889,'Error-codes'!$C$2:$C$130,'Error-codes'!$B$2:$B$130, "None")</f>
        <v>Excessive slip detected</v>
      </c>
      <c r="U889" s="81">
        <f>DATEVALUE(LEFT(F889,10))</f>
        <v>44959</v>
      </c>
    </row>
    <row r="890" spans="1:21">
      <c r="A890" s="56" t="s">
        <v>5436</v>
      </c>
      <c r="B890" s="56" t="s">
        <v>86</v>
      </c>
      <c r="C890" s="56" t="s">
        <v>5437</v>
      </c>
      <c r="D890" s="56" t="s">
        <v>37</v>
      </c>
      <c r="E890" s="56" t="s">
        <v>2939</v>
      </c>
      <c r="F890" s="56" t="s">
        <v>5438</v>
      </c>
      <c r="G890" s="56">
        <v>116</v>
      </c>
      <c r="H890" s="56">
        <v>0</v>
      </c>
      <c r="I890" s="56">
        <v>0</v>
      </c>
      <c r="J890" s="56" t="s">
        <v>3315</v>
      </c>
      <c r="K890" s="56" t="s">
        <v>3260</v>
      </c>
      <c r="L890" s="56" t="s">
        <v>3261</v>
      </c>
      <c r="M890" s="56" t="str">
        <f>HYPERLINK("https://dribble.octin.io/?mode=Single+log&amp;log_id=ed00c4fe-8952-4da9-b845-0485789708e3","URL")</f>
        <v>URL</v>
      </c>
      <c r="N890" s="56" t="s">
        <v>3458</v>
      </c>
      <c r="O890" t="str">
        <f>_xlfn.XLOOKUP(N890,'Error-codes'!$C$2:$C$130,'Error-codes'!$B$2:$B$130, "None")</f>
        <v>motor drive: UNDER VOLTAGE</v>
      </c>
      <c r="U890" s="81">
        <f>DATEVALUE(LEFT(F890,10))</f>
        <v>44959</v>
      </c>
    </row>
    <row r="891" spans="1:21">
      <c r="A891" s="56"/>
      <c r="B891" s="56" t="s">
        <v>86</v>
      </c>
      <c r="C891" s="56" t="s">
        <v>5437</v>
      </c>
      <c r="D891" s="56" t="s">
        <v>37</v>
      </c>
      <c r="E891" s="56" t="s">
        <v>3204</v>
      </c>
      <c r="F891" s="56" t="s">
        <v>5439</v>
      </c>
      <c r="G891" s="56">
        <v>116</v>
      </c>
      <c r="H891" s="56">
        <v>1</v>
      </c>
      <c r="I891" s="56">
        <v>8.6206896551724137E-3</v>
      </c>
      <c r="J891" s="56" t="s">
        <v>3259</v>
      </c>
      <c r="K891" s="56" t="s">
        <v>3260</v>
      </c>
      <c r="L891" s="56" t="s">
        <v>3261</v>
      </c>
      <c r="N891" s="56" t="s">
        <v>3472</v>
      </c>
      <c r="O891" t="str">
        <f>_xlfn.XLOOKUP(N891,'Error-codes'!$C$2:$C$130,'Error-codes'!$B$2:$B$130, "None")</f>
        <v>Excessive slip detected</v>
      </c>
      <c r="U891" s="81">
        <f>DATEVALUE(LEFT(F891,10))</f>
        <v>44959</v>
      </c>
    </row>
    <row r="892" spans="1:21">
      <c r="A892" s="56" t="s">
        <v>5440</v>
      </c>
      <c r="B892" s="56" t="s">
        <v>86</v>
      </c>
      <c r="C892" s="56" t="s">
        <v>3257</v>
      </c>
      <c r="D892" s="56"/>
      <c r="E892" s="56" t="s">
        <v>2939</v>
      </c>
      <c r="F892" s="56" t="s">
        <v>5441</v>
      </c>
      <c r="G892" s="56">
        <v>6</v>
      </c>
      <c r="H892" s="56">
        <v>0</v>
      </c>
      <c r="I892" s="56">
        <v>0</v>
      </c>
      <c r="J892" s="56" t="s">
        <v>3259</v>
      </c>
      <c r="K892" s="56" t="s">
        <v>3260</v>
      </c>
      <c r="L892" s="56" t="s">
        <v>3261</v>
      </c>
      <c r="M892" s="56" t="str">
        <f>HYPERLINK("https://dribble.octin.io/?mode=Single+log&amp;log_id=0ef68b80-b089-4325-8109-ad3893111fd9","URL")</f>
        <v>URL</v>
      </c>
      <c r="N892" s="56" t="s">
        <v>3472</v>
      </c>
      <c r="O892" t="str">
        <f>_xlfn.XLOOKUP(N892,'Error-codes'!$C$2:$C$130,'Error-codes'!$B$2:$B$130, "None")</f>
        <v>Excessive slip detected</v>
      </c>
      <c r="U892" s="81">
        <f>DATEVALUE(LEFT(F892,10))</f>
        <v>44959</v>
      </c>
    </row>
    <row r="893" spans="1:21">
      <c r="A893" s="56" t="s">
        <v>3256</v>
      </c>
      <c r="B893" s="56" t="s">
        <v>86</v>
      </c>
      <c r="C893" s="56" t="s">
        <v>3257</v>
      </c>
      <c r="D893" s="56"/>
      <c r="E893" s="56" t="s">
        <v>3242</v>
      </c>
      <c r="F893" s="56" t="s">
        <v>3258</v>
      </c>
      <c r="G893" s="56">
        <v>6</v>
      </c>
      <c r="H893" s="56">
        <v>1</v>
      </c>
      <c r="I893" s="56">
        <v>0.16666666666666666</v>
      </c>
      <c r="J893" s="56" t="s">
        <v>3259</v>
      </c>
      <c r="K893" s="56" t="s">
        <v>3260</v>
      </c>
      <c r="L893" s="56" t="s">
        <v>3261</v>
      </c>
      <c r="M893" s="56" t="str">
        <f>HYPERLINK("https://dribble.octin.io/?mode=Single+log&amp;log_id=ff9dde8f-d7b2-47c5-a1b8-afda6add7131","URL")</f>
        <v>URL</v>
      </c>
      <c r="N893" s="56" t="s">
        <v>2933</v>
      </c>
      <c r="O893" t="str">
        <f>_xlfn.XLOOKUP(N893,'Error-codes'!$C$2:$C$130,'Error-codes'!$B$2:$B$130, "None")</f>
        <v>inductive sensor error</v>
      </c>
      <c r="Q893" t="s">
        <v>5442</v>
      </c>
      <c r="U893" s="81">
        <f>DATEVALUE(LEFT(F893,10))</f>
        <v>44959</v>
      </c>
    </row>
    <row r="894" spans="1:21">
      <c r="B894" s="77" t="s">
        <v>3202</v>
      </c>
      <c r="C894" s="77" t="s">
        <v>5443</v>
      </c>
      <c r="D894" s="77" t="s">
        <v>388</v>
      </c>
      <c r="E894" s="77"/>
      <c r="F894" s="77" t="s">
        <v>5444</v>
      </c>
      <c r="G894" s="77">
        <v>3</v>
      </c>
      <c r="H894" s="77">
        <v>3</v>
      </c>
      <c r="I894" s="77">
        <v>1</v>
      </c>
      <c r="J894" s="77"/>
      <c r="K894" s="77" t="s">
        <v>3207</v>
      </c>
      <c r="L894" s="77">
        <v>63</v>
      </c>
      <c r="O894">
        <f>_xlfn.XLOOKUP(N894,'Error-codes'!$C$2:$C$130,'Error-codes'!$B$2:$B$130, "None")</f>
        <v>0</v>
      </c>
      <c r="U894" s="81">
        <f>DATEVALUE(LEFT(F894,10))</f>
        <v>44959</v>
      </c>
    </row>
    <row r="895" spans="1:21">
      <c r="B895" s="56" t="s">
        <v>3202</v>
      </c>
      <c r="C895" s="56" t="s">
        <v>5443</v>
      </c>
      <c r="D895" s="56" t="s">
        <v>388</v>
      </c>
      <c r="F895" s="56" t="s">
        <v>5444</v>
      </c>
      <c r="G895" s="56">
        <v>3</v>
      </c>
      <c r="H895" s="56">
        <v>3</v>
      </c>
      <c r="I895" s="56">
        <v>1</v>
      </c>
      <c r="K895" s="56" t="s">
        <v>3207</v>
      </c>
      <c r="L895" s="56" t="s">
        <v>3302</v>
      </c>
      <c r="O895">
        <f>_xlfn.XLOOKUP(N895,'Error-codes'!$C$2:$C$130,'Error-codes'!$B$2:$B$130, "None")</f>
        <v>0</v>
      </c>
      <c r="U895" s="81">
        <f>DATEVALUE(LEFT(F895,10))</f>
        <v>44959</v>
      </c>
    </row>
    <row r="896" spans="1:21">
      <c r="A896" s="77" t="s">
        <v>5445</v>
      </c>
      <c r="B896" s="77" t="s">
        <v>3293</v>
      </c>
      <c r="C896" s="77" t="s">
        <v>5446</v>
      </c>
      <c r="D896" s="77" t="s">
        <v>388</v>
      </c>
      <c r="E896" s="77" t="s">
        <v>2939</v>
      </c>
      <c r="F896" s="77" t="s">
        <v>5447</v>
      </c>
      <c r="G896" s="77">
        <v>21</v>
      </c>
      <c r="H896" s="77">
        <v>14</v>
      </c>
      <c r="I896" s="77">
        <v>0.66666666666666696</v>
      </c>
      <c r="J896" s="77" t="s">
        <v>5448</v>
      </c>
      <c r="K896" s="77" t="s">
        <v>3207</v>
      </c>
      <c r="L896" s="77">
        <v>52</v>
      </c>
      <c r="M896" s="45" t="str">
        <f>HYPERLINK("https://dribble.octin.io/?mode=Single+log&amp;log_id=8db3abe6-01dc-4730-bcf1-a86462e2fd75","URL")</f>
        <v>URL</v>
      </c>
      <c r="N896" s="77" t="s">
        <v>3446</v>
      </c>
      <c r="O896" t="str">
        <f>_xlfn.XLOOKUP(N896,'Error-codes'!$C$2:$C$130,'Error-codes'!$B$2:$B$130, "None")</f>
        <v>end of lane wall sensor error</v>
      </c>
      <c r="P896" t="s">
        <v>5413</v>
      </c>
      <c r="U896" s="81">
        <f>DATEVALUE(LEFT(F896,10))</f>
        <v>44959</v>
      </c>
    </row>
    <row r="897" spans="1:21">
      <c r="A897" s="56" t="s">
        <v>5445</v>
      </c>
      <c r="B897" s="56" t="s">
        <v>3293</v>
      </c>
      <c r="C897" s="56" t="s">
        <v>5446</v>
      </c>
      <c r="D897" s="56" t="s">
        <v>388</v>
      </c>
      <c r="E897" s="56" t="s">
        <v>2939</v>
      </c>
      <c r="F897" s="56" t="s">
        <v>5447</v>
      </c>
      <c r="G897" s="56">
        <v>21</v>
      </c>
      <c r="H897" s="56">
        <v>14</v>
      </c>
      <c r="I897" s="56">
        <v>0.66666666666666663</v>
      </c>
      <c r="J897" s="56" t="s">
        <v>5448</v>
      </c>
      <c r="K897" s="56" t="s">
        <v>3207</v>
      </c>
      <c r="L897" s="56" t="s">
        <v>5286</v>
      </c>
      <c r="M897" s="56" t="str">
        <f>HYPERLINK("https://dribble.octin.io/?mode=Single+log&amp;log_id=8db3abe6-01dc-4730-bcf1-a86462e2fd75","URL")</f>
        <v>URL</v>
      </c>
      <c r="N897" s="56" t="s">
        <v>3446</v>
      </c>
      <c r="O897" t="str">
        <f>_xlfn.XLOOKUP(N897,'Error-codes'!$C$2:$C$130,'Error-codes'!$B$2:$B$130, "None")</f>
        <v>end of lane wall sensor error</v>
      </c>
      <c r="P897" t="s">
        <v>5413</v>
      </c>
      <c r="U897" s="81">
        <f>DATEVALUE(LEFT(F897,10))</f>
        <v>44959</v>
      </c>
    </row>
    <row r="898" spans="1:21">
      <c r="A898" s="77" t="s">
        <v>5449</v>
      </c>
      <c r="B898" s="77" t="s">
        <v>3293</v>
      </c>
      <c r="C898" s="77" t="s">
        <v>5446</v>
      </c>
      <c r="D898" s="77" t="s">
        <v>388</v>
      </c>
      <c r="E898" s="77" t="s">
        <v>2939</v>
      </c>
      <c r="F898" s="77" t="s">
        <v>5450</v>
      </c>
      <c r="G898" s="77">
        <v>21</v>
      </c>
      <c r="H898" s="77">
        <v>15</v>
      </c>
      <c r="I898" s="77">
        <v>0.71428571428571397</v>
      </c>
      <c r="J898" s="77" t="s">
        <v>3357</v>
      </c>
      <c r="K898" s="77" t="s">
        <v>3207</v>
      </c>
      <c r="L898" s="77">
        <v>52</v>
      </c>
      <c r="M898" s="45" t="str">
        <f>HYPERLINK("https://dribble.octin.io/?mode=Single+log&amp;log_id=8aad42ea-a5aa-4a88-a85f-f1c168600b68","URL")</f>
        <v>URL</v>
      </c>
      <c r="N898" s="77" t="s">
        <v>3472</v>
      </c>
      <c r="O898" t="str">
        <f>_xlfn.XLOOKUP(N898,'Error-codes'!$C$2:$C$130,'Error-codes'!$B$2:$B$130, "None")</f>
        <v>Excessive slip detected</v>
      </c>
      <c r="P898" t="s">
        <v>5389</v>
      </c>
      <c r="U898" s="81">
        <f>DATEVALUE(LEFT(F898,10))</f>
        <v>44959</v>
      </c>
    </row>
    <row r="899" spans="1:21">
      <c r="A899" s="56" t="s">
        <v>5449</v>
      </c>
      <c r="B899" s="56" t="s">
        <v>3293</v>
      </c>
      <c r="C899" s="56" t="s">
        <v>5446</v>
      </c>
      <c r="D899" s="56" t="s">
        <v>388</v>
      </c>
      <c r="E899" s="56" t="s">
        <v>2939</v>
      </c>
      <c r="F899" s="56" t="s">
        <v>5450</v>
      </c>
      <c r="G899" s="56">
        <v>21</v>
      </c>
      <c r="H899" s="56">
        <v>15</v>
      </c>
      <c r="I899" s="56">
        <v>0.7142857142857143</v>
      </c>
      <c r="J899" s="56" t="s">
        <v>3357</v>
      </c>
      <c r="K899" s="56" t="s">
        <v>3207</v>
      </c>
      <c r="L899" s="56" t="s">
        <v>5286</v>
      </c>
      <c r="M899" s="56" t="str">
        <f>HYPERLINK("https://dribble.octin.io/?mode=Single+log&amp;log_id=8aad42ea-a5aa-4a88-a85f-f1c168600b68","URL")</f>
        <v>URL</v>
      </c>
      <c r="N899" s="56" t="s">
        <v>3472</v>
      </c>
      <c r="O899" t="str">
        <f>_xlfn.XLOOKUP(N899,'Error-codes'!$C$2:$C$130,'Error-codes'!$B$2:$B$130, "None")</f>
        <v>Excessive slip detected</v>
      </c>
      <c r="P899" t="s">
        <v>5389</v>
      </c>
      <c r="U899" s="81">
        <f>DATEVALUE(LEFT(F899,10))</f>
        <v>44959</v>
      </c>
    </row>
    <row r="900" spans="1:21">
      <c r="A900" s="77"/>
      <c r="B900" s="77" t="s">
        <v>3293</v>
      </c>
      <c r="C900" s="77" t="s">
        <v>5446</v>
      </c>
      <c r="D900" s="77" t="s">
        <v>388</v>
      </c>
      <c r="E900" s="77"/>
      <c r="F900" s="77" t="s">
        <v>5451</v>
      </c>
      <c r="G900" s="77">
        <v>21</v>
      </c>
      <c r="H900" s="77">
        <v>19</v>
      </c>
      <c r="I900" s="77">
        <v>0.90476190476190499</v>
      </c>
      <c r="J900" s="77"/>
      <c r="K900" s="77" t="s">
        <v>3207</v>
      </c>
      <c r="L900" s="77">
        <v>52</v>
      </c>
      <c r="M900" s="77"/>
      <c r="N900" s="77"/>
      <c r="O900">
        <f>_xlfn.XLOOKUP(N900,'Error-codes'!$C$2:$C$130,'Error-codes'!$B$2:$B$130, "None")</f>
        <v>0</v>
      </c>
      <c r="U900" s="81">
        <f>DATEVALUE(LEFT(F900,10))</f>
        <v>44959</v>
      </c>
    </row>
    <row r="901" spans="1:21">
      <c r="B901" s="56" t="s">
        <v>3293</v>
      </c>
      <c r="C901" s="56" t="s">
        <v>5446</v>
      </c>
      <c r="D901" s="56" t="s">
        <v>388</v>
      </c>
      <c r="F901" s="56" t="s">
        <v>5451</v>
      </c>
      <c r="G901" s="56">
        <v>21</v>
      </c>
      <c r="H901" s="56">
        <v>19</v>
      </c>
      <c r="I901" s="56">
        <v>0.90476190476190477</v>
      </c>
      <c r="K901" s="56" t="s">
        <v>3207</v>
      </c>
      <c r="L901" s="56" t="s">
        <v>5286</v>
      </c>
      <c r="O901">
        <f>_xlfn.XLOOKUP(N901,'Error-codes'!$C$2:$C$130,'Error-codes'!$B$2:$B$130, "None")</f>
        <v>0</v>
      </c>
      <c r="U901" s="81">
        <f>DATEVALUE(LEFT(F901,10))</f>
        <v>44959</v>
      </c>
    </row>
    <row r="902" spans="1:21">
      <c r="B902" s="77" t="s">
        <v>3202</v>
      </c>
      <c r="C902" s="77" t="s">
        <v>5452</v>
      </c>
      <c r="D902" s="77" t="s">
        <v>388</v>
      </c>
      <c r="E902" s="77"/>
      <c r="F902" s="77" t="s">
        <v>5453</v>
      </c>
      <c r="G902" s="77">
        <v>37</v>
      </c>
      <c r="H902" s="77">
        <v>37</v>
      </c>
      <c r="I902" s="77">
        <v>1</v>
      </c>
      <c r="J902" s="77"/>
      <c r="K902" s="77" t="s">
        <v>3207</v>
      </c>
      <c r="L902" s="77">
        <v>63</v>
      </c>
      <c r="O902">
        <f>_xlfn.XLOOKUP(N902,'Error-codes'!$C$2:$C$130,'Error-codes'!$B$2:$B$130, "None")</f>
        <v>0</v>
      </c>
      <c r="U902" s="81">
        <f>DATEVALUE(LEFT(F902,10))</f>
        <v>44959</v>
      </c>
    </row>
    <row r="903" spans="1:21">
      <c r="B903" s="56" t="s">
        <v>3202</v>
      </c>
      <c r="C903" s="56" t="s">
        <v>5452</v>
      </c>
      <c r="D903" s="56" t="s">
        <v>388</v>
      </c>
      <c r="F903" s="56" t="s">
        <v>5453</v>
      </c>
      <c r="G903" s="56">
        <v>37</v>
      </c>
      <c r="H903" s="56">
        <v>37</v>
      </c>
      <c r="I903" s="56">
        <v>1</v>
      </c>
      <c r="K903" s="56" t="s">
        <v>3207</v>
      </c>
      <c r="L903" s="56" t="s">
        <v>3302</v>
      </c>
      <c r="O903">
        <f>_xlfn.XLOOKUP(N903,'Error-codes'!$C$2:$C$130,'Error-codes'!$B$2:$B$130, "None")</f>
        <v>0</v>
      </c>
      <c r="U903" s="81">
        <f>DATEVALUE(LEFT(F903,10))</f>
        <v>44959</v>
      </c>
    </row>
    <row r="904" spans="1:21">
      <c r="A904" s="77" t="s">
        <v>5454</v>
      </c>
      <c r="B904" s="77" t="s">
        <v>3263</v>
      </c>
      <c r="C904" s="77" t="s">
        <v>5455</v>
      </c>
      <c r="D904" s="77" t="s">
        <v>37</v>
      </c>
      <c r="E904" s="77" t="s">
        <v>4701</v>
      </c>
      <c r="F904" s="77" t="s">
        <v>5456</v>
      </c>
      <c r="G904" s="77">
        <v>80</v>
      </c>
      <c r="H904" s="77">
        <v>1</v>
      </c>
      <c r="I904" s="77">
        <v>1.2500000000000001E-2</v>
      </c>
      <c r="J904" s="77" t="s">
        <v>5457</v>
      </c>
      <c r="K904" s="77" t="s">
        <v>3268</v>
      </c>
      <c r="L904" s="77">
        <v>22</v>
      </c>
      <c r="M904" s="45" t="str">
        <f>HYPERLINK("https://dribble.octin.io/?mode=Single+log&amp;log_id=7d57e065-ae26-4a66-a8da-0913b376f568","URL")</f>
        <v>URL</v>
      </c>
      <c r="N904" s="77" t="s">
        <v>3436</v>
      </c>
      <c r="O904" t="str">
        <f>_xlfn.XLOOKUP(N904,'Error-codes'!$C$2:$C$130,'Error-codes'!$B$2:$B$130, "None")</f>
        <v>Obstacle avoidance (AStar) timeout</v>
      </c>
      <c r="U904" s="81">
        <f>DATEVALUE(LEFT(F904,10))</f>
        <v>44959</v>
      </c>
    </row>
    <row r="905" spans="1:21">
      <c r="A905" s="56" t="s">
        <v>5454</v>
      </c>
      <c r="B905" s="56" t="s">
        <v>3263</v>
      </c>
      <c r="C905" s="56" t="s">
        <v>5455</v>
      </c>
      <c r="D905" s="56" t="s">
        <v>37</v>
      </c>
      <c r="E905" s="56" t="s">
        <v>4701</v>
      </c>
      <c r="F905" s="56" t="s">
        <v>5456</v>
      </c>
      <c r="G905" s="56">
        <v>80</v>
      </c>
      <c r="H905" s="56">
        <v>1</v>
      </c>
      <c r="I905" s="56">
        <v>1.2500000000000001E-2</v>
      </c>
      <c r="J905" s="56" t="s">
        <v>5457</v>
      </c>
      <c r="K905" s="56" t="s">
        <v>3268</v>
      </c>
      <c r="L905" s="56" t="s">
        <v>3269</v>
      </c>
      <c r="M905" s="56" t="str">
        <f>HYPERLINK("https://dribble.octin.io/?mode=Single+log&amp;log_id=7d57e065-ae26-4a66-a8da-0913b376f568","URL")</f>
        <v>URL</v>
      </c>
      <c r="N905" s="56" t="s">
        <v>3436</v>
      </c>
      <c r="O905" t="str">
        <f>_xlfn.XLOOKUP(N905,'Error-codes'!$C$2:$C$130,'Error-codes'!$B$2:$B$130, "None")</f>
        <v>Obstacle avoidance (AStar) timeout</v>
      </c>
      <c r="U905" s="81">
        <f>DATEVALUE(LEFT(F905,10))</f>
        <v>44959</v>
      </c>
    </row>
    <row r="906" spans="1:21">
      <c r="A906" s="77" t="s">
        <v>5458</v>
      </c>
      <c r="B906" s="77" t="s">
        <v>3263</v>
      </c>
      <c r="C906" s="77" t="s">
        <v>5459</v>
      </c>
      <c r="D906" s="77" t="s">
        <v>37</v>
      </c>
      <c r="E906" s="77" t="s">
        <v>3253</v>
      </c>
      <c r="F906" s="77" t="s">
        <v>5460</v>
      </c>
      <c r="G906" s="77">
        <v>5</v>
      </c>
      <c r="H906" s="77">
        <v>1</v>
      </c>
      <c r="I906" s="77">
        <v>0.2</v>
      </c>
      <c r="J906" s="77" t="s">
        <v>5457</v>
      </c>
      <c r="K906" s="77" t="s">
        <v>3268</v>
      </c>
      <c r="L906" s="77">
        <v>22</v>
      </c>
      <c r="M906" s="45" t="str">
        <f>HYPERLINK("https://dribble.octin.io/?mode=Single+log&amp;log_id=f1da2c05-1197-4116-b0d2-6735319b5f9b","URL")</f>
        <v>URL</v>
      </c>
      <c r="N906" s="77" t="s">
        <v>3454</v>
      </c>
      <c r="O906" t="str">
        <f>_xlfn.XLOOKUP(N906,'Error-codes'!$C$2:$C$130,'Error-codes'!$B$2:$B$130, "None")</f>
        <v>Veh low level FSM: safety was triggered</v>
      </c>
      <c r="U906" s="81">
        <f>DATEVALUE(LEFT(F906,10))</f>
        <v>44959</v>
      </c>
    </row>
    <row r="907" spans="1:21">
      <c r="A907" s="56" t="s">
        <v>5458</v>
      </c>
      <c r="B907" s="56" t="s">
        <v>3263</v>
      </c>
      <c r="C907" s="56" t="s">
        <v>5459</v>
      </c>
      <c r="D907" s="56" t="s">
        <v>37</v>
      </c>
      <c r="E907" s="56" t="s">
        <v>3253</v>
      </c>
      <c r="F907" s="56" t="s">
        <v>5460</v>
      </c>
      <c r="G907" s="56">
        <v>5</v>
      </c>
      <c r="H907" s="56">
        <v>1</v>
      </c>
      <c r="I907" s="56">
        <v>0.2</v>
      </c>
      <c r="J907" s="56" t="s">
        <v>5457</v>
      </c>
      <c r="K907" s="56" t="s">
        <v>3268</v>
      </c>
      <c r="L907" s="56" t="s">
        <v>3269</v>
      </c>
      <c r="M907" s="56" t="str">
        <f>HYPERLINK("https://dribble.octin.io/?mode=Single+log&amp;log_id=f1da2c05-1197-4116-b0d2-6735319b5f9b","URL")</f>
        <v>URL</v>
      </c>
      <c r="N907" s="56" t="s">
        <v>3454</v>
      </c>
      <c r="O907" t="str">
        <f>_xlfn.XLOOKUP(N907,'Error-codes'!$C$2:$C$130,'Error-codes'!$B$2:$B$130, "None")</f>
        <v>Veh low level FSM: safety was triggered</v>
      </c>
      <c r="U907" s="81">
        <f>DATEVALUE(LEFT(F907,10))</f>
        <v>44959</v>
      </c>
    </row>
    <row r="908" spans="1:21">
      <c r="A908" s="77" t="s">
        <v>5461</v>
      </c>
      <c r="B908" s="77" t="s">
        <v>3263</v>
      </c>
      <c r="C908" s="77" t="s">
        <v>5462</v>
      </c>
      <c r="D908" s="77" t="s">
        <v>37</v>
      </c>
      <c r="E908" s="77" t="s">
        <v>4690</v>
      </c>
      <c r="F908" s="77" t="s">
        <v>5463</v>
      </c>
      <c r="G908" s="77">
        <v>11</v>
      </c>
      <c r="H908" s="77">
        <v>1</v>
      </c>
      <c r="I908" s="77">
        <v>9.0909090909090995E-2</v>
      </c>
      <c r="J908" s="77" t="s">
        <v>5464</v>
      </c>
      <c r="K908" s="77" t="s">
        <v>3268</v>
      </c>
      <c r="L908" s="77">
        <v>22</v>
      </c>
      <c r="M908" s="45" t="str">
        <f>HYPERLINK("https://dribble.octin.io/?mode=Single+log&amp;log_id=023e62ef-16b1-4720-b3f7-d835e8e54f0b","URL")</f>
        <v>URL</v>
      </c>
      <c r="N908" s="77" t="s">
        <v>3438</v>
      </c>
      <c r="O908" t="str">
        <f>_xlfn.XLOOKUP(N908,'Error-codes'!$C$2:$C$130,'Error-codes'!$B$2:$B$130, "None")</f>
        <v>Failed to find feasible path</v>
      </c>
      <c r="U908" s="81">
        <f>DATEVALUE(LEFT(F908,10))</f>
        <v>44959</v>
      </c>
    </row>
    <row r="909" spans="1:21">
      <c r="A909" s="56" t="s">
        <v>5461</v>
      </c>
      <c r="B909" s="56" t="s">
        <v>3263</v>
      </c>
      <c r="C909" s="56" t="s">
        <v>5462</v>
      </c>
      <c r="D909" s="56" t="s">
        <v>37</v>
      </c>
      <c r="E909" s="56" t="s">
        <v>4690</v>
      </c>
      <c r="F909" s="56" t="s">
        <v>5463</v>
      </c>
      <c r="G909" s="56">
        <v>11</v>
      </c>
      <c r="H909" s="56">
        <v>1</v>
      </c>
      <c r="I909" s="56">
        <v>9.0909090909090912E-2</v>
      </c>
      <c r="J909" s="56" t="s">
        <v>5464</v>
      </c>
      <c r="K909" s="56" t="s">
        <v>3268</v>
      </c>
      <c r="L909" s="56" t="s">
        <v>3269</v>
      </c>
      <c r="M909" s="56" t="str">
        <f>HYPERLINK("https://dribble.octin.io/?mode=Single+log&amp;log_id=023e62ef-16b1-4720-b3f7-d835e8e54f0b","URL")</f>
        <v>URL</v>
      </c>
      <c r="N909" s="56" t="s">
        <v>3438</v>
      </c>
      <c r="O909" t="str">
        <f>_xlfn.XLOOKUP(N909,'Error-codes'!$C$2:$C$130,'Error-codes'!$B$2:$B$130, "None")</f>
        <v>Failed to find feasible path</v>
      </c>
      <c r="U909" s="81">
        <f>DATEVALUE(LEFT(F909,10))</f>
        <v>44959</v>
      </c>
    </row>
    <row r="910" spans="1:21">
      <c r="A910" s="77" t="s">
        <v>5465</v>
      </c>
      <c r="B910" s="77" t="s">
        <v>3263</v>
      </c>
      <c r="C910" s="77" t="s">
        <v>5466</v>
      </c>
      <c r="D910" s="77" t="s">
        <v>22</v>
      </c>
      <c r="E910" s="77" t="s">
        <v>2939</v>
      </c>
      <c r="F910" s="77" t="s">
        <v>5467</v>
      </c>
      <c r="G910" s="77">
        <v>10</v>
      </c>
      <c r="H910" s="77">
        <v>1</v>
      </c>
      <c r="I910" s="77">
        <v>0.1</v>
      </c>
      <c r="J910" s="77" t="s">
        <v>5464</v>
      </c>
      <c r="K910" s="77" t="s">
        <v>3268</v>
      </c>
      <c r="L910" s="77">
        <v>22</v>
      </c>
      <c r="M910" s="45" t="str">
        <f>HYPERLINK("https://dribble.octin.io/?mode=Single+log&amp;log_id=29428641-51c0-4602-92d6-ede5d58eb2ef","URL")</f>
        <v>URL</v>
      </c>
      <c r="N910" s="77" t="s">
        <v>3454</v>
      </c>
      <c r="O910" t="str">
        <f>_xlfn.XLOOKUP(N910,'Error-codes'!$C$2:$C$130,'Error-codes'!$B$2:$B$130, "None")</f>
        <v>Veh low level FSM: safety was triggered</v>
      </c>
      <c r="U910" s="81">
        <f>DATEVALUE(LEFT(F910,10))</f>
        <v>44959</v>
      </c>
    </row>
    <row r="911" spans="1:21">
      <c r="A911" s="56" t="s">
        <v>5465</v>
      </c>
      <c r="B911" s="56" t="s">
        <v>3263</v>
      </c>
      <c r="C911" s="56" t="s">
        <v>5466</v>
      </c>
      <c r="D911" s="56" t="s">
        <v>22</v>
      </c>
      <c r="E911" s="56" t="s">
        <v>2939</v>
      </c>
      <c r="F911" s="56" t="s">
        <v>5467</v>
      </c>
      <c r="G911" s="56">
        <v>10</v>
      </c>
      <c r="H911" s="56">
        <v>1</v>
      </c>
      <c r="I911" s="56">
        <v>0.1</v>
      </c>
      <c r="J911" s="56" t="s">
        <v>5464</v>
      </c>
      <c r="K911" s="56" t="s">
        <v>3268</v>
      </c>
      <c r="L911" s="56" t="s">
        <v>3269</v>
      </c>
      <c r="M911" s="56" t="str">
        <f>HYPERLINK("https://dribble.octin.io/?mode=Single+log&amp;log_id=29428641-51c0-4602-92d6-ede5d58eb2ef","URL")</f>
        <v>URL</v>
      </c>
      <c r="N911" s="56" t="s">
        <v>3454</v>
      </c>
      <c r="O911" t="str">
        <f>_xlfn.XLOOKUP(N911,'Error-codes'!$C$2:$C$130,'Error-codes'!$B$2:$B$130, "None")</f>
        <v>Veh low level FSM: safety was triggered</v>
      </c>
      <c r="U911" s="81">
        <f>DATEVALUE(LEFT(F911,10))</f>
        <v>44959</v>
      </c>
    </row>
    <row r="912" spans="1:21">
      <c r="A912" s="77" t="s">
        <v>5468</v>
      </c>
      <c r="B912" s="77" t="s">
        <v>3263</v>
      </c>
      <c r="C912" s="77" t="s">
        <v>5469</v>
      </c>
      <c r="D912" s="77" t="s">
        <v>37</v>
      </c>
      <c r="E912" s="77" t="s">
        <v>4690</v>
      </c>
      <c r="F912" s="77" t="s">
        <v>5470</v>
      </c>
      <c r="G912" s="77">
        <v>74</v>
      </c>
      <c r="H912" s="77">
        <v>1</v>
      </c>
      <c r="I912" s="77">
        <v>1.3513513513514E-2</v>
      </c>
      <c r="J912" s="77" t="s">
        <v>5471</v>
      </c>
      <c r="K912" s="77" t="s">
        <v>3268</v>
      </c>
      <c r="L912" s="77">
        <v>22</v>
      </c>
      <c r="M912" s="45" t="str">
        <f>HYPERLINK("https://dribble.octin.io/?mode=Single+log&amp;log_id=42c4bce8-605d-40b7-bbb8-e0b5e5c9c7e2","URL")</f>
        <v>URL</v>
      </c>
      <c r="N912" s="77" t="s">
        <v>3438</v>
      </c>
      <c r="O912" t="str">
        <f>_xlfn.XLOOKUP(N912,'Error-codes'!$C$2:$C$130,'Error-codes'!$B$2:$B$130, "None")</f>
        <v>Failed to find feasible path</v>
      </c>
      <c r="U912" s="81">
        <f>DATEVALUE(LEFT(F912,10))</f>
        <v>44960</v>
      </c>
    </row>
    <row r="913" spans="1:21">
      <c r="A913" s="56" t="s">
        <v>5468</v>
      </c>
      <c r="B913" s="56" t="s">
        <v>3263</v>
      </c>
      <c r="C913" s="56" t="s">
        <v>5469</v>
      </c>
      <c r="D913" s="56" t="s">
        <v>37</v>
      </c>
      <c r="E913" s="56" t="s">
        <v>4690</v>
      </c>
      <c r="F913" s="56" t="s">
        <v>5470</v>
      </c>
      <c r="G913" s="56">
        <v>74</v>
      </c>
      <c r="H913" s="56">
        <v>1</v>
      </c>
      <c r="I913" s="56">
        <v>1.3513513513513514E-2</v>
      </c>
      <c r="J913" s="56" t="s">
        <v>5471</v>
      </c>
      <c r="K913" s="56" t="s">
        <v>3268</v>
      </c>
      <c r="L913" s="56" t="s">
        <v>3269</v>
      </c>
      <c r="M913" s="56" t="str">
        <f>HYPERLINK("https://dribble.octin.io/?mode=Single+log&amp;log_id=42c4bce8-605d-40b7-bbb8-e0b5e5c9c7e2","URL")</f>
        <v>URL</v>
      </c>
      <c r="N913" s="56" t="s">
        <v>3438</v>
      </c>
      <c r="O913" t="str">
        <f>_xlfn.XLOOKUP(N913,'Error-codes'!$C$2:$C$130,'Error-codes'!$B$2:$B$130, "None")</f>
        <v>Failed to find feasible path</v>
      </c>
      <c r="U913" s="81">
        <f>DATEVALUE(LEFT(F913,10))</f>
        <v>44960</v>
      </c>
    </row>
    <row r="914" spans="1:21">
      <c r="A914" s="77" t="s">
        <v>5472</v>
      </c>
      <c r="B914" s="77" t="s">
        <v>3263</v>
      </c>
      <c r="C914" s="77" t="s">
        <v>5473</v>
      </c>
      <c r="D914" s="77" t="s">
        <v>37</v>
      </c>
      <c r="E914" s="77" t="s">
        <v>4690</v>
      </c>
      <c r="F914" s="77" t="s">
        <v>5474</v>
      </c>
      <c r="G914" s="77">
        <v>74</v>
      </c>
      <c r="H914" s="77">
        <v>1</v>
      </c>
      <c r="I914" s="77">
        <v>1.3513513513514E-2</v>
      </c>
      <c r="J914" s="77" t="s">
        <v>3315</v>
      </c>
      <c r="K914" s="77" t="s">
        <v>3268</v>
      </c>
      <c r="L914" s="77">
        <v>22</v>
      </c>
      <c r="M914" s="45" t="str">
        <f>HYPERLINK("https://dribble.octin.io/?mode=Single+log&amp;log_id=5b8ff5d4-92be-4d72-9216-ef936c79d739","URL")</f>
        <v>URL</v>
      </c>
      <c r="N914" s="77" t="s">
        <v>3438</v>
      </c>
      <c r="O914" t="str">
        <f>_xlfn.XLOOKUP(N914,'Error-codes'!$C$2:$C$130,'Error-codes'!$B$2:$B$130, "None")</f>
        <v>Failed to find feasible path</v>
      </c>
      <c r="U914" s="81">
        <f>DATEVALUE(LEFT(F914,10))</f>
        <v>44960</v>
      </c>
    </row>
    <row r="915" spans="1:21">
      <c r="A915" s="56" t="s">
        <v>5472</v>
      </c>
      <c r="B915" s="56" t="s">
        <v>3263</v>
      </c>
      <c r="C915" s="56" t="s">
        <v>5473</v>
      </c>
      <c r="D915" s="56" t="s">
        <v>37</v>
      </c>
      <c r="E915" s="56" t="s">
        <v>4690</v>
      </c>
      <c r="F915" s="56" t="s">
        <v>5474</v>
      </c>
      <c r="G915" s="56">
        <v>74</v>
      </c>
      <c r="H915" s="56">
        <v>1</v>
      </c>
      <c r="I915" s="56">
        <v>1.3513513513513514E-2</v>
      </c>
      <c r="J915" s="56" t="s">
        <v>3315</v>
      </c>
      <c r="K915" s="56" t="s">
        <v>3268</v>
      </c>
      <c r="L915" s="56" t="s">
        <v>3269</v>
      </c>
      <c r="M915" s="56" t="str">
        <f>HYPERLINK("https://dribble.octin.io/?mode=Single+log&amp;log_id=5b8ff5d4-92be-4d72-9216-ef936c79d739","URL")</f>
        <v>URL</v>
      </c>
      <c r="N915" s="56" t="s">
        <v>3438</v>
      </c>
      <c r="O915" t="str">
        <f>_xlfn.XLOOKUP(N915,'Error-codes'!$C$2:$C$130,'Error-codes'!$B$2:$B$130, "None")</f>
        <v>Failed to find feasible path</v>
      </c>
      <c r="U915" s="81">
        <f>DATEVALUE(LEFT(F915,10))</f>
        <v>44960</v>
      </c>
    </row>
    <row r="916" spans="1:21">
      <c r="A916" s="77"/>
      <c r="B916" s="77" t="s">
        <v>3263</v>
      </c>
      <c r="C916" s="77" t="s">
        <v>5475</v>
      </c>
      <c r="D916" s="77" t="s">
        <v>22</v>
      </c>
      <c r="E916" s="77"/>
      <c r="F916" s="77" t="s">
        <v>5476</v>
      </c>
      <c r="G916" s="77">
        <v>56</v>
      </c>
      <c r="H916" s="77">
        <v>0</v>
      </c>
      <c r="I916" s="77">
        <v>0</v>
      </c>
      <c r="J916" s="77"/>
      <c r="K916" s="77" t="s">
        <v>3268</v>
      </c>
      <c r="L916" s="77">
        <v>22</v>
      </c>
      <c r="M916" s="77"/>
      <c r="N916" s="77"/>
      <c r="O916">
        <f>_xlfn.XLOOKUP(N916,'Error-codes'!$C$2:$C$130,'Error-codes'!$B$2:$B$130, "None")</f>
        <v>0</v>
      </c>
      <c r="U916" s="81">
        <f>DATEVALUE(LEFT(F916,10))</f>
        <v>44960</v>
      </c>
    </row>
    <row r="917" spans="1:21">
      <c r="B917" s="56" t="s">
        <v>3263</v>
      </c>
      <c r="C917" s="56" t="s">
        <v>5475</v>
      </c>
      <c r="D917" s="56" t="s">
        <v>22</v>
      </c>
      <c r="F917" s="56" t="s">
        <v>5476</v>
      </c>
      <c r="G917" s="56">
        <v>56</v>
      </c>
      <c r="H917" s="56">
        <v>0</v>
      </c>
      <c r="I917" s="56">
        <v>0</v>
      </c>
      <c r="K917" s="56" t="s">
        <v>3268</v>
      </c>
      <c r="L917" s="56" t="s">
        <v>3269</v>
      </c>
      <c r="O917">
        <f>_xlfn.XLOOKUP(N917,'Error-codes'!$C$2:$C$130,'Error-codes'!$B$2:$B$130, "None")</f>
        <v>0</v>
      </c>
      <c r="U917" s="81">
        <f>DATEVALUE(LEFT(F917,10))</f>
        <v>44960</v>
      </c>
    </row>
    <row r="918" spans="1:21">
      <c r="A918" s="77" t="s">
        <v>5477</v>
      </c>
      <c r="B918" s="77" t="s">
        <v>3263</v>
      </c>
      <c r="C918" s="77" t="s">
        <v>5478</v>
      </c>
      <c r="D918" s="77" t="s">
        <v>37</v>
      </c>
      <c r="E918" s="77" t="s">
        <v>5479</v>
      </c>
      <c r="F918" s="77" t="s">
        <v>5480</v>
      </c>
      <c r="G918" s="77">
        <v>74</v>
      </c>
      <c r="H918" s="77">
        <v>1</v>
      </c>
      <c r="I918" s="77">
        <v>1.3513513513514E-2</v>
      </c>
      <c r="J918" s="77" t="s">
        <v>3315</v>
      </c>
      <c r="K918" s="77" t="s">
        <v>3268</v>
      </c>
      <c r="L918" s="77">
        <v>22</v>
      </c>
      <c r="M918" s="45" t="str">
        <f>HYPERLINK("https://dribble.octin.io/?mode=Single+log&amp;log_id=840b0934-13d5-452e-9da7-b98798216121","URL")</f>
        <v>URL</v>
      </c>
      <c r="N918" s="77" t="s">
        <v>3438</v>
      </c>
      <c r="O918" t="str">
        <f>_xlfn.XLOOKUP(N918,'Error-codes'!$C$2:$C$130,'Error-codes'!$B$2:$B$130, "None")</f>
        <v>Failed to find feasible path</v>
      </c>
      <c r="U918" s="81">
        <f>DATEVALUE(LEFT(F918,10))</f>
        <v>44960</v>
      </c>
    </row>
    <row r="919" spans="1:21">
      <c r="A919" s="56" t="s">
        <v>5477</v>
      </c>
      <c r="B919" s="56" t="s">
        <v>3263</v>
      </c>
      <c r="C919" s="56" t="s">
        <v>5478</v>
      </c>
      <c r="D919" s="56" t="s">
        <v>37</v>
      </c>
      <c r="E919" s="56" t="s">
        <v>5479</v>
      </c>
      <c r="F919" s="56" t="s">
        <v>5480</v>
      </c>
      <c r="G919" s="56">
        <v>74</v>
      </c>
      <c r="H919" s="56">
        <v>1</v>
      </c>
      <c r="I919" s="56">
        <v>1.3513513513513514E-2</v>
      </c>
      <c r="J919" s="56" t="s">
        <v>3315</v>
      </c>
      <c r="K919" s="56" t="s">
        <v>3268</v>
      </c>
      <c r="L919" s="56" t="s">
        <v>3269</v>
      </c>
      <c r="M919" s="56" t="str">
        <f>HYPERLINK("https://dribble.octin.io/?mode=Single+log&amp;log_id=840b0934-13d5-452e-9da7-b98798216121","URL")</f>
        <v>URL</v>
      </c>
      <c r="N919" s="56" t="s">
        <v>3438</v>
      </c>
      <c r="O919" t="str">
        <f>_xlfn.XLOOKUP(N919,'Error-codes'!$C$2:$C$130,'Error-codes'!$B$2:$B$130, "None")</f>
        <v>Failed to find feasible path</v>
      </c>
      <c r="U919" s="81">
        <f>DATEVALUE(LEFT(F919,10))</f>
        <v>44960</v>
      </c>
    </row>
    <row r="920" spans="1:21">
      <c r="A920" s="77" t="s">
        <v>3262</v>
      </c>
      <c r="B920" s="77" t="s">
        <v>3263</v>
      </c>
      <c r="C920" s="77" t="s">
        <v>3264</v>
      </c>
      <c r="D920" s="77" t="s">
        <v>37</v>
      </c>
      <c r="E920" s="77" t="s">
        <v>3265</v>
      </c>
      <c r="F920" s="77" t="s">
        <v>3266</v>
      </c>
      <c r="G920" s="77">
        <v>61</v>
      </c>
      <c r="H920" s="77">
        <v>28</v>
      </c>
      <c r="I920" s="77">
        <v>0.45901639344262302</v>
      </c>
      <c r="J920" s="77" t="s">
        <v>3267</v>
      </c>
      <c r="K920" s="77" t="s">
        <v>3268</v>
      </c>
      <c r="L920" s="77">
        <v>22</v>
      </c>
      <c r="M920" s="45" t="str">
        <f>HYPERLINK("https://dribble.octin.io/?mode=Single+log&amp;log_id=eac41540-a210-43f7-93aa-01222afc7a9f","URL")</f>
        <v>URL</v>
      </c>
      <c r="N920" s="77" t="s">
        <v>2933</v>
      </c>
      <c r="O920" t="str">
        <f>_xlfn.XLOOKUP(N920,'Error-codes'!$C$2:$C$130,'Error-codes'!$B$2:$B$130, "None")</f>
        <v>inductive sensor error</v>
      </c>
      <c r="Q920" t="s">
        <v>5481</v>
      </c>
      <c r="U920" s="81">
        <f>DATEVALUE(LEFT(F920,10))</f>
        <v>44960</v>
      </c>
    </row>
    <row r="921" spans="1:21">
      <c r="A921" s="77"/>
      <c r="B921" s="77" t="s">
        <v>3263</v>
      </c>
      <c r="C921" s="77" t="s">
        <v>5482</v>
      </c>
      <c r="D921" s="77" t="s">
        <v>22</v>
      </c>
      <c r="E921" s="77"/>
      <c r="F921" s="77" t="s">
        <v>5483</v>
      </c>
      <c r="G921" s="77">
        <v>80</v>
      </c>
      <c r="H921" s="77">
        <v>2</v>
      </c>
      <c r="I921" s="77">
        <v>2.5000000000000001E-2</v>
      </c>
      <c r="J921" s="77"/>
      <c r="K921" s="77" t="s">
        <v>3268</v>
      </c>
      <c r="L921" s="77">
        <v>22</v>
      </c>
      <c r="M921" s="77"/>
      <c r="N921" s="77"/>
      <c r="O921">
        <f>_xlfn.XLOOKUP(N921,'Error-codes'!$C$2:$C$130,'Error-codes'!$B$2:$B$130, "None")</f>
        <v>0</v>
      </c>
      <c r="U921" s="81">
        <f>DATEVALUE(LEFT(F921,10))</f>
        <v>44960</v>
      </c>
    </row>
    <row r="922" spans="1:21">
      <c r="B922" s="56" t="s">
        <v>3263</v>
      </c>
      <c r="C922" s="56" t="s">
        <v>5482</v>
      </c>
      <c r="D922" s="56" t="s">
        <v>22</v>
      </c>
      <c r="F922" s="56" t="s">
        <v>5483</v>
      </c>
      <c r="G922" s="56">
        <v>80</v>
      </c>
      <c r="H922" s="56">
        <v>2</v>
      </c>
      <c r="I922" s="56">
        <v>2.5000000000000001E-2</v>
      </c>
      <c r="K922" s="56" t="s">
        <v>3268</v>
      </c>
      <c r="L922" s="56" t="s">
        <v>3269</v>
      </c>
      <c r="O922">
        <f>_xlfn.XLOOKUP(N922,'Error-codes'!$C$2:$C$130,'Error-codes'!$B$2:$B$130, "None")</f>
        <v>0</v>
      </c>
      <c r="U922" s="81">
        <f>DATEVALUE(LEFT(F922,10))</f>
        <v>44960</v>
      </c>
    </row>
    <row r="923" spans="1:21">
      <c r="A923" s="77"/>
      <c r="B923" s="77" t="s">
        <v>3263</v>
      </c>
      <c r="C923" s="77" t="s">
        <v>5484</v>
      </c>
      <c r="D923" s="77" t="s">
        <v>22</v>
      </c>
      <c r="E923" s="77"/>
      <c r="F923" s="77" t="s">
        <v>5485</v>
      </c>
      <c r="G923" s="77">
        <v>80</v>
      </c>
      <c r="H923" s="77">
        <v>1</v>
      </c>
      <c r="I923" s="77">
        <v>1.2500000000000001E-2</v>
      </c>
      <c r="J923" s="77"/>
      <c r="K923" s="77" t="s">
        <v>3268</v>
      </c>
      <c r="L923" s="77">
        <v>22</v>
      </c>
      <c r="M923" s="77"/>
      <c r="N923" s="77"/>
      <c r="O923">
        <f>_xlfn.XLOOKUP(N923,'Error-codes'!$C$2:$C$130,'Error-codes'!$B$2:$B$130, "None")</f>
        <v>0</v>
      </c>
      <c r="U923" s="81">
        <f>DATEVALUE(LEFT(F923,10))</f>
        <v>44960</v>
      </c>
    </row>
    <row r="924" spans="1:21">
      <c r="B924" s="56" t="s">
        <v>3263</v>
      </c>
      <c r="C924" s="56" t="s">
        <v>5484</v>
      </c>
      <c r="D924" s="56" t="s">
        <v>22</v>
      </c>
      <c r="F924" s="56" t="s">
        <v>5485</v>
      </c>
      <c r="G924" s="56">
        <v>80</v>
      </c>
      <c r="H924" s="56">
        <v>1</v>
      </c>
      <c r="I924" s="56">
        <v>1.2500000000000001E-2</v>
      </c>
      <c r="K924" s="56" t="s">
        <v>3268</v>
      </c>
      <c r="L924" s="56" t="s">
        <v>3269</v>
      </c>
      <c r="O924">
        <f>_xlfn.XLOOKUP(N924,'Error-codes'!$C$2:$C$130,'Error-codes'!$B$2:$B$130, "None")</f>
        <v>0</v>
      </c>
      <c r="U924" s="81">
        <f>DATEVALUE(LEFT(F924,10))</f>
        <v>44960</v>
      </c>
    </row>
    <row r="925" spans="1:21">
      <c r="A925" s="77"/>
      <c r="B925" s="77" t="s">
        <v>3263</v>
      </c>
      <c r="C925" s="77" t="s">
        <v>5486</v>
      </c>
      <c r="D925" s="77" t="s">
        <v>22</v>
      </c>
      <c r="E925" s="77"/>
      <c r="F925" s="77" t="s">
        <v>5487</v>
      </c>
      <c r="G925" s="77">
        <v>80</v>
      </c>
      <c r="H925" s="77">
        <v>7</v>
      </c>
      <c r="I925" s="77">
        <v>8.7499999999999994E-2</v>
      </c>
      <c r="J925" s="77"/>
      <c r="K925" s="77" t="s">
        <v>3268</v>
      </c>
      <c r="L925" s="77">
        <v>22</v>
      </c>
      <c r="M925" s="77"/>
      <c r="N925" s="77"/>
      <c r="O925">
        <f>_xlfn.XLOOKUP(N925,'Error-codes'!$C$2:$C$130,'Error-codes'!$B$2:$B$130, "None")</f>
        <v>0</v>
      </c>
      <c r="U925" s="81">
        <f>DATEVALUE(LEFT(F925,10))</f>
        <v>44960</v>
      </c>
    </row>
    <row r="926" spans="1:21">
      <c r="B926" s="56" t="s">
        <v>3263</v>
      </c>
      <c r="C926" s="56" t="s">
        <v>5486</v>
      </c>
      <c r="D926" s="56" t="s">
        <v>22</v>
      </c>
      <c r="F926" s="56" t="s">
        <v>5487</v>
      </c>
      <c r="G926" s="56">
        <v>80</v>
      </c>
      <c r="H926" s="56">
        <v>7</v>
      </c>
      <c r="I926" s="56">
        <v>8.7499999999999994E-2</v>
      </c>
      <c r="K926" s="56" t="s">
        <v>3268</v>
      </c>
      <c r="L926" s="56" t="s">
        <v>3269</v>
      </c>
      <c r="O926">
        <f>_xlfn.XLOOKUP(N926,'Error-codes'!$C$2:$C$130,'Error-codes'!$B$2:$B$130, "None")</f>
        <v>0</v>
      </c>
      <c r="U926" s="81">
        <f>DATEVALUE(LEFT(F926,10))</f>
        <v>44960</v>
      </c>
    </row>
    <row r="927" spans="1:21">
      <c r="A927" s="56" t="s">
        <v>5488</v>
      </c>
      <c r="B927" s="56" t="s">
        <v>3293</v>
      </c>
      <c r="C927" s="56" t="s">
        <v>5489</v>
      </c>
      <c r="D927" s="56"/>
      <c r="E927" s="56" t="s">
        <v>2939</v>
      </c>
      <c r="F927" s="56" t="s">
        <v>5490</v>
      </c>
      <c r="G927" s="56">
        <v>21</v>
      </c>
      <c r="H927" s="56">
        <v>5</v>
      </c>
      <c r="I927" s="56">
        <v>0.23809523809523808</v>
      </c>
      <c r="J927" s="56" t="s">
        <v>5491</v>
      </c>
      <c r="K927" s="56" t="s">
        <v>3207</v>
      </c>
      <c r="L927" s="56" t="s">
        <v>5286</v>
      </c>
      <c r="M927" s="56" t="str">
        <f>HYPERLINK("https://dribble.octin.io/?mode=Single+log&amp;log_id=a4b3c4d1-1ce0-4d46-a8ce-1bab09190015","URL")</f>
        <v>URL</v>
      </c>
      <c r="N927" s="56" t="s">
        <v>3446</v>
      </c>
      <c r="O927" t="str">
        <f>_xlfn.XLOOKUP(N927,'Error-codes'!$C$2:$C$130,'Error-codes'!$B$2:$B$130, "None")</f>
        <v>end of lane wall sensor error</v>
      </c>
      <c r="P927" t="s">
        <v>5413</v>
      </c>
      <c r="U927" s="81">
        <f>DATEVALUE(LEFT(F927,10))</f>
        <v>44960</v>
      </c>
    </row>
    <row r="928" spans="1:21">
      <c r="A928" s="77" t="s">
        <v>5492</v>
      </c>
      <c r="B928" s="77" t="s">
        <v>3263</v>
      </c>
      <c r="C928" s="77" t="s">
        <v>5493</v>
      </c>
      <c r="D928" s="77" t="s">
        <v>37</v>
      </c>
      <c r="E928" s="77" t="s">
        <v>5494</v>
      </c>
      <c r="F928" s="77" t="s">
        <v>5495</v>
      </c>
      <c r="G928" s="77">
        <v>76</v>
      </c>
      <c r="H928" s="77">
        <v>59</v>
      </c>
      <c r="I928" s="77">
        <v>0.77631578947368396</v>
      </c>
      <c r="J928" s="77" t="s">
        <v>5496</v>
      </c>
      <c r="K928" s="77" t="s">
        <v>3268</v>
      </c>
      <c r="L928" s="77">
        <v>22</v>
      </c>
      <c r="M928" s="45" t="str">
        <f>HYPERLINK("https://dribble.octin.io/?mode=Single+log&amp;log_id=2ee23a81-cef5-48b1-8050-14d36fe17e01","URL")</f>
        <v>URL</v>
      </c>
      <c r="N928" s="77" t="s">
        <v>3444</v>
      </c>
      <c r="O928" t="str">
        <f>_xlfn.XLOOKUP(N928,'Error-codes'!$C$2:$C$130,'Error-codes'!$B$2:$B$130, "None")</f>
        <v>collision detected in operational state for the 4th time in a row</v>
      </c>
      <c r="U928" s="81">
        <f>DATEVALUE(LEFT(F928,10))</f>
        <v>44960</v>
      </c>
    </row>
    <row r="929" spans="1:21">
      <c r="A929" s="56" t="s">
        <v>5492</v>
      </c>
      <c r="B929" s="56" t="s">
        <v>3263</v>
      </c>
      <c r="C929" s="56" t="s">
        <v>5493</v>
      </c>
      <c r="D929" s="56" t="s">
        <v>37</v>
      </c>
      <c r="E929" s="56" t="s">
        <v>5494</v>
      </c>
      <c r="F929" s="56" t="s">
        <v>5495</v>
      </c>
      <c r="G929" s="56">
        <v>76</v>
      </c>
      <c r="H929" s="56">
        <v>59</v>
      </c>
      <c r="I929" s="56">
        <v>0.77631578947368418</v>
      </c>
      <c r="J929" s="56" t="s">
        <v>5496</v>
      </c>
      <c r="K929" s="56" t="s">
        <v>3268</v>
      </c>
      <c r="L929" s="56" t="s">
        <v>3269</v>
      </c>
      <c r="M929" s="56" t="str">
        <f>HYPERLINK("https://dribble.octin.io/?mode=Single+log&amp;log_id=2ee23a81-cef5-48b1-8050-14d36fe17e01","URL")</f>
        <v>URL</v>
      </c>
      <c r="N929" s="56" t="s">
        <v>3444</v>
      </c>
      <c r="O929" t="str">
        <f>_xlfn.XLOOKUP(N929,'Error-codes'!$C$2:$C$130,'Error-codes'!$B$2:$B$130, "None")</f>
        <v>collision detected in operational state for the 4th time in a row</v>
      </c>
      <c r="U929" s="81">
        <f>DATEVALUE(LEFT(F929,10))</f>
        <v>44960</v>
      </c>
    </row>
    <row r="930" spans="1:21">
      <c r="A930" s="56" t="s">
        <v>5497</v>
      </c>
      <c r="B930" s="56" t="s">
        <v>86</v>
      </c>
      <c r="C930" s="56" t="s">
        <v>3271</v>
      </c>
      <c r="D930" s="56"/>
      <c r="E930" s="56" t="s">
        <v>2939</v>
      </c>
      <c r="F930" s="56" t="s">
        <v>5498</v>
      </c>
      <c r="G930" s="56">
        <v>116</v>
      </c>
      <c r="H930" s="56">
        <v>0</v>
      </c>
      <c r="I930" s="56">
        <v>0</v>
      </c>
      <c r="J930" s="56" t="s">
        <v>3315</v>
      </c>
      <c r="K930" s="56" t="s">
        <v>3260</v>
      </c>
      <c r="L930" s="56" t="s">
        <v>3261</v>
      </c>
      <c r="M930" s="56" t="str">
        <f>HYPERLINK("https://dribble.octin.io/?mode=Single+log&amp;log_id=92057a10-e7b3-4321-b599-7649619c1c7c","URL")</f>
        <v>URL</v>
      </c>
      <c r="N930" s="56" t="s">
        <v>3472</v>
      </c>
      <c r="O930" t="str">
        <f>_xlfn.XLOOKUP(N930,'Error-codes'!$C$2:$C$130,'Error-codes'!$B$2:$B$130, "None")</f>
        <v>Excessive slip detected</v>
      </c>
      <c r="U930" s="81">
        <f>DATEVALUE(LEFT(F930,10))</f>
        <v>44961</v>
      </c>
    </row>
    <row r="931" spans="1:21">
      <c r="A931" s="56" t="s">
        <v>3270</v>
      </c>
      <c r="B931" s="56" t="s">
        <v>86</v>
      </c>
      <c r="C931" s="56" t="s">
        <v>3271</v>
      </c>
      <c r="D931" s="56"/>
      <c r="E931" s="56" t="s">
        <v>3242</v>
      </c>
      <c r="F931" s="56" t="s">
        <v>3272</v>
      </c>
      <c r="G931" s="56">
        <v>116</v>
      </c>
      <c r="H931" s="56">
        <v>1</v>
      </c>
      <c r="I931" s="56">
        <v>8.6206896551724137E-3</v>
      </c>
      <c r="J931" s="56" t="s">
        <v>3259</v>
      </c>
      <c r="K931" s="56" t="s">
        <v>3260</v>
      </c>
      <c r="L931" s="56" t="s">
        <v>3261</v>
      </c>
      <c r="M931" s="56" t="str">
        <f>HYPERLINK("https://dribble.octin.io/?mode=Single+log&amp;log_id=d3c61428-82a8-4147-a655-803ea3e62916","URL")</f>
        <v>URL</v>
      </c>
      <c r="N931" s="56" t="s">
        <v>2933</v>
      </c>
      <c r="O931" t="str">
        <f>_xlfn.XLOOKUP(N931,'Error-codes'!$C$2:$C$130,'Error-codes'!$B$2:$B$130, "None")</f>
        <v>inductive sensor error</v>
      </c>
      <c r="Q931" t="s">
        <v>5442</v>
      </c>
      <c r="U931" s="81">
        <f>DATEVALUE(LEFT(F931,10))</f>
        <v>44961</v>
      </c>
    </row>
    <row r="932" spans="1:21">
      <c r="A932" s="56" t="s">
        <v>5499</v>
      </c>
      <c r="B932" s="56" t="s">
        <v>86</v>
      </c>
      <c r="C932" s="56" t="s">
        <v>5500</v>
      </c>
      <c r="D932" s="56" t="s">
        <v>37</v>
      </c>
      <c r="E932" s="56" t="s">
        <v>3242</v>
      </c>
      <c r="F932" s="56" t="s">
        <v>5501</v>
      </c>
      <c r="G932" s="56">
        <v>115</v>
      </c>
      <c r="H932" s="56">
        <v>0</v>
      </c>
      <c r="I932" s="56">
        <v>0</v>
      </c>
      <c r="J932" s="56" t="s">
        <v>3315</v>
      </c>
      <c r="K932" s="56" t="s">
        <v>3260</v>
      </c>
      <c r="L932" s="56" t="s">
        <v>3261</v>
      </c>
      <c r="M932" s="56" t="str">
        <f>HYPERLINK("https://dribble.octin.io/?mode=Single+log&amp;log_id=f44d76c0-3045-4250-bda0-465035972694","URL")</f>
        <v>URL</v>
      </c>
      <c r="N932" s="56" t="s">
        <v>3458</v>
      </c>
      <c r="O932" t="str">
        <f>_xlfn.XLOOKUP(N932,'Error-codes'!$C$2:$C$130,'Error-codes'!$B$2:$B$130, "None")</f>
        <v>motor drive: UNDER VOLTAGE</v>
      </c>
      <c r="U932" s="81">
        <f>DATEVALUE(LEFT(F932,10))</f>
        <v>44961</v>
      </c>
    </row>
    <row r="933" spans="1:21">
      <c r="A933" s="56" t="s">
        <v>5502</v>
      </c>
      <c r="B933" s="56" t="s">
        <v>86</v>
      </c>
      <c r="C933" s="56" t="s">
        <v>3274</v>
      </c>
      <c r="D933" s="56"/>
      <c r="E933" s="56" t="s">
        <v>2939</v>
      </c>
      <c r="F933" s="56" t="s">
        <v>5503</v>
      </c>
      <c r="G933" s="56">
        <v>117</v>
      </c>
      <c r="H933" s="56">
        <v>0</v>
      </c>
      <c r="I933" s="56">
        <v>0</v>
      </c>
      <c r="J933" s="56" t="s">
        <v>3315</v>
      </c>
      <c r="K933" s="56" t="s">
        <v>3260</v>
      </c>
      <c r="L933" s="56" t="s">
        <v>3261</v>
      </c>
      <c r="M933" s="56" t="str">
        <f>HYPERLINK("https://dribble.octin.io/?mode=Single+log&amp;log_id=13a9d0a0-152e-400d-9d95-c2ae4e5250d5","URL")</f>
        <v>URL</v>
      </c>
      <c r="N933" s="56" t="s">
        <v>3458</v>
      </c>
      <c r="O933" t="str">
        <f>_xlfn.XLOOKUP(N933,'Error-codes'!$C$2:$C$130,'Error-codes'!$B$2:$B$130, "None")</f>
        <v>motor drive: UNDER VOLTAGE</v>
      </c>
      <c r="U933" s="81">
        <f>DATEVALUE(LEFT(F933,10))</f>
        <v>44961</v>
      </c>
    </row>
    <row r="934" spans="1:21">
      <c r="A934" s="56" t="s">
        <v>5502</v>
      </c>
      <c r="B934" s="56" t="s">
        <v>86</v>
      </c>
      <c r="C934" s="56" t="s">
        <v>3274</v>
      </c>
      <c r="D934" s="56"/>
      <c r="E934" s="56" t="s">
        <v>2939</v>
      </c>
      <c r="F934" s="56" t="s">
        <v>5503</v>
      </c>
      <c r="G934" s="56">
        <v>117</v>
      </c>
      <c r="H934" s="56">
        <v>1</v>
      </c>
      <c r="I934" s="56">
        <v>8.5470085470085479E-3</v>
      </c>
      <c r="J934" s="56" t="s">
        <v>3259</v>
      </c>
      <c r="K934" s="56" t="s">
        <v>3260</v>
      </c>
      <c r="L934" s="56" t="s">
        <v>3261</v>
      </c>
      <c r="M934" s="56" t="str">
        <f>HYPERLINK("https://dribble.octin.io/?mode=Single+log&amp;log_id=13a9d0a0-152e-400d-9d95-c2ae4e5250d5","URL")</f>
        <v>URL</v>
      </c>
      <c r="N934" s="56" t="s">
        <v>3472</v>
      </c>
      <c r="O934" t="str">
        <f>_xlfn.XLOOKUP(N934,'Error-codes'!$C$2:$C$130,'Error-codes'!$B$2:$B$130, "None")</f>
        <v>Excessive slip detected</v>
      </c>
      <c r="U934" s="81">
        <f>DATEVALUE(LEFT(F934,10))</f>
        <v>44961</v>
      </c>
    </row>
    <row r="935" spans="1:21">
      <c r="A935" s="56" t="s">
        <v>3273</v>
      </c>
      <c r="B935" s="56" t="s">
        <v>86</v>
      </c>
      <c r="C935" s="56" t="s">
        <v>3274</v>
      </c>
      <c r="D935" s="56"/>
      <c r="E935" s="56" t="s">
        <v>3242</v>
      </c>
      <c r="F935" s="56" t="s">
        <v>3275</v>
      </c>
      <c r="G935" s="56">
        <v>117</v>
      </c>
      <c r="H935" s="56">
        <v>2</v>
      </c>
      <c r="I935" s="56">
        <v>1.7094017094017096E-2</v>
      </c>
      <c r="J935" s="56" t="s">
        <v>3259</v>
      </c>
      <c r="K935" s="56" t="s">
        <v>3260</v>
      </c>
      <c r="L935" s="56" t="s">
        <v>3261</v>
      </c>
      <c r="M935" s="56" t="str">
        <f>HYPERLINK("https://dribble.octin.io/?mode=Single+log&amp;log_id=ec1ea846-a470-4275-90cd-8627640c321b","URL")</f>
        <v>URL</v>
      </c>
      <c r="N935" s="56" t="s">
        <v>2933</v>
      </c>
      <c r="O935" t="str">
        <f>_xlfn.XLOOKUP(N935,'Error-codes'!$C$2:$C$130,'Error-codes'!$B$2:$B$130, "None")</f>
        <v>inductive sensor error</v>
      </c>
      <c r="Q935" t="s">
        <v>5442</v>
      </c>
      <c r="U935" s="81">
        <f>DATEVALUE(LEFT(F935,10))</f>
        <v>44961</v>
      </c>
    </row>
    <row r="936" spans="1:21">
      <c r="A936" s="56" t="s">
        <v>5504</v>
      </c>
      <c r="B936" s="56" t="s">
        <v>86</v>
      </c>
      <c r="C936" s="56" t="s">
        <v>5505</v>
      </c>
      <c r="D936" s="56" t="s">
        <v>37</v>
      </c>
      <c r="E936" s="56" t="s">
        <v>3242</v>
      </c>
      <c r="F936" s="56" t="s">
        <v>5506</v>
      </c>
      <c r="G936" s="56">
        <v>115</v>
      </c>
      <c r="H936" s="56">
        <v>0</v>
      </c>
      <c r="I936" s="56">
        <v>0</v>
      </c>
      <c r="J936" s="56" t="s">
        <v>3315</v>
      </c>
      <c r="K936" s="56" t="s">
        <v>3260</v>
      </c>
      <c r="L936" s="56" t="s">
        <v>3261</v>
      </c>
      <c r="M936" s="56" t="str">
        <f>HYPERLINK("https://dribble.octin.io/?mode=Single+log&amp;log_id=09859c8b-31cd-4882-a9da-1365182e8079","URL")</f>
        <v>URL</v>
      </c>
      <c r="N936" s="56" t="s">
        <v>3458</v>
      </c>
      <c r="O936" t="str">
        <f>_xlfn.XLOOKUP(N936,'Error-codes'!$C$2:$C$130,'Error-codes'!$B$2:$B$130, "None")</f>
        <v>motor drive: UNDER VOLTAGE</v>
      </c>
      <c r="U936" s="81">
        <f>DATEVALUE(LEFT(F936,10))</f>
        <v>44961</v>
      </c>
    </row>
    <row r="937" spans="1:21">
      <c r="A937" s="56" t="s">
        <v>5507</v>
      </c>
      <c r="B937" s="56" t="s">
        <v>86</v>
      </c>
      <c r="C937" s="56" t="s">
        <v>5508</v>
      </c>
      <c r="D937" s="56" t="s">
        <v>37</v>
      </c>
      <c r="E937" s="56" t="s">
        <v>5509</v>
      </c>
      <c r="F937" s="56" t="s">
        <v>5510</v>
      </c>
      <c r="G937" s="56">
        <v>115</v>
      </c>
      <c r="H937" s="56">
        <v>1</v>
      </c>
      <c r="I937" s="56">
        <v>8.6956521739130436E-3</v>
      </c>
      <c r="J937" s="56" t="s">
        <v>5511</v>
      </c>
      <c r="K937" s="56" t="s">
        <v>3260</v>
      </c>
      <c r="L937" s="56" t="s">
        <v>3261</v>
      </c>
      <c r="M937" s="56" t="str">
        <f>HYPERLINK("https://dribble.octin.io/?mode=Single+log&amp;log_id=cffc2905-5389-4227-82a6-199300112a82","URL")</f>
        <v>URL</v>
      </c>
      <c r="N937" s="56" t="s">
        <v>3472</v>
      </c>
      <c r="O937" t="str">
        <f>_xlfn.XLOOKUP(N937,'Error-codes'!$C$2:$C$130,'Error-codes'!$B$2:$B$130, "None")</f>
        <v>Excessive slip detected</v>
      </c>
      <c r="U937" s="81">
        <f>DATEVALUE(LEFT(F937,10))</f>
        <v>44961</v>
      </c>
    </row>
    <row r="938" spans="1:21">
      <c r="A938" s="77"/>
      <c r="B938" s="77" t="s">
        <v>3202</v>
      </c>
      <c r="C938" s="77" t="s">
        <v>3281</v>
      </c>
      <c r="D938" s="77"/>
      <c r="E938" s="77" t="s">
        <v>2939</v>
      </c>
      <c r="F938" s="77" t="s">
        <v>3285</v>
      </c>
      <c r="G938" s="77">
        <v>44</v>
      </c>
      <c r="H938" s="77">
        <v>0</v>
      </c>
      <c r="I938" s="77">
        <v>0</v>
      </c>
      <c r="J938" s="77" t="s">
        <v>3229</v>
      </c>
      <c r="K938" s="77" t="s">
        <v>3207</v>
      </c>
      <c r="L938" s="77">
        <v>64</v>
      </c>
      <c r="M938" s="77"/>
      <c r="N938" s="77" t="s">
        <v>2933</v>
      </c>
      <c r="O938" t="str">
        <f>_xlfn.XLOOKUP(N938,'Error-codes'!$C$2:$C$130,'Error-codes'!$B$2:$B$130, "None")</f>
        <v>inductive sensor error</v>
      </c>
      <c r="U938" s="81">
        <f>DATEVALUE(LEFT(F938,10))</f>
        <v>44961</v>
      </c>
    </row>
    <row r="939" spans="1:21">
      <c r="A939" s="56"/>
      <c r="B939" s="56" t="s">
        <v>3202</v>
      </c>
      <c r="C939" s="56" t="s">
        <v>3281</v>
      </c>
      <c r="D939" s="56"/>
      <c r="E939" s="56" t="s">
        <v>2939</v>
      </c>
      <c r="F939" s="56" t="s">
        <v>3285</v>
      </c>
      <c r="G939" s="56">
        <v>44</v>
      </c>
      <c r="H939" s="56">
        <v>0</v>
      </c>
      <c r="I939" s="56">
        <v>0</v>
      </c>
      <c r="J939" s="56" t="s">
        <v>3229</v>
      </c>
      <c r="K939" s="56" t="s">
        <v>3207</v>
      </c>
      <c r="L939" s="56" t="s">
        <v>3237</v>
      </c>
      <c r="N939" s="56" t="s">
        <v>2933</v>
      </c>
      <c r="O939" t="str">
        <f>_xlfn.XLOOKUP(N939,'Error-codes'!$C$2:$C$130,'Error-codes'!$B$2:$B$130, "None")</f>
        <v>inductive sensor error</v>
      </c>
      <c r="U939" s="81">
        <f>DATEVALUE(LEFT(F939,10))</f>
        <v>44961</v>
      </c>
    </row>
    <row r="940" spans="1:21">
      <c r="A940" s="77"/>
      <c r="B940" s="77" t="s">
        <v>3202</v>
      </c>
      <c r="C940" s="77" t="s">
        <v>3281</v>
      </c>
      <c r="D940" s="77"/>
      <c r="E940" s="77" t="s">
        <v>2939</v>
      </c>
      <c r="F940" s="77" t="s">
        <v>5512</v>
      </c>
      <c r="G940" s="77">
        <v>44</v>
      </c>
      <c r="H940" s="77">
        <v>1</v>
      </c>
      <c r="I940" s="77">
        <v>2.2727272727272999E-2</v>
      </c>
      <c r="J940" s="77" t="s">
        <v>3226</v>
      </c>
      <c r="K940" s="77" t="s">
        <v>3207</v>
      </c>
      <c r="L940" s="77">
        <v>64</v>
      </c>
      <c r="M940" s="77"/>
      <c r="N940" s="77" t="s">
        <v>3450</v>
      </c>
      <c r="O940" t="str">
        <f>_xlfn.XLOOKUP(N940,'Error-codes'!$C$2:$C$130,'Error-codes'!$B$2:$B$130, "None")</f>
        <v>xtheta sensor error</v>
      </c>
      <c r="U940" s="81">
        <f>DATEVALUE(LEFT(F940,10))</f>
        <v>44961</v>
      </c>
    </row>
    <row r="941" spans="1:21">
      <c r="A941" s="56"/>
      <c r="B941" s="56" t="s">
        <v>3202</v>
      </c>
      <c r="C941" s="56" t="s">
        <v>3281</v>
      </c>
      <c r="D941" s="56"/>
      <c r="E941" s="56" t="s">
        <v>2939</v>
      </c>
      <c r="F941" s="56" t="s">
        <v>5512</v>
      </c>
      <c r="G941" s="56">
        <v>44</v>
      </c>
      <c r="H941" s="56">
        <v>1</v>
      </c>
      <c r="I941" s="56">
        <v>2.2727272727272728E-2</v>
      </c>
      <c r="J941" s="56" t="s">
        <v>3226</v>
      </c>
      <c r="K941" s="56" t="s">
        <v>3207</v>
      </c>
      <c r="L941" s="56" t="s">
        <v>3237</v>
      </c>
      <c r="N941" s="56" t="s">
        <v>3450</v>
      </c>
      <c r="O941" t="str">
        <f>_xlfn.XLOOKUP(N941,'Error-codes'!$C$2:$C$130,'Error-codes'!$B$2:$B$130, "None")</f>
        <v>xtheta sensor error</v>
      </c>
      <c r="U941" s="81">
        <f>DATEVALUE(LEFT(F941,10))</f>
        <v>44961</v>
      </c>
    </row>
    <row r="942" spans="1:21">
      <c r="A942" s="77"/>
      <c r="B942" s="77" t="s">
        <v>3202</v>
      </c>
      <c r="C942" s="77" t="s">
        <v>3281</v>
      </c>
      <c r="D942" s="77"/>
      <c r="E942" s="77" t="s">
        <v>2939</v>
      </c>
      <c r="F942" s="77" t="s">
        <v>5513</v>
      </c>
      <c r="G942" s="77">
        <v>44</v>
      </c>
      <c r="H942" s="77">
        <v>22</v>
      </c>
      <c r="I942" s="77">
        <v>0.5</v>
      </c>
      <c r="J942" s="77" t="s">
        <v>5514</v>
      </c>
      <c r="K942" s="77" t="s">
        <v>3207</v>
      </c>
      <c r="L942" s="77">
        <v>64</v>
      </c>
      <c r="M942" s="77"/>
      <c r="N942" s="77" t="s">
        <v>3472</v>
      </c>
      <c r="O942" t="str">
        <f>_xlfn.XLOOKUP(N942,'Error-codes'!$C$2:$C$130,'Error-codes'!$B$2:$B$130, "None")</f>
        <v>Excessive slip detected</v>
      </c>
      <c r="U942" s="81">
        <f>DATEVALUE(LEFT(F942,10))</f>
        <v>44961</v>
      </c>
    </row>
    <row r="943" spans="1:21">
      <c r="A943" s="56"/>
      <c r="B943" s="56" t="s">
        <v>3202</v>
      </c>
      <c r="C943" s="56" t="s">
        <v>3281</v>
      </c>
      <c r="D943" s="56"/>
      <c r="E943" s="56" t="s">
        <v>2939</v>
      </c>
      <c r="F943" s="56" t="s">
        <v>5513</v>
      </c>
      <c r="G943" s="56">
        <v>44</v>
      </c>
      <c r="H943" s="56">
        <v>22</v>
      </c>
      <c r="I943" s="56">
        <v>0.5</v>
      </c>
      <c r="J943" s="56" t="s">
        <v>5514</v>
      </c>
      <c r="K943" s="56" t="s">
        <v>3207</v>
      </c>
      <c r="L943" s="56" t="s">
        <v>3237</v>
      </c>
      <c r="N943" s="56" t="s">
        <v>3472</v>
      </c>
      <c r="O943" t="str">
        <f>_xlfn.XLOOKUP(N943,'Error-codes'!$C$2:$C$130,'Error-codes'!$B$2:$B$130, "None")</f>
        <v>Excessive slip detected</v>
      </c>
      <c r="U943" s="81">
        <f>DATEVALUE(LEFT(F943,10))</f>
        <v>44961</v>
      </c>
    </row>
    <row r="944" spans="1:21">
      <c r="A944" s="77"/>
      <c r="B944" s="77" t="s">
        <v>3202</v>
      </c>
      <c r="C944" s="77" t="s">
        <v>3281</v>
      </c>
      <c r="D944" s="77"/>
      <c r="E944" s="77" t="s">
        <v>2939</v>
      </c>
      <c r="F944" s="77" t="s">
        <v>3283</v>
      </c>
      <c r="G944" s="77">
        <v>44</v>
      </c>
      <c r="H944" s="77">
        <v>23</v>
      </c>
      <c r="I944" s="77">
        <v>0.52272727272727304</v>
      </c>
      <c r="J944" s="77" t="s">
        <v>3284</v>
      </c>
      <c r="K944" s="77" t="s">
        <v>3207</v>
      </c>
      <c r="L944" s="77">
        <v>64</v>
      </c>
      <c r="M944" s="77"/>
      <c r="N944" s="77" t="s">
        <v>2933</v>
      </c>
      <c r="O944" t="str">
        <f>_xlfn.XLOOKUP(N944,'Error-codes'!$C$2:$C$130,'Error-codes'!$B$2:$B$130, "None")</f>
        <v>inductive sensor error</v>
      </c>
      <c r="U944" s="81">
        <f>DATEVALUE(LEFT(F944,10))</f>
        <v>44961</v>
      </c>
    </row>
    <row r="945" spans="1:21">
      <c r="A945" s="56"/>
      <c r="B945" s="56" t="s">
        <v>3202</v>
      </c>
      <c r="C945" s="56" t="s">
        <v>3281</v>
      </c>
      <c r="D945" s="56"/>
      <c r="E945" s="56" t="s">
        <v>2939</v>
      </c>
      <c r="F945" s="56" t="s">
        <v>3283</v>
      </c>
      <c r="G945" s="56">
        <v>44</v>
      </c>
      <c r="H945" s="56">
        <v>23</v>
      </c>
      <c r="I945" s="56">
        <v>0.52272727272727271</v>
      </c>
      <c r="J945" s="56" t="s">
        <v>3284</v>
      </c>
      <c r="K945" s="56" t="s">
        <v>3207</v>
      </c>
      <c r="L945" s="56" t="s">
        <v>3237</v>
      </c>
      <c r="N945" s="56" t="s">
        <v>2933</v>
      </c>
      <c r="O945" t="str">
        <f>_xlfn.XLOOKUP(N945,'Error-codes'!$C$2:$C$130,'Error-codes'!$B$2:$B$130, "None")</f>
        <v>inductive sensor error</v>
      </c>
      <c r="U945" s="81">
        <f>DATEVALUE(LEFT(F945,10))</f>
        <v>44961</v>
      </c>
    </row>
    <row r="946" spans="1:21">
      <c r="A946" s="77"/>
      <c r="B946" s="77" t="s">
        <v>3202</v>
      </c>
      <c r="C946" s="77" t="s">
        <v>3281</v>
      </c>
      <c r="D946" s="77"/>
      <c r="E946" s="77" t="s">
        <v>2939</v>
      </c>
      <c r="F946" s="77" t="s">
        <v>5515</v>
      </c>
      <c r="G946" s="77">
        <v>44</v>
      </c>
      <c r="H946" s="77">
        <v>31</v>
      </c>
      <c r="I946" s="77">
        <v>0.70454545454545503</v>
      </c>
      <c r="J946" s="77" t="s">
        <v>5516</v>
      </c>
      <c r="K946" s="77" t="s">
        <v>3207</v>
      </c>
      <c r="L946" s="77">
        <v>64</v>
      </c>
      <c r="M946" s="77"/>
      <c r="N946" s="77" t="s">
        <v>3454</v>
      </c>
      <c r="O946" t="str">
        <f>_xlfn.XLOOKUP(N946,'Error-codes'!$C$2:$C$130,'Error-codes'!$B$2:$B$130, "None")</f>
        <v>Veh low level FSM: safety was triggered</v>
      </c>
      <c r="U946" s="81">
        <f>DATEVALUE(LEFT(F946,10))</f>
        <v>44961</v>
      </c>
    </row>
    <row r="947" spans="1:21">
      <c r="A947" s="56"/>
      <c r="B947" s="56" t="s">
        <v>3202</v>
      </c>
      <c r="C947" s="56" t="s">
        <v>3281</v>
      </c>
      <c r="D947" s="56"/>
      <c r="E947" s="56" t="s">
        <v>2939</v>
      </c>
      <c r="F947" s="56" t="s">
        <v>5515</v>
      </c>
      <c r="G947" s="56">
        <v>44</v>
      </c>
      <c r="H947" s="56">
        <v>31</v>
      </c>
      <c r="I947" s="56">
        <v>0.70454545454545459</v>
      </c>
      <c r="J947" s="56" t="s">
        <v>5516</v>
      </c>
      <c r="K947" s="56" t="s">
        <v>3207</v>
      </c>
      <c r="L947" s="56" t="s">
        <v>3237</v>
      </c>
      <c r="N947" s="56" t="s">
        <v>3454</v>
      </c>
      <c r="O947" t="str">
        <f>_xlfn.XLOOKUP(N947,'Error-codes'!$C$2:$C$130,'Error-codes'!$B$2:$B$130, "None")</f>
        <v>Veh low level FSM: safety was triggered</v>
      </c>
      <c r="U947" s="81">
        <f>DATEVALUE(LEFT(F947,10))</f>
        <v>44961</v>
      </c>
    </row>
    <row r="948" spans="1:21">
      <c r="A948" s="77"/>
      <c r="B948" s="77" t="s">
        <v>3202</v>
      </c>
      <c r="C948" s="77" t="s">
        <v>3281</v>
      </c>
      <c r="D948" s="77"/>
      <c r="E948" s="77" t="s">
        <v>3253</v>
      </c>
      <c r="F948" s="77" t="s">
        <v>3282</v>
      </c>
      <c r="G948" s="77">
        <v>44</v>
      </c>
      <c r="H948" s="77">
        <v>43</v>
      </c>
      <c r="I948" s="77">
        <v>0.97727272727272696</v>
      </c>
      <c r="J948" s="77" t="s">
        <v>3233</v>
      </c>
      <c r="K948" s="77" t="s">
        <v>3207</v>
      </c>
      <c r="L948" s="77">
        <v>64</v>
      </c>
      <c r="M948" s="77"/>
      <c r="N948" s="77" t="s">
        <v>2933</v>
      </c>
      <c r="O948" t="str">
        <f>_xlfn.XLOOKUP(N948,'Error-codes'!$C$2:$C$130,'Error-codes'!$B$2:$B$130, "None")</f>
        <v>inductive sensor error</v>
      </c>
      <c r="U948" s="81">
        <f>DATEVALUE(LEFT(F948,10))</f>
        <v>44961</v>
      </c>
    </row>
    <row r="949" spans="1:21">
      <c r="A949" s="56"/>
      <c r="B949" s="56" t="s">
        <v>3202</v>
      </c>
      <c r="C949" s="56" t="s">
        <v>3281</v>
      </c>
      <c r="D949" s="56"/>
      <c r="E949" s="56" t="s">
        <v>3253</v>
      </c>
      <c r="F949" s="56" t="s">
        <v>3282</v>
      </c>
      <c r="G949" s="56">
        <v>44</v>
      </c>
      <c r="H949" s="56">
        <v>43</v>
      </c>
      <c r="I949" s="56">
        <v>0.97727272727272729</v>
      </c>
      <c r="J949" s="56" t="s">
        <v>3233</v>
      </c>
      <c r="K949" s="56" t="s">
        <v>3207</v>
      </c>
      <c r="L949" s="56" t="s">
        <v>3237</v>
      </c>
      <c r="N949" s="56" t="s">
        <v>2933</v>
      </c>
      <c r="O949" t="str">
        <f>_xlfn.XLOOKUP(N949,'Error-codes'!$C$2:$C$130,'Error-codes'!$B$2:$B$130, "None")</f>
        <v>inductive sensor error</v>
      </c>
      <c r="U949" s="81">
        <f>DATEVALUE(LEFT(F949,10))</f>
        <v>44961</v>
      </c>
    </row>
    <row r="950" spans="1:21">
      <c r="A950" s="77" t="s">
        <v>3276</v>
      </c>
      <c r="B950" s="77" t="s">
        <v>3263</v>
      </c>
      <c r="C950" s="77" t="s">
        <v>3277</v>
      </c>
      <c r="D950" s="77" t="s">
        <v>37</v>
      </c>
      <c r="E950" s="77" t="s">
        <v>3204</v>
      </c>
      <c r="F950" s="77" t="s">
        <v>3278</v>
      </c>
      <c r="G950" s="77">
        <v>81</v>
      </c>
      <c r="H950" s="77">
        <v>1</v>
      </c>
      <c r="I950" s="77">
        <v>1.2345679012345999E-2</v>
      </c>
      <c r="J950" s="77" t="s">
        <v>3279</v>
      </c>
      <c r="K950" s="77" t="s">
        <v>3280</v>
      </c>
      <c r="L950" s="77">
        <v>22</v>
      </c>
      <c r="M950" s="45" t="str">
        <f>HYPERLINK("https://dribble.octin.io/?mode=Single+log&amp;log_id=da6a19e9-5896-4460-b2dd-70d51738a301","URL")</f>
        <v>URL</v>
      </c>
      <c r="N950" s="77" t="s">
        <v>2933</v>
      </c>
      <c r="O950" t="str">
        <f>_xlfn.XLOOKUP(N950,'Error-codes'!$C$2:$C$130,'Error-codes'!$B$2:$B$130, "None")</f>
        <v>inductive sensor error</v>
      </c>
      <c r="Q950" t="s">
        <v>5517</v>
      </c>
      <c r="U950" s="81">
        <f>DATEVALUE(LEFT(F950,10))</f>
        <v>44961</v>
      </c>
    </row>
    <row r="951" spans="1:21">
      <c r="A951" s="56" t="s">
        <v>5518</v>
      </c>
      <c r="B951" s="56" t="s">
        <v>86</v>
      </c>
      <c r="C951" s="56" t="s">
        <v>5519</v>
      </c>
      <c r="D951" s="56"/>
      <c r="E951" s="56"/>
      <c r="F951" s="56" t="s">
        <v>5520</v>
      </c>
      <c r="G951" s="56">
        <v>118</v>
      </c>
      <c r="H951" s="56">
        <v>0</v>
      </c>
      <c r="I951" s="56">
        <v>0</v>
      </c>
      <c r="J951" s="56" t="s">
        <v>5521</v>
      </c>
      <c r="K951" s="56" t="s">
        <v>3260</v>
      </c>
      <c r="L951" s="56" t="s">
        <v>3261</v>
      </c>
      <c r="M951" s="56" t="str">
        <f>HYPERLINK("https://dribble.octin.io/?mode=Single+log&amp;log_id=cf16c7ed-a352-4a66-a4f8-d82da36299cd","URL")</f>
        <v>URL</v>
      </c>
      <c r="N951" s="56" t="s">
        <v>3472</v>
      </c>
      <c r="O951" t="str">
        <f>_xlfn.XLOOKUP(N951,'Error-codes'!$C$2:$C$130,'Error-codes'!$B$2:$B$130, "None")</f>
        <v>Excessive slip detected</v>
      </c>
      <c r="U951" s="81">
        <f>DATEVALUE(LEFT(F951,10))</f>
        <v>44961</v>
      </c>
    </row>
    <row r="952" spans="1:21">
      <c r="A952" s="56"/>
      <c r="B952" s="56" t="s">
        <v>86</v>
      </c>
      <c r="C952" s="56" t="s">
        <v>5522</v>
      </c>
      <c r="D952" s="56" t="s">
        <v>37</v>
      </c>
      <c r="E952" s="56" t="s">
        <v>3204</v>
      </c>
      <c r="F952" s="56" t="s">
        <v>5523</v>
      </c>
      <c r="G952" s="56">
        <v>118</v>
      </c>
      <c r="H952" s="56">
        <v>0</v>
      </c>
      <c r="I952" s="56">
        <v>0</v>
      </c>
      <c r="J952" s="56" t="s">
        <v>5521</v>
      </c>
      <c r="K952" s="56" t="s">
        <v>3260</v>
      </c>
      <c r="L952" s="56" t="s">
        <v>3261</v>
      </c>
      <c r="N952" s="56" t="s">
        <v>3446</v>
      </c>
      <c r="O952" t="str">
        <f>_xlfn.XLOOKUP(N952,'Error-codes'!$C$2:$C$130,'Error-codes'!$B$2:$B$130, "None")</f>
        <v>end of lane wall sensor error</v>
      </c>
      <c r="U952" s="81">
        <f>DATEVALUE(LEFT(F952,10))</f>
        <v>44961</v>
      </c>
    </row>
    <row r="953" spans="1:21">
      <c r="A953" s="56" t="s">
        <v>5524</v>
      </c>
      <c r="B953" s="56" t="s">
        <v>86</v>
      </c>
      <c r="C953" s="56" t="s">
        <v>5525</v>
      </c>
      <c r="D953" s="56" t="s">
        <v>37</v>
      </c>
      <c r="E953" s="56" t="s">
        <v>4774</v>
      </c>
      <c r="F953" s="56" t="s">
        <v>5526</v>
      </c>
      <c r="G953" s="56">
        <v>209</v>
      </c>
      <c r="H953" s="56">
        <v>0</v>
      </c>
      <c r="I953" s="56">
        <v>0</v>
      </c>
      <c r="J953" s="56" t="s">
        <v>3315</v>
      </c>
      <c r="K953" s="56" t="s">
        <v>3291</v>
      </c>
      <c r="L953" s="56" t="s">
        <v>3261</v>
      </c>
      <c r="M953" s="56" t="str">
        <f>HYPERLINK("https://dribble.octin.io/?mode=Single+log&amp;log_id=cdbbe369-ac92-40e7-bba7-3ce417289aee","URL")</f>
        <v>URL</v>
      </c>
      <c r="N953" s="56" t="s">
        <v>3472</v>
      </c>
      <c r="O953" t="str">
        <f>_xlfn.XLOOKUP(N953,'Error-codes'!$C$2:$C$130,'Error-codes'!$B$2:$B$130, "None")</f>
        <v>Excessive slip detected</v>
      </c>
      <c r="U953" s="81">
        <f>DATEVALUE(LEFT(F953,10))</f>
        <v>44962</v>
      </c>
    </row>
    <row r="954" spans="1:21">
      <c r="A954" s="56" t="s">
        <v>5524</v>
      </c>
      <c r="B954" s="56" t="s">
        <v>86</v>
      </c>
      <c r="C954" s="56" t="s">
        <v>5527</v>
      </c>
      <c r="D954" s="56"/>
      <c r="E954" s="56"/>
      <c r="F954" s="56" t="s">
        <v>5526</v>
      </c>
      <c r="G954" s="56">
        <v>117</v>
      </c>
      <c r="H954" s="56">
        <v>0</v>
      </c>
      <c r="I954" s="56">
        <v>0</v>
      </c>
      <c r="J954" s="56" t="s">
        <v>3315</v>
      </c>
      <c r="K954" s="56" t="s">
        <v>3260</v>
      </c>
      <c r="L954" s="56" t="s">
        <v>3261</v>
      </c>
      <c r="M954" s="56" t="str">
        <f>HYPERLINK("https://dribble.octin.io/?mode=Single+log&amp;log_id=cdbbe369-ac92-40e7-bba7-3ce417289aee","URL")</f>
        <v>URL</v>
      </c>
      <c r="N954" s="56" t="s">
        <v>3472</v>
      </c>
      <c r="O954" t="str">
        <f>_xlfn.XLOOKUP(N954,'Error-codes'!$C$2:$C$130,'Error-codes'!$B$2:$B$130, "None")</f>
        <v>Excessive slip detected</v>
      </c>
      <c r="U954" s="81">
        <f>DATEVALUE(LEFT(F954,10))</f>
        <v>44962</v>
      </c>
    </row>
    <row r="955" spans="1:21">
      <c r="A955" s="56" t="s">
        <v>3286</v>
      </c>
      <c r="B955" s="56" t="s">
        <v>86</v>
      </c>
      <c r="C955" s="56" t="s">
        <v>3287</v>
      </c>
      <c r="D955" s="56" t="s">
        <v>37</v>
      </c>
      <c r="E955" s="56" t="s">
        <v>3288</v>
      </c>
      <c r="F955" s="56" t="s">
        <v>3289</v>
      </c>
      <c r="G955" s="56">
        <v>120</v>
      </c>
      <c r="H955" s="56">
        <v>3</v>
      </c>
      <c r="I955" s="56">
        <v>2.5000000000000001E-2</v>
      </c>
      <c r="J955" s="56" t="s">
        <v>3290</v>
      </c>
      <c r="K955" s="56" t="s">
        <v>3291</v>
      </c>
      <c r="L955" s="56" t="s">
        <v>3261</v>
      </c>
      <c r="M955" s="56" t="str">
        <f>HYPERLINK("https://dribble.octin.io/?mode=Single+log&amp;log_id=f18608a8-7cc4-4a5b-b7bd-8a5bc41b1b61","URL")</f>
        <v>URL</v>
      </c>
      <c r="N955" s="56" t="s">
        <v>2933</v>
      </c>
      <c r="O955" t="str">
        <f>_xlfn.XLOOKUP(N955,'Error-codes'!$C$2:$C$130,'Error-codes'!$B$2:$B$130, "None")</f>
        <v>inductive sensor error</v>
      </c>
      <c r="Q955" t="s">
        <v>5528</v>
      </c>
      <c r="U955" s="81">
        <f>DATEVALUE(LEFT(F955,10))</f>
        <v>44962</v>
      </c>
    </row>
    <row r="956" spans="1:21">
      <c r="B956" s="56" t="s">
        <v>3263</v>
      </c>
      <c r="C956" s="56" t="s">
        <v>5529</v>
      </c>
      <c r="D956" s="56" t="s">
        <v>4149</v>
      </c>
      <c r="F956" s="56" t="s">
        <v>5530</v>
      </c>
      <c r="G956" s="56">
        <v>4</v>
      </c>
      <c r="H956" s="56">
        <v>4</v>
      </c>
      <c r="I956" s="56">
        <v>1</v>
      </c>
      <c r="K956" s="56" t="s">
        <v>3280</v>
      </c>
      <c r="L956" s="56" t="s">
        <v>3269</v>
      </c>
      <c r="O956">
        <f>_xlfn.XLOOKUP(N956,'Error-codes'!$C$2:$C$130,'Error-codes'!$B$2:$B$130, "None")</f>
        <v>0</v>
      </c>
      <c r="U956" s="81">
        <f>DATEVALUE(LEFT(F956,10))</f>
        <v>44962</v>
      </c>
    </row>
    <row r="957" spans="1:21">
      <c r="A957" s="77" t="s">
        <v>5531</v>
      </c>
      <c r="B957" s="77" t="s">
        <v>3263</v>
      </c>
      <c r="C957" s="77" t="s">
        <v>5532</v>
      </c>
      <c r="D957" s="77" t="s">
        <v>37</v>
      </c>
      <c r="E957" s="77" t="s">
        <v>5244</v>
      </c>
      <c r="F957" s="77" t="s">
        <v>5533</v>
      </c>
      <c r="G957" s="77">
        <v>79</v>
      </c>
      <c r="H957" s="77">
        <v>15</v>
      </c>
      <c r="I957" s="77">
        <v>0.189873417721519</v>
      </c>
      <c r="J957" s="77" t="s">
        <v>5534</v>
      </c>
      <c r="K957" s="77" t="s">
        <v>3280</v>
      </c>
      <c r="L957" s="77">
        <v>22</v>
      </c>
      <c r="M957" s="45" t="str">
        <f>HYPERLINK("https://dribble.octin.io/?mode=Single+log&amp;log_id=04781162-17b6-4ca4-9647-76d394277a40","URL")</f>
        <v>URL</v>
      </c>
      <c r="N957" s="77" t="s">
        <v>3426</v>
      </c>
      <c r="O957" t="str">
        <f>_xlfn.XLOOKUP(N957,'Error-codes'!$C$2:$C$130,'Error-codes'!$B$2:$B$130, "None")</f>
        <v>low level fsm is no longer executing the given command</v>
      </c>
      <c r="S957" t="s">
        <v>5535</v>
      </c>
      <c r="U957" s="81">
        <f>DATEVALUE(LEFT(F957,10))</f>
        <v>44962</v>
      </c>
    </row>
    <row r="958" spans="1:21">
      <c r="A958" s="56" t="s">
        <v>5531</v>
      </c>
      <c r="B958" s="56" t="s">
        <v>3263</v>
      </c>
      <c r="C958" s="56" t="s">
        <v>5532</v>
      </c>
      <c r="D958" s="56"/>
      <c r="E958" s="56" t="s">
        <v>2939</v>
      </c>
      <c r="F958" s="56" t="s">
        <v>5533</v>
      </c>
      <c r="G958" s="56">
        <v>80</v>
      </c>
      <c r="H958" s="56">
        <v>15</v>
      </c>
      <c r="I958" s="56">
        <v>0.1875</v>
      </c>
      <c r="J958" s="56" t="s">
        <v>5534</v>
      </c>
      <c r="K958" s="56" t="s">
        <v>3280</v>
      </c>
      <c r="L958" s="56" t="s">
        <v>3269</v>
      </c>
      <c r="M958" s="56" t="str">
        <f>HYPERLINK("https://dribble.octin.io/?mode=Single+log&amp;log_id=04781162-17b6-4ca4-9647-76d394277a40","URL")</f>
        <v>URL</v>
      </c>
      <c r="N958" s="56" t="s">
        <v>3426</v>
      </c>
      <c r="O958" t="str">
        <f>_xlfn.XLOOKUP(N958,'Error-codes'!$C$2:$C$130,'Error-codes'!$B$2:$B$130, "None")</f>
        <v>low level fsm is no longer executing the given command</v>
      </c>
      <c r="U958" s="81">
        <f>DATEVALUE(LEFT(F958,10))</f>
        <v>44962</v>
      </c>
    </row>
    <row r="959" spans="1:21">
      <c r="A959" s="77" t="s">
        <v>5536</v>
      </c>
      <c r="B959" s="77" t="s">
        <v>3263</v>
      </c>
      <c r="C959" s="77" t="s">
        <v>5537</v>
      </c>
      <c r="D959" s="77" t="s">
        <v>388</v>
      </c>
      <c r="E959" s="77" t="s">
        <v>2939</v>
      </c>
      <c r="F959" s="77" t="s">
        <v>5538</v>
      </c>
      <c r="G959" s="77">
        <v>68</v>
      </c>
      <c r="H959" s="77">
        <v>16</v>
      </c>
      <c r="I959" s="77">
        <v>0.23529411764705899</v>
      </c>
      <c r="J959" s="77" t="s">
        <v>5539</v>
      </c>
      <c r="K959" s="77" t="s">
        <v>3280</v>
      </c>
      <c r="L959" s="77">
        <v>22</v>
      </c>
      <c r="M959" s="45" t="str">
        <f>HYPERLINK("https://dribble.octin.io/?mode=Single+log&amp;log_id=b8c54399-1fbc-4955-b5f1-115ddeb1d0fb","URL")</f>
        <v>URL</v>
      </c>
      <c r="N959" s="77" t="s">
        <v>3446</v>
      </c>
      <c r="O959" t="str">
        <f>_xlfn.XLOOKUP(N959,'Error-codes'!$C$2:$C$130,'Error-codes'!$B$2:$B$130, "None")</f>
        <v>end of lane wall sensor error</v>
      </c>
      <c r="U959" s="81">
        <f>DATEVALUE(LEFT(F959,10))</f>
        <v>44962</v>
      </c>
    </row>
    <row r="960" spans="1:21">
      <c r="A960" s="56" t="s">
        <v>5536</v>
      </c>
      <c r="B960" s="56" t="s">
        <v>3263</v>
      </c>
      <c r="C960" s="56" t="s">
        <v>5537</v>
      </c>
      <c r="D960" s="56" t="s">
        <v>388</v>
      </c>
      <c r="E960" s="56" t="s">
        <v>2939</v>
      </c>
      <c r="F960" s="56" t="s">
        <v>5538</v>
      </c>
      <c r="G960" s="56">
        <v>68</v>
      </c>
      <c r="H960" s="56">
        <v>16</v>
      </c>
      <c r="I960" s="56">
        <v>0.23529411764705882</v>
      </c>
      <c r="J960" s="56" t="s">
        <v>5539</v>
      </c>
      <c r="K960" s="56" t="s">
        <v>3280</v>
      </c>
      <c r="L960" s="56" t="s">
        <v>3269</v>
      </c>
      <c r="M960" s="56" t="str">
        <f>HYPERLINK("https://dribble.octin.io/?mode=Single+log&amp;log_id=b8c54399-1fbc-4955-b5f1-115ddeb1d0fb","URL")</f>
        <v>URL</v>
      </c>
      <c r="N960" s="56" t="s">
        <v>3446</v>
      </c>
      <c r="O960" t="str">
        <f>_xlfn.XLOOKUP(N960,'Error-codes'!$C$2:$C$130,'Error-codes'!$B$2:$B$130, "None")</f>
        <v>end of lane wall sensor error</v>
      </c>
      <c r="U960" s="81">
        <f>DATEVALUE(LEFT(F960,10))</f>
        <v>44962</v>
      </c>
    </row>
    <row r="961" spans="1:21">
      <c r="A961" s="77" t="s">
        <v>5540</v>
      </c>
      <c r="B961" s="77" t="s">
        <v>3263</v>
      </c>
      <c r="C961" s="77" t="s">
        <v>5537</v>
      </c>
      <c r="D961" s="77" t="s">
        <v>388</v>
      </c>
      <c r="E961" s="77" t="s">
        <v>2939</v>
      </c>
      <c r="F961" s="77" t="s">
        <v>5541</v>
      </c>
      <c r="G961" s="77">
        <v>68</v>
      </c>
      <c r="H961" s="77">
        <v>23</v>
      </c>
      <c r="I961" s="77">
        <v>0.33823529411764702</v>
      </c>
      <c r="J961" s="77" t="s">
        <v>5542</v>
      </c>
      <c r="K961" s="77" t="s">
        <v>3280</v>
      </c>
      <c r="L961" s="77">
        <v>22</v>
      </c>
      <c r="M961" s="45" t="str">
        <f>HYPERLINK("https://dribble.octin.io/?mode=Single+log&amp;log_id=2141f8e0-519b-4d7a-ace4-4aa622f6a92e","URL")</f>
        <v>URL</v>
      </c>
      <c r="N961" s="77" t="s">
        <v>3458</v>
      </c>
      <c r="O961" t="str">
        <f>_xlfn.XLOOKUP(N961,'Error-codes'!$C$2:$C$130,'Error-codes'!$B$2:$B$130, "None")</f>
        <v>motor drive: UNDER VOLTAGE</v>
      </c>
      <c r="U961" s="81">
        <f>DATEVALUE(LEFT(F961,10))</f>
        <v>44962</v>
      </c>
    </row>
    <row r="962" spans="1:21">
      <c r="A962" s="56" t="s">
        <v>5540</v>
      </c>
      <c r="B962" s="56" t="s">
        <v>3263</v>
      </c>
      <c r="C962" s="56" t="s">
        <v>5537</v>
      </c>
      <c r="D962" s="56" t="s">
        <v>388</v>
      </c>
      <c r="E962" s="56" t="s">
        <v>2939</v>
      </c>
      <c r="F962" s="56" t="s">
        <v>5541</v>
      </c>
      <c r="G962" s="56">
        <v>68</v>
      </c>
      <c r="H962" s="56">
        <v>23</v>
      </c>
      <c r="I962" s="56">
        <v>0.33823529411764708</v>
      </c>
      <c r="J962" s="56" t="s">
        <v>5542</v>
      </c>
      <c r="K962" s="56" t="s">
        <v>3280</v>
      </c>
      <c r="L962" s="56" t="s">
        <v>3269</v>
      </c>
      <c r="M962" s="56" t="str">
        <f>HYPERLINK("https://dribble.octin.io/?mode=Single+log&amp;log_id=2141f8e0-519b-4d7a-ace4-4aa622f6a92e","URL")</f>
        <v>URL</v>
      </c>
      <c r="N962" s="56" t="s">
        <v>3458</v>
      </c>
      <c r="O962" t="str">
        <f>_xlfn.XLOOKUP(N962,'Error-codes'!$C$2:$C$130,'Error-codes'!$B$2:$B$130, "None")</f>
        <v>motor drive: UNDER VOLTAGE</v>
      </c>
      <c r="U962" s="81">
        <f>DATEVALUE(LEFT(F962,10))</f>
        <v>44962</v>
      </c>
    </row>
    <row r="963" spans="1:21">
      <c r="A963" s="77"/>
      <c r="B963" s="77" t="s">
        <v>3202</v>
      </c>
      <c r="C963" s="77" t="s">
        <v>5543</v>
      </c>
      <c r="D963" s="77" t="s">
        <v>388</v>
      </c>
      <c r="E963" s="77"/>
      <c r="F963" s="77" t="s">
        <v>5544</v>
      </c>
      <c r="G963" s="77">
        <v>37</v>
      </c>
      <c r="H963" s="77">
        <v>37</v>
      </c>
      <c r="I963" s="77">
        <v>1</v>
      </c>
      <c r="J963" s="77"/>
      <c r="K963" s="77" t="s">
        <v>3207</v>
      </c>
      <c r="L963" s="77">
        <v>61</v>
      </c>
      <c r="M963" s="77"/>
      <c r="N963" s="77"/>
      <c r="O963">
        <f>_xlfn.XLOOKUP(N963,'Error-codes'!$C$2:$C$130,'Error-codes'!$B$2:$B$130, "None")</f>
        <v>0</v>
      </c>
      <c r="U963" s="81">
        <f>DATEVALUE(LEFT(F963,10))</f>
        <v>44962</v>
      </c>
    </row>
    <row r="964" spans="1:21">
      <c r="B964" s="56" t="s">
        <v>3202</v>
      </c>
      <c r="C964" s="56" t="s">
        <v>5543</v>
      </c>
      <c r="D964" s="56" t="s">
        <v>388</v>
      </c>
      <c r="F964" s="56" t="s">
        <v>5544</v>
      </c>
      <c r="G964" s="56">
        <v>37</v>
      </c>
      <c r="H964" s="56">
        <v>37</v>
      </c>
      <c r="I964" s="56">
        <v>1</v>
      </c>
      <c r="K964" s="56" t="s">
        <v>3207</v>
      </c>
      <c r="L964" s="56" t="s">
        <v>5214</v>
      </c>
      <c r="O964">
        <f>_xlfn.XLOOKUP(N964,'Error-codes'!$C$2:$C$130,'Error-codes'!$B$2:$B$130, "None")</f>
        <v>0</v>
      </c>
      <c r="U964" s="81">
        <f>DATEVALUE(LEFT(F964,10))</f>
        <v>44962</v>
      </c>
    </row>
    <row r="965" spans="1:21">
      <c r="A965" s="77" t="s">
        <v>5545</v>
      </c>
      <c r="B965" s="77" t="s">
        <v>3263</v>
      </c>
      <c r="C965" s="77" t="s">
        <v>5537</v>
      </c>
      <c r="D965" s="77" t="s">
        <v>388</v>
      </c>
      <c r="E965" s="77" t="s">
        <v>2939</v>
      </c>
      <c r="F965" s="77" t="s">
        <v>5546</v>
      </c>
      <c r="G965" s="77">
        <v>68</v>
      </c>
      <c r="H965" s="77">
        <v>42</v>
      </c>
      <c r="I965" s="77">
        <v>0.61764705882352899</v>
      </c>
      <c r="J965" s="77" t="s">
        <v>5547</v>
      </c>
      <c r="K965" s="77" t="s">
        <v>3280</v>
      </c>
      <c r="L965" s="77">
        <v>22</v>
      </c>
      <c r="M965" s="45" t="str">
        <f>HYPERLINK("https://dribble.octin.io/?mode=Single+log&amp;log_id=daa91571-986d-4679-ad78-0e210f09be96","URL")</f>
        <v>URL</v>
      </c>
      <c r="N965" s="77" t="s">
        <v>3454</v>
      </c>
      <c r="O965" t="str">
        <f>_xlfn.XLOOKUP(N965,'Error-codes'!$C$2:$C$130,'Error-codes'!$B$2:$B$130, "None")</f>
        <v>Veh low level FSM: safety was triggered</v>
      </c>
      <c r="U965" s="81">
        <f>DATEVALUE(LEFT(F965,10))</f>
        <v>44962</v>
      </c>
    </row>
    <row r="966" spans="1:21">
      <c r="A966" s="56" t="s">
        <v>5545</v>
      </c>
      <c r="B966" s="56" t="s">
        <v>3263</v>
      </c>
      <c r="C966" s="56" t="s">
        <v>5537</v>
      </c>
      <c r="D966" s="56" t="s">
        <v>388</v>
      </c>
      <c r="E966" s="56" t="s">
        <v>2939</v>
      </c>
      <c r="F966" s="56" t="s">
        <v>5546</v>
      </c>
      <c r="G966" s="56">
        <v>68</v>
      </c>
      <c r="H966" s="56">
        <v>42</v>
      </c>
      <c r="I966" s="56">
        <v>0.61764705882352944</v>
      </c>
      <c r="J966" s="56" t="s">
        <v>5547</v>
      </c>
      <c r="K966" s="56" t="s">
        <v>3280</v>
      </c>
      <c r="L966" s="56" t="s">
        <v>3269</v>
      </c>
      <c r="M966" s="56" t="str">
        <f>HYPERLINK("https://dribble.octin.io/?mode=Single+log&amp;log_id=daa91571-986d-4679-ad78-0e210f09be96","URL")</f>
        <v>URL</v>
      </c>
      <c r="N966" s="56" t="s">
        <v>3454</v>
      </c>
      <c r="O966" t="str">
        <f>_xlfn.XLOOKUP(N966,'Error-codes'!$C$2:$C$130,'Error-codes'!$B$2:$B$130, "None")</f>
        <v>Veh low level FSM: safety was triggered</v>
      </c>
      <c r="U966" s="81">
        <f>DATEVALUE(LEFT(F966,10))</f>
        <v>44962</v>
      </c>
    </row>
    <row r="967" spans="1:21">
      <c r="A967" s="77"/>
      <c r="B967" s="77" t="s">
        <v>3263</v>
      </c>
      <c r="C967" s="77" t="s">
        <v>5537</v>
      </c>
      <c r="D967" s="77" t="s">
        <v>388</v>
      </c>
      <c r="E967" s="77"/>
      <c r="F967" s="77" t="s">
        <v>5548</v>
      </c>
      <c r="G967" s="77">
        <v>68</v>
      </c>
      <c r="H967" s="77">
        <v>65</v>
      </c>
      <c r="I967" s="77">
        <v>0.95588235294117596</v>
      </c>
      <c r="J967" s="77"/>
      <c r="K967" s="77" t="s">
        <v>3280</v>
      </c>
      <c r="L967" s="77">
        <v>22</v>
      </c>
      <c r="M967" s="77"/>
      <c r="N967" s="77"/>
      <c r="O967">
        <f>_xlfn.XLOOKUP(N967,'Error-codes'!$C$2:$C$130,'Error-codes'!$B$2:$B$130, "None")</f>
        <v>0</v>
      </c>
      <c r="U967" s="81">
        <f>DATEVALUE(LEFT(F967,10))</f>
        <v>44962</v>
      </c>
    </row>
    <row r="968" spans="1:21">
      <c r="B968" s="56" t="s">
        <v>3263</v>
      </c>
      <c r="C968" s="56" t="s">
        <v>5537</v>
      </c>
      <c r="D968" s="56" t="s">
        <v>388</v>
      </c>
      <c r="F968" s="56" t="s">
        <v>5548</v>
      </c>
      <c r="G968" s="56">
        <v>68</v>
      </c>
      <c r="H968" s="56">
        <v>65</v>
      </c>
      <c r="I968" s="56">
        <v>0.95588235294117652</v>
      </c>
      <c r="K968" s="56" t="s">
        <v>3280</v>
      </c>
      <c r="L968" s="56" t="s">
        <v>3269</v>
      </c>
      <c r="O968">
        <f>_xlfn.XLOOKUP(N968,'Error-codes'!$C$2:$C$130,'Error-codes'!$B$2:$B$130, "None")</f>
        <v>0</v>
      </c>
      <c r="U968" s="81">
        <f>DATEVALUE(LEFT(F968,10))</f>
        <v>44962</v>
      </c>
    </row>
    <row r="969" spans="1:21">
      <c r="A969" s="77"/>
      <c r="B969" s="77" t="s">
        <v>3263</v>
      </c>
      <c r="C969" s="77" t="s">
        <v>5549</v>
      </c>
      <c r="D969" s="77" t="s">
        <v>22</v>
      </c>
      <c r="E969" s="77"/>
      <c r="F969" s="77" t="s">
        <v>5550</v>
      </c>
      <c r="G969" s="77">
        <v>80</v>
      </c>
      <c r="H969" s="77">
        <v>56</v>
      </c>
      <c r="I969" s="77">
        <v>0.7</v>
      </c>
      <c r="J969" s="77"/>
      <c r="K969" s="77" t="s">
        <v>3268</v>
      </c>
      <c r="L969" s="77">
        <v>22</v>
      </c>
      <c r="M969" s="77"/>
      <c r="N969" s="77"/>
      <c r="O969">
        <f>_xlfn.XLOOKUP(N969,'Error-codes'!$C$2:$C$130,'Error-codes'!$B$2:$B$130, "None")</f>
        <v>0</v>
      </c>
      <c r="U969" s="81">
        <f>DATEVALUE(LEFT(F969,10))</f>
        <v>44963</v>
      </c>
    </row>
    <row r="970" spans="1:21">
      <c r="B970" s="56" t="s">
        <v>3263</v>
      </c>
      <c r="C970" s="56" t="s">
        <v>5549</v>
      </c>
      <c r="D970" s="56" t="s">
        <v>22</v>
      </c>
      <c r="F970" s="56" t="s">
        <v>5550</v>
      </c>
      <c r="G970" s="56">
        <v>80</v>
      </c>
      <c r="H970" s="56">
        <v>56</v>
      </c>
      <c r="I970" s="56">
        <v>0.7</v>
      </c>
      <c r="K970" s="56" t="s">
        <v>3268</v>
      </c>
      <c r="L970" s="56" t="s">
        <v>3269</v>
      </c>
      <c r="O970">
        <f>_xlfn.XLOOKUP(N970,'Error-codes'!$C$2:$C$130,'Error-codes'!$B$2:$B$130, "None")</f>
        <v>0</v>
      </c>
      <c r="U970" s="81">
        <f>DATEVALUE(LEFT(F970,10))</f>
        <v>44963</v>
      </c>
    </row>
    <row r="971" spans="1:21">
      <c r="A971" s="77"/>
      <c r="B971" s="77" t="s">
        <v>3263</v>
      </c>
      <c r="C971" s="77" t="s">
        <v>5551</v>
      </c>
      <c r="D971" s="77" t="s">
        <v>388</v>
      </c>
      <c r="E971" s="77"/>
      <c r="F971" s="77" t="s">
        <v>5552</v>
      </c>
      <c r="G971" s="77">
        <v>80</v>
      </c>
      <c r="H971" s="77">
        <v>80</v>
      </c>
      <c r="I971" s="77">
        <v>1</v>
      </c>
      <c r="J971" s="77"/>
      <c r="K971" s="77" t="s">
        <v>3268</v>
      </c>
      <c r="L971" s="77">
        <v>22</v>
      </c>
      <c r="M971" s="77"/>
      <c r="N971" s="77"/>
      <c r="O971">
        <f>_xlfn.XLOOKUP(N971,'Error-codes'!$C$2:$C$130,'Error-codes'!$B$2:$B$130, "None")</f>
        <v>0</v>
      </c>
      <c r="U971" s="81">
        <f>DATEVALUE(LEFT(F971,10))</f>
        <v>44963</v>
      </c>
    </row>
    <row r="972" spans="1:21">
      <c r="B972" s="56" t="s">
        <v>3263</v>
      </c>
      <c r="C972" s="56" t="s">
        <v>5551</v>
      </c>
      <c r="D972" s="56" t="s">
        <v>388</v>
      </c>
      <c r="F972" s="56" t="s">
        <v>5552</v>
      </c>
      <c r="G972" s="56">
        <v>80</v>
      </c>
      <c r="H972" s="56">
        <v>80</v>
      </c>
      <c r="I972" s="56">
        <v>1</v>
      </c>
      <c r="K972" s="56" t="s">
        <v>3268</v>
      </c>
      <c r="L972" s="56" t="s">
        <v>3269</v>
      </c>
      <c r="O972">
        <f>_xlfn.XLOOKUP(N972,'Error-codes'!$C$2:$C$130,'Error-codes'!$B$2:$B$130, "None")</f>
        <v>0</v>
      </c>
      <c r="U972" s="81">
        <f>DATEVALUE(LEFT(F972,10))</f>
        <v>44963</v>
      </c>
    </row>
    <row r="973" spans="1:21">
      <c r="A973" s="56"/>
      <c r="B973" s="56" t="s">
        <v>3202</v>
      </c>
      <c r="C973" s="56" t="s">
        <v>3299</v>
      </c>
      <c r="D973" s="56"/>
      <c r="E973" s="56" t="s">
        <v>2939</v>
      </c>
      <c r="F973" s="56" t="s">
        <v>3305</v>
      </c>
      <c r="G973" s="56">
        <v>37</v>
      </c>
      <c r="H973" s="56">
        <v>2</v>
      </c>
      <c r="I973" s="56">
        <v>5.4054054054054057E-2</v>
      </c>
      <c r="J973" s="56" t="s">
        <v>3226</v>
      </c>
      <c r="K973" s="56" t="s">
        <v>3207</v>
      </c>
      <c r="L973" s="56" t="s">
        <v>3302</v>
      </c>
      <c r="N973" s="56" t="s">
        <v>2933</v>
      </c>
      <c r="O973" t="str">
        <f>_xlfn.XLOOKUP(N973,'Error-codes'!$C$2:$C$130,'Error-codes'!$B$2:$B$130, "None")</f>
        <v>inductive sensor error</v>
      </c>
      <c r="U973" s="81">
        <f>DATEVALUE(LEFT(F973,10))</f>
        <v>44963</v>
      </c>
    </row>
    <row r="974" spans="1:21">
      <c r="A974" s="56"/>
      <c r="B974" s="56" t="s">
        <v>3202</v>
      </c>
      <c r="C974" s="56" t="s">
        <v>3299</v>
      </c>
      <c r="D974" s="56"/>
      <c r="E974" s="56" t="s">
        <v>2939</v>
      </c>
      <c r="F974" s="56" t="s">
        <v>3303</v>
      </c>
      <c r="G974" s="56">
        <v>37</v>
      </c>
      <c r="H974" s="56">
        <v>3</v>
      </c>
      <c r="I974" s="56">
        <v>8.1081081081081086E-2</v>
      </c>
      <c r="J974" s="56" t="s">
        <v>3304</v>
      </c>
      <c r="K974" s="56" t="s">
        <v>3207</v>
      </c>
      <c r="L974" s="56" t="s">
        <v>3302</v>
      </c>
      <c r="N974" s="56" t="s">
        <v>2933</v>
      </c>
      <c r="O974" t="str">
        <f>_xlfn.XLOOKUP(N974,'Error-codes'!$C$2:$C$130,'Error-codes'!$B$2:$B$130, "None")</f>
        <v>inductive sensor error</v>
      </c>
      <c r="U974" s="81">
        <f>DATEVALUE(LEFT(F974,10))</f>
        <v>44963</v>
      </c>
    </row>
    <row r="975" spans="1:21">
      <c r="A975" s="56"/>
      <c r="B975" s="56" t="s">
        <v>3202</v>
      </c>
      <c r="C975" s="56" t="s">
        <v>3299</v>
      </c>
      <c r="D975" s="56"/>
      <c r="E975" s="56" t="s">
        <v>2939</v>
      </c>
      <c r="F975" s="56" t="s">
        <v>5553</v>
      </c>
      <c r="G975" s="56">
        <v>37</v>
      </c>
      <c r="H975" s="56">
        <v>9</v>
      </c>
      <c r="I975" s="56">
        <v>0.24324324324324326</v>
      </c>
      <c r="J975" s="56" t="s">
        <v>5554</v>
      </c>
      <c r="K975" s="56" t="s">
        <v>3207</v>
      </c>
      <c r="L975" s="56" t="s">
        <v>3302</v>
      </c>
      <c r="N975" s="56" t="s">
        <v>3446</v>
      </c>
      <c r="O975" t="str">
        <f>_xlfn.XLOOKUP(N975,'Error-codes'!$C$2:$C$130,'Error-codes'!$B$2:$B$130, "None")</f>
        <v>end of lane wall sensor error</v>
      </c>
      <c r="U975" s="81">
        <f>DATEVALUE(LEFT(F975,10))</f>
        <v>44963</v>
      </c>
    </row>
    <row r="976" spans="1:21">
      <c r="A976" s="56"/>
      <c r="B976" s="56" t="s">
        <v>3202</v>
      </c>
      <c r="C976" s="56" t="s">
        <v>3299</v>
      </c>
      <c r="D976" s="56"/>
      <c r="E976" s="56" t="s">
        <v>2939</v>
      </c>
      <c r="F976" s="56" t="s">
        <v>5555</v>
      </c>
      <c r="G976" s="56">
        <v>37</v>
      </c>
      <c r="H976" s="56">
        <v>12</v>
      </c>
      <c r="I976" s="56">
        <v>0.32432432432432434</v>
      </c>
      <c r="J976" s="56" t="s">
        <v>3219</v>
      </c>
      <c r="K976" s="56" t="s">
        <v>3207</v>
      </c>
      <c r="L976" s="56" t="s">
        <v>3302</v>
      </c>
      <c r="N976" s="56" t="s">
        <v>3446</v>
      </c>
      <c r="O976" t="str">
        <f>_xlfn.XLOOKUP(N976,'Error-codes'!$C$2:$C$130,'Error-codes'!$B$2:$B$130, "None")</f>
        <v>end of lane wall sensor error</v>
      </c>
      <c r="U976" s="81">
        <f>DATEVALUE(LEFT(F976,10))</f>
        <v>44963</v>
      </c>
    </row>
    <row r="977" spans="1:21">
      <c r="A977" s="56" t="s">
        <v>5556</v>
      </c>
      <c r="B977" s="56" t="s">
        <v>3263</v>
      </c>
      <c r="C977" s="56" t="s">
        <v>5557</v>
      </c>
      <c r="D977" s="56" t="s">
        <v>37</v>
      </c>
      <c r="E977" s="56" t="s">
        <v>2939</v>
      </c>
      <c r="F977" s="56" t="s">
        <v>5558</v>
      </c>
      <c r="G977" s="56">
        <v>79</v>
      </c>
      <c r="H977" s="56">
        <v>1</v>
      </c>
      <c r="I977" s="56">
        <v>1.2658227848101266E-2</v>
      </c>
      <c r="J977" s="56" t="s">
        <v>3279</v>
      </c>
      <c r="K977" s="56" t="s">
        <v>3280</v>
      </c>
      <c r="L977" s="56" t="s">
        <v>3269</v>
      </c>
      <c r="M977" s="56" t="str">
        <f>HYPERLINK("https://dribble.octin.io/?mode=Single+log&amp;log_id=0fccbfdb-85d0-44af-85e8-8a0819d133dc","URL")</f>
        <v>URL</v>
      </c>
      <c r="N977" s="56" t="s">
        <v>3446</v>
      </c>
      <c r="O977" t="str">
        <f>_xlfn.XLOOKUP(N977,'Error-codes'!$C$2:$C$130,'Error-codes'!$B$2:$B$130, "None")</f>
        <v>end of lane wall sensor error</v>
      </c>
      <c r="U977" s="81">
        <f>DATEVALUE(LEFT(F977,10))</f>
        <v>44963</v>
      </c>
    </row>
    <row r="978" spans="1:21">
      <c r="A978" s="56"/>
      <c r="B978" s="56" t="s">
        <v>3202</v>
      </c>
      <c r="C978" s="56" t="s">
        <v>3299</v>
      </c>
      <c r="D978" s="56"/>
      <c r="E978" s="56" t="s">
        <v>2939</v>
      </c>
      <c r="F978" s="56" t="s">
        <v>3300</v>
      </c>
      <c r="G978" s="56">
        <v>37</v>
      </c>
      <c r="H978" s="56">
        <v>26</v>
      </c>
      <c r="I978" s="56">
        <v>0.70270270270270274</v>
      </c>
      <c r="J978" s="56" t="s">
        <v>3301</v>
      </c>
      <c r="K978" s="56" t="s">
        <v>3207</v>
      </c>
      <c r="L978" s="56" t="s">
        <v>3302</v>
      </c>
      <c r="N978" s="56" t="s">
        <v>2933</v>
      </c>
      <c r="O978" t="str">
        <f>_xlfn.XLOOKUP(N978,'Error-codes'!$C$2:$C$130,'Error-codes'!$B$2:$B$130, "None")</f>
        <v>inductive sensor error</v>
      </c>
      <c r="U978" s="81">
        <f>DATEVALUE(LEFT(F978,10))</f>
        <v>44963</v>
      </c>
    </row>
    <row r="979" spans="1:21">
      <c r="A979" s="56" t="s">
        <v>5559</v>
      </c>
      <c r="B979" s="56" t="s">
        <v>3263</v>
      </c>
      <c r="C979" s="56" t="s">
        <v>5557</v>
      </c>
      <c r="D979" s="56" t="s">
        <v>37</v>
      </c>
      <c r="E979" s="56" t="s">
        <v>2939</v>
      </c>
      <c r="F979" s="56" t="s">
        <v>5560</v>
      </c>
      <c r="G979" s="56">
        <v>79</v>
      </c>
      <c r="H979" s="56">
        <v>8</v>
      </c>
      <c r="I979" s="56">
        <v>0.10126582278481013</v>
      </c>
      <c r="J979" s="56" t="s">
        <v>5561</v>
      </c>
      <c r="K979" s="56" t="s">
        <v>3280</v>
      </c>
      <c r="L979" s="56" t="s">
        <v>3269</v>
      </c>
      <c r="M979" s="56" t="str">
        <f>HYPERLINK("https://dribble.octin.io/?mode=Single+log&amp;log_id=4b499a5e-5eea-43ee-bb9f-6e4f245cddd0","URL")</f>
        <v>URL</v>
      </c>
      <c r="N979" s="56" t="s">
        <v>3458</v>
      </c>
      <c r="O979" t="str">
        <f>_xlfn.XLOOKUP(N979,'Error-codes'!$C$2:$C$130,'Error-codes'!$B$2:$B$130, "None")</f>
        <v>motor drive: UNDER VOLTAGE</v>
      </c>
      <c r="U979" s="81">
        <f>DATEVALUE(LEFT(F979,10))</f>
        <v>44963</v>
      </c>
    </row>
    <row r="980" spans="1:21">
      <c r="A980" s="56"/>
      <c r="B980" s="56" t="s">
        <v>3202</v>
      </c>
      <c r="C980" s="56" t="s">
        <v>3299</v>
      </c>
      <c r="D980" s="56"/>
      <c r="E980" s="56" t="s">
        <v>2939</v>
      </c>
      <c r="F980" s="56" t="s">
        <v>5562</v>
      </c>
      <c r="G980" s="56">
        <v>37</v>
      </c>
      <c r="H980" s="56">
        <v>33</v>
      </c>
      <c r="I980" s="56">
        <v>0.89189189189189189</v>
      </c>
      <c r="J980" s="56" t="s">
        <v>5563</v>
      </c>
      <c r="K980" s="56" t="s">
        <v>3207</v>
      </c>
      <c r="L980" s="56" t="s">
        <v>3302</v>
      </c>
      <c r="N980" s="56" t="s">
        <v>3472</v>
      </c>
      <c r="O980" t="str">
        <f>_xlfn.XLOOKUP(N980,'Error-codes'!$C$2:$C$130,'Error-codes'!$B$2:$B$130, "None")</f>
        <v>Excessive slip detected</v>
      </c>
      <c r="U980" s="81">
        <f>DATEVALUE(LEFT(F980,10))</f>
        <v>44963</v>
      </c>
    </row>
    <row r="981" spans="1:21">
      <c r="A981" s="56"/>
      <c r="B981" s="56" t="s">
        <v>3202</v>
      </c>
      <c r="C981" s="56" t="s">
        <v>3299</v>
      </c>
      <c r="D981" s="56"/>
      <c r="E981" s="56"/>
      <c r="F981" s="56" t="s">
        <v>5564</v>
      </c>
      <c r="G981" s="56">
        <v>37</v>
      </c>
      <c r="H981" s="56">
        <v>36</v>
      </c>
      <c r="I981" s="56">
        <v>0.97297297297297303</v>
      </c>
      <c r="J981" s="56" t="s">
        <v>3335</v>
      </c>
      <c r="K981" s="56" t="s">
        <v>3207</v>
      </c>
      <c r="L981" s="56" t="s">
        <v>3302</v>
      </c>
      <c r="N981" s="56" t="s">
        <v>3446</v>
      </c>
      <c r="O981" t="str">
        <f>_xlfn.XLOOKUP(N981,'Error-codes'!$C$2:$C$130,'Error-codes'!$B$2:$B$130, "None")</f>
        <v>end of lane wall sensor error</v>
      </c>
      <c r="U981" s="81">
        <f>DATEVALUE(LEFT(F981,10))</f>
        <v>44963</v>
      </c>
    </row>
    <row r="982" spans="1:21">
      <c r="A982" s="56" t="s">
        <v>3292</v>
      </c>
      <c r="B982" s="56" t="s">
        <v>3293</v>
      </c>
      <c r="C982" s="56" t="s">
        <v>3294</v>
      </c>
      <c r="D982" s="56" t="s">
        <v>388</v>
      </c>
      <c r="E982" s="56" t="s">
        <v>2939</v>
      </c>
      <c r="F982" s="56" t="s">
        <v>3295</v>
      </c>
      <c r="G982" s="56">
        <v>23</v>
      </c>
      <c r="H982" s="56">
        <v>19</v>
      </c>
      <c r="I982" s="56">
        <v>0.82608695652173914</v>
      </c>
      <c r="J982" s="56" t="s">
        <v>3296</v>
      </c>
      <c r="K982" s="56" t="s">
        <v>3207</v>
      </c>
      <c r="L982" s="56" t="s">
        <v>3297</v>
      </c>
      <c r="M982" s="56" t="str">
        <f>HYPERLINK("https://dribble.octin.io/?mode=Single+log&amp;log_id=fd173aed-a61f-4586-b740-643df87318ff","URL")</f>
        <v>URL</v>
      </c>
      <c r="N982" s="56" t="s">
        <v>2933</v>
      </c>
      <c r="O982" t="str">
        <f>_xlfn.XLOOKUP(N982,'Error-codes'!$C$2:$C$130,'Error-codes'!$B$2:$B$130, "None")</f>
        <v>inductive sensor error</v>
      </c>
      <c r="P982" t="s">
        <v>3298</v>
      </c>
      <c r="U982" s="81">
        <f>DATEVALUE(LEFT(F982,10))</f>
        <v>44963</v>
      </c>
    </row>
    <row r="983" spans="1:21">
      <c r="B983" s="56" t="s">
        <v>3293</v>
      </c>
      <c r="C983" s="56" t="s">
        <v>3294</v>
      </c>
      <c r="D983" s="56" t="s">
        <v>388</v>
      </c>
      <c r="F983" s="56" t="s">
        <v>5565</v>
      </c>
      <c r="G983" s="56">
        <v>23</v>
      </c>
      <c r="H983" s="56">
        <v>22</v>
      </c>
      <c r="I983" s="56">
        <v>0.95652173913043481</v>
      </c>
      <c r="K983" s="56" t="s">
        <v>3207</v>
      </c>
      <c r="L983" s="56" t="s">
        <v>3297</v>
      </c>
      <c r="O983">
        <f>_xlfn.XLOOKUP(N983,'Error-codes'!$C$2:$C$130,'Error-codes'!$B$2:$B$130, "None")</f>
        <v>0</v>
      </c>
      <c r="U983" s="81">
        <f>DATEVALUE(LEFT(F983,10))</f>
        <v>44963</v>
      </c>
    </row>
    <row r="984" spans="1:21">
      <c r="A984" s="56" t="s">
        <v>5566</v>
      </c>
      <c r="B984" s="56" t="s">
        <v>3263</v>
      </c>
      <c r="C984" s="56" t="s">
        <v>5557</v>
      </c>
      <c r="D984" s="56" t="s">
        <v>37</v>
      </c>
      <c r="E984" s="56" t="s">
        <v>2939</v>
      </c>
      <c r="F984" s="56" t="s">
        <v>5567</v>
      </c>
      <c r="G984" s="56">
        <v>79</v>
      </c>
      <c r="H984" s="56">
        <v>35</v>
      </c>
      <c r="I984" s="56">
        <v>0.44303797468354428</v>
      </c>
      <c r="J984" s="56" t="s">
        <v>5539</v>
      </c>
      <c r="K984" s="56" t="s">
        <v>3280</v>
      </c>
      <c r="L984" s="56" t="s">
        <v>3269</v>
      </c>
      <c r="M984" s="56" t="str">
        <f>HYPERLINK("https://dribble.octin.io/?mode=Single+log&amp;log_id=0413b5c6-c382-406f-a11a-61f8d41edc7f","URL")</f>
        <v>URL</v>
      </c>
      <c r="N984" s="56" t="s">
        <v>3446</v>
      </c>
      <c r="O984" t="str">
        <f>_xlfn.XLOOKUP(N984,'Error-codes'!$C$2:$C$130,'Error-codes'!$B$2:$B$130, "None")</f>
        <v>end of lane wall sensor error</v>
      </c>
      <c r="U984" s="81">
        <f>DATEVALUE(LEFT(F984,10))</f>
        <v>44963</v>
      </c>
    </row>
    <row r="985" spans="1:21">
      <c r="A985" s="56" t="s">
        <v>5568</v>
      </c>
      <c r="B985" s="56" t="s">
        <v>3263</v>
      </c>
      <c r="C985" s="56" t="s">
        <v>5557</v>
      </c>
      <c r="D985" s="56" t="s">
        <v>37</v>
      </c>
      <c r="E985" s="56" t="s">
        <v>2939</v>
      </c>
      <c r="F985" s="56" t="s">
        <v>5569</v>
      </c>
      <c r="G985" s="56">
        <v>79</v>
      </c>
      <c r="H985" s="56">
        <v>42</v>
      </c>
      <c r="I985" s="56">
        <v>0.53164556962025311</v>
      </c>
      <c r="J985" s="56" t="s">
        <v>5542</v>
      </c>
      <c r="K985" s="56" t="s">
        <v>3280</v>
      </c>
      <c r="L985" s="56" t="s">
        <v>3269</v>
      </c>
      <c r="M985" s="56" t="str">
        <f>HYPERLINK("https://dribble.octin.io/?mode=Single+log&amp;log_id=073288db-5373-4daa-ba65-24ae0b114b70","URL")</f>
        <v>URL</v>
      </c>
      <c r="N985" s="56" t="s">
        <v>3458</v>
      </c>
      <c r="O985" t="str">
        <f>_xlfn.XLOOKUP(N985,'Error-codes'!$C$2:$C$130,'Error-codes'!$B$2:$B$130, "None")</f>
        <v>motor drive: UNDER VOLTAGE</v>
      </c>
      <c r="U985" s="81">
        <f>DATEVALUE(LEFT(F985,10))</f>
        <v>44963</v>
      </c>
    </row>
    <row r="986" spans="1:21">
      <c r="A986" s="56" t="s">
        <v>5570</v>
      </c>
      <c r="B986" s="56" t="s">
        <v>3263</v>
      </c>
      <c r="C986" s="56" t="s">
        <v>5557</v>
      </c>
      <c r="D986" s="56" t="s">
        <v>37</v>
      </c>
      <c r="E986" s="56" t="s">
        <v>2939</v>
      </c>
      <c r="F986" s="56" t="s">
        <v>5571</v>
      </c>
      <c r="G986" s="56">
        <v>79</v>
      </c>
      <c r="H986" s="56">
        <v>44</v>
      </c>
      <c r="I986" s="56">
        <v>0.55696202531645567</v>
      </c>
      <c r="J986" s="56" t="s">
        <v>5572</v>
      </c>
      <c r="K986" s="56" t="s">
        <v>3280</v>
      </c>
      <c r="L986" s="56" t="s">
        <v>3269</v>
      </c>
      <c r="M986" s="56" t="str">
        <f>HYPERLINK("https://dribble.octin.io/?mode=Single+log&amp;log_id=d566b746-51ea-48e2-852c-2704948d76ec","URL")</f>
        <v>URL</v>
      </c>
      <c r="N986" s="56" t="s">
        <v>3454</v>
      </c>
      <c r="O986" t="str">
        <f>_xlfn.XLOOKUP(N986,'Error-codes'!$C$2:$C$130,'Error-codes'!$B$2:$B$130, "None")</f>
        <v>Veh low level FSM: safety was triggered</v>
      </c>
      <c r="U986" s="81">
        <f>DATEVALUE(LEFT(F986,10))</f>
        <v>44963</v>
      </c>
    </row>
    <row r="987" spans="1:21">
      <c r="A987" s="56" t="s">
        <v>5573</v>
      </c>
      <c r="B987" s="56" t="s">
        <v>3263</v>
      </c>
      <c r="C987" s="56" t="s">
        <v>5557</v>
      </c>
      <c r="D987" s="56" t="s">
        <v>37</v>
      </c>
      <c r="E987" s="56" t="s">
        <v>3253</v>
      </c>
      <c r="F987" s="56" t="s">
        <v>5574</v>
      </c>
      <c r="G987" s="56">
        <v>79</v>
      </c>
      <c r="H987" s="56">
        <v>46</v>
      </c>
      <c r="I987" s="56">
        <v>0.58227848101265822</v>
      </c>
      <c r="J987" s="56" t="s">
        <v>5575</v>
      </c>
      <c r="K987" s="56" t="s">
        <v>3280</v>
      </c>
      <c r="L987" s="56" t="s">
        <v>3269</v>
      </c>
      <c r="M987" s="56" t="str">
        <f>HYPERLINK("https://dribble.octin.io/?mode=Single+log&amp;log_id=b9304ca7-1476-4379-9df1-a22f4be743df","URL")</f>
        <v>URL</v>
      </c>
      <c r="N987" s="56" t="s">
        <v>3454</v>
      </c>
      <c r="O987" t="str">
        <f>_xlfn.XLOOKUP(N987,'Error-codes'!$C$2:$C$130,'Error-codes'!$B$2:$B$130, "None")</f>
        <v>Veh low level FSM: safety was triggered</v>
      </c>
      <c r="U987" s="81">
        <f>DATEVALUE(LEFT(F987,10))</f>
        <v>44963</v>
      </c>
    </row>
    <row r="988" spans="1:21">
      <c r="A988" s="56" t="s">
        <v>5576</v>
      </c>
      <c r="B988" s="56" t="s">
        <v>3263</v>
      </c>
      <c r="C988" s="56" t="s">
        <v>5577</v>
      </c>
      <c r="D988" s="56" t="s">
        <v>22</v>
      </c>
      <c r="E988" s="56" t="s">
        <v>2939</v>
      </c>
      <c r="F988" s="56" t="s">
        <v>5578</v>
      </c>
      <c r="G988" s="56">
        <v>45</v>
      </c>
      <c r="H988" s="56">
        <v>1</v>
      </c>
      <c r="I988" s="56">
        <v>2.2222222222222223E-2</v>
      </c>
      <c r="J988" s="56" t="s">
        <v>5579</v>
      </c>
      <c r="K988" s="56" t="s">
        <v>3280</v>
      </c>
      <c r="L988" s="56" t="s">
        <v>3269</v>
      </c>
      <c r="M988" s="56" t="str">
        <f>HYPERLINK("https://dribble.octin.io/?mode=Single+log&amp;log_id=7cd2d353-d44b-4e6e-86b2-54b23a404c4d","URL")</f>
        <v>URL</v>
      </c>
      <c r="N988" s="56" t="s">
        <v>3472</v>
      </c>
      <c r="O988" t="str">
        <f>_xlfn.XLOOKUP(N988,'Error-codes'!$C$2:$C$130,'Error-codes'!$B$2:$B$130, "None")</f>
        <v>Excessive slip detected</v>
      </c>
      <c r="U988" s="81">
        <f>DATEVALUE(LEFT(F988,10))</f>
        <v>44963</v>
      </c>
    </row>
    <row r="989" spans="1:21">
      <c r="B989" s="56" t="s">
        <v>3263</v>
      </c>
      <c r="C989" s="56" t="s">
        <v>5580</v>
      </c>
      <c r="D989" s="56" t="s">
        <v>22</v>
      </c>
      <c r="F989" s="56" t="s">
        <v>5581</v>
      </c>
      <c r="G989" s="56">
        <v>44</v>
      </c>
      <c r="H989" s="56">
        <v>7</v>
      </c>
      <c r="I989" s="56">
        <v>0.15909090909090909</v>
      </c>
      <c r="K989" s="56" t="s">
        <v>3280</v>
      </c>
      <c r="L989" s="56" t="s">
        <v>3269</v>
      </c>
      <c r="O989">
        <f>_xlfn.XLOOKUP(N989,'Error-codes'!$C$2:$C$130,'Error-codes'!$B$2:$B$130, "None")</f>
        <v>0</v>
      </c>
      <c r="U989" s="81">
        <f>DATEVALUE(LEFT(F989,10))</f>
        <v>44963</v>
      </c>
    </row>
    <row r="990" spans="1:21">
      <c r="A990" s="56" t="s">
        <v>5582</v>
      </c>
      <c r="B990" s="56" t="s">
        <v>3263</v>
      </c>
      <c r="C990" s="56" t="s">
        <v>5583</v>
      </c>
      <c r="D990" s="56" t="s">
        <v>37</v>
      </c>
      <c r="E990" s="56" t="s">
        <v>2939</v>
      </c>
      <c r="F990" s="56" t="s">
        <v>5584</v>
      </c>
      <c r="G990" s="56">
        <v>77</v>
      </c>
      <c r="H990" s="56">
        <v>60</v>
      </c>
      <c r="I990" s="56">
        <v>0.77922077922077926</v>
      </c>
      <c r="J990" s="56" t="s">
        <v>5585</v>
      </c>
      <c r="K990" s="56" t="s">
        <v>3280</v>
      </c>
      <c r="L990" s="56" t="s">
        <v>3269</v>
      </c>
      <c r="M990" s="56" t="str">
        <f>HYPERLINK("https://dribble.octin.io/?mode=Single+log&amp;log_id=853f3e2e-e3d7-468e-8b0e-c1791060d55c","URL")</f>
        <v>URL</v>
      </c>
      <c r="N990" s="56" t="s">
        <v>3446</v>
      </c>
      <c r="O990" t="str">
        <f>_xlfn.XLOOKUP(N990,'Error-codes'!$C$2:$C$130,'Error-codes'!$B$2:$B$130, "None")</f>
        <v>end of lane wall sensor error</v>
      </c>
      <c r="U990" s="81">
        <f>DATEVALUE(LEFT(F990,10))</f>
        <v>44964</v>
      </c>
    </row>
    <row r="991" spans="1:21">
      <c r="A991" s="56" t="s">
        <v>5586</v>
      </c>
      <c r="B991" s="56" t="s">
        <v>3263</v>
      </c>
      <c r="C991" s="56" t="s">
        <v>5583</v>
      </c>
      <c r="D991" s="56" t="s">
        <v>37</v>
      </c>
      <c r="E991" s="56" t="s">
        <v>4222</v>
      </c>
      <c r="F991" s="56" t="s">
        <v>5587</v>
      </c>
      <c r="G991" s="56">
        <v>77</v>
      </c>
      <c r="H991" s="56">
        <v>67</v>
      </c>
      <c r="I991" s="56">
        <v>0.87012987012987009</v>
      </c>
      <c r="J991" s="56" t="s">
        <v>5588</v>
      </c>
      <c r="K991" s="56" t="s">
        <v>3280</v>
      </c>
      <c r="L991" s="56" t="s">
        <v>3269</v>
      </c>
      <c r="M991" s="56" t="str">
        <f>HYPERLINK("https://dribble.octin.io/?mode=Single+log&amp;log_id=a4fb5569-2af5-429a-881f-fc4243d0f422","URL")</f>
        <v>URL</v>
      </c>
      <c r="N991" s="56" t="s">
        <v>3458</v>
      </c>
      <c r="O991" t="str">
        <f>_xlfn.XLOOKUP(N991,'Error-codes'!$C$2:$C$130,'Error-codes'!$B$2:$B$130, "None")</f>
        <v>motor drive: UNDER VOLTAGE</v>
      </c>
      <c r="U991" s="81">
        <f>DATEVALUE(LEFT(F991,10))</f>
        <v>44964</v>
      </c>
    </row>
    <row r="992" spans="1:21">
      <c r="A992" s="56" t="s">
        <v>5589</v>
      </c>
      <c r="B992" s="56" t="s">
        <v>29</v>
      </c>
      <c r="C992" s="56" t="s">
        <v>5590</v>
      </c>
      <c r="D992" s="56" t="s">
        <v>37</v>
      </c>
      <c r="E992" s="56" t="s">
        <v>2939</v>
      </c>
      <c r="F992" s="56" t="s">
        <v>5591</v>
      </c>
      <c r="G992" s="56">
        <v>10</v>
      </c>
      <c r="H992" s="56">
        <v>0</v>
      </c>
      <c r="I992" s="56">
        <v>0</v>
      </c>
      <c r="J992" s="56" t="s">
        <v>5592</v>
      </c>
      <c r="K992" s="56" t="s">
        <v>5593</v>
      </c>
      <c r="L992" s="56" t="s">
        <v>5594</v>
      </c>
      <c r="M992" s="56" t="str">
        <f>HYPERLINK("https://dribble.octin.io/?mode=Single+log&amp;log_id=4e7f2942-c833-4266-89c9-92632352c38c","URL")</f>
        <v>URL</v>
      </c>
      <c r="N992" s="56" t="s">
        <v>3446</v>
      </c>
      <c r="O992" t="str">
        <f>_xlfn.XLOOKUP(N992,'Error-codes'!$C$2:$C$130,'Error-codes'!$B$2:$B$130, "None")</f>
        <v>end of lane wall sensor error</v>
      </c>
      <c r="P992" t="s">
        <v>5595</v>
      </c>
      <c r="U992" s="81">
        <f>DATEVALUE(LEFT(F992,10))</f>
        <v>44965</v>
      </c>
    </row>
    <row r="993" spans="1:21">
      <c r="A993" s="56" t="s">
        <v>5596</v>
      </c>
      <c r="B993" s="56" t="s">
        <v>29</v>
      </c>
      <c r="C993" s="56" t="s">
        <v>5590</v>
      </c>
      <c r="D993" s="56" t="s">
        <v>37</v>
      </c>
      <c r="E993" s="56" t="s">
        <v>3242</v>
      </c>
      <c r="F993" s="56" t="s">
        <v>5597</v>
      </c>
      <c r="G993" s="56">
        <v>10</v>
      </c>
      <c r="H993" s="56">
        <v>1</v>
      </c>
      <c r="I993" s="56">
        <v>0.1</v>
      </c>
      <c r="J993" s="56" t="s">
        <v>5598</v>
      </c>
      <c r="K993" s="56" t="s">
        <v>5593</v>
      </c>
      <c r="L993" s="56" t="s">
        <v>5594</v>
      </c>
      <c r="M993" s="56" t="str">
        <f>HYPERLINK("https://dribble.octin.io/?mode=Single+log&amp;log_id=7ed151e4-457c-47d9-9e20-5a55feefd186","URL")</f>
        <v>URL</v>
      </c>
      <c r="N993" s="56" t="s">
        <v>3450</v>
      </c>
      <c r="O993" t="str">
        <f>_xlfn.XLOOKUP(N993,'Error-codes'!$C$2:$C$130,'Error-codes'!$B$2:$B$130, "None")</f>
        <v>xtheta sensor error</v>
      </c>
      <c r="P993" t="s">
        <v>5599</v>
      </c>
      <c r="U993" s="81">
        <f>DATEVALUE(LEFT(F993,10))</f>
        <v>44965</v>
      </c>
    </row>
    <row r="994" spans="1:21">
      <c r="A994" s="56" t="s">
        <v>5600</v>
      </c>
      <c r="B994" s="56" t="s">
        <v>29</v>
      </c>
      <c r="C994" s="56" t="s">
        <v>5601</v>
      </c>
      <c r="D994" s="56" t="s">
        <v>37</v>
      </c>
      <c r="E994" s="56" t="s">
        <v>5121</v>
      </c>
      <c r="F994" s="56" t="s">
        <v>5602</v>
      </c>
      <c r="G994" s="56">
        <v>9</v>
      </c>
      <c r="H994" s="56">
        <v>0</v>
      </c>
      <c r="I994" s="56">
        <v>0</v>
      </c>
      <c r="J994" s="56" t="s">
        <v>3315</v>
      </c>
      <c r="K994" s="56" t="s">
        <v>5593</v>
      </c>
      <c r="L994" s="56" t="s">
        <v>5594</v>
      </c>
      <c r="M994" s="56" t="str">
        <f>HYPERLINK("https://dribble.octin.io/?mode=Single+log&amp;log_id=464867d7-f12c-4d76-990a-de243ffd5a05","URL")</f>
        <v>URL</v>
      </c>
      <c r="N994" s="56" t="s">
        <v>3458</v>
      </c>
      <c r="O994" t="str">
        <f>_xlfn.XLOOKUP(N994,'Error-codes'!$C$2:$C$130,'Error-codes'!$B$2:$B$130, "None")</f>
        <v>motor drive: UNDER VOLTAGE</v>
      </c>
      <c r="P994" t="s">
        <v>5603</v>
      </c>
      <c r="U994" s="81">
        <f>DATEVALUE(LEFT(F994,10))</f>
        <v>44965</v>
      </c>
    </row>
    <row r="995" spans="1:21">
      <c r="A995" s="56" t="s">
        <v>5604</v>
      </c>
      <c r="B995" s="56" t="s">
        <v>29</v>
      </c>
      <c r="C995" s="56" t="s">
        <v>5605</v>
      </c>
      <c r="D995" s="56" t="s">
        <v>37</v>
      </c>
      <c r="E995" s="56" t="s">
        <v>5121</v>
      </c>
      <c r="F995" s="56" t="s">
        <v>5606</v>
      </c>
      <c r="G995" s="56">
        <v>5</v>
      </c>
      <c r="H995" s="56">
        <v>0</v>
      </c>
      <c r="I995" s="56">
        <v>0</v>
      </c>
      <c r="J995" s="56" t="s">
        <v>5607</v>
      </c>
      <c r="K995" s="56" t="s">
        <v>5593</v>
      </c>
      <c r="L995" s="56" t="s">
        <v>5594</v>
      </c>
      <c r="M995" s="56" t="str">
        <f>HYPERLINK("https://dribble.octin.io/?mode=Single+log&amp;log_id=d781bf46-6cc0-437a-976f-c4bf9a19c73e","URL")</f>
        <v>URL</v>
      </c>
      <c r="N995" s="56" t="s">
        <v>3458</v>
      </c>
      <c r="O995" t="str">
        <f>_xlfn.XLOOKUP(N995,'Error-codes'!$C$2:$C$130,'Error-codes'!$B$2:$B$130, "None")</f>
        <v>motor drive: UNDER VOLTAGE</v>
      </c>
      <c r="P995" t="s">
        <v>3326</v>
      </c>
      <c r="U995" s="81">
        <f>DATEVALUE(LEFT(F995,10))</f>
        <v>44965</v>
      </c>
    </row>
    <row r="996" spans="1:21">
      <c r="A996" s="56" t="s">
        <v>5608</v>
      </c>
      <c r="B996" s="56" t="s">
        <v>29</v>
      </c>
      <c r="C996" s="56" t="s">
        <v>5609</v>
      </c>
      <c r="D996" s="56" t="s">
        <v>37</v>
      </c>
      <c r="E996" s="56" t="s">
        <v>2939</v>
      </c>
      <c r="F996" s="56" t="s">
        <v>5610</v>
      </c>
      <c r="G996" s="56">
        <v>15</v>
      </c>
      <c r="H996" s="56">
        <v>0</v>
      </c>
      <c r="I996" s="56">
        <v>0</v>
      </c>
      <c r="J996" s="56" t="s">
        <v>5611</v>
      </c>
      <c r="K996" s="56" t="s">
        <v>5612</v>
      </c>
      <c r="L996" s="56" t="s">
        <v>5594</v>
      </c>
      <c r="M996" s="56" t="str">
        <f>HYPERLINK("https://dribble.octin.io/?mode=Single+log&amp;log_id=0bfe4bc8-6876-4150-a3a0-264e128537e3","URL")</f>
        <v>URL</v>
      </c>
      <c r="N996" s="56" t="s">
        <v>3448</v>
      </c>
      <c r="O996" t="str">
        <f>_xlfn.XLOOKUP(N996,'Error-codes'!$C$2:$C$130,'Error-codes'!$B$2:$B$130, "None")</f>
        <v>end of lane open sensor error</v>
      </c>
      <c r="P996" t="s">
        <v>3326</v>
      </c>
      <c r="U996" s="81">
        <f>DATEVALUE(LEFT(F996,10))</f>
        <v>44965</v>
      </c>
    </row>
    <row r="997" spans="1:21">
      <c r="A997" s="56" t="s">
        <v>5613</v>
      </c>
      <c r="B997" s="56" t="s">
        <v>29</v>
      </c>
      <c r="C997" s="56" t="s">
        <v>5609</v>
      </c>
      <c r="D997" s="56" t="s">
        <v>37</v>
      </c>
      <c r="E997" s="56" t="s">
        <v>2939</v>
      </c>
      <c r="F997" s="56" t="s">
        <v>5614</v>
      </c>
      <c r="G997" s="56">
        <v>15</v>
      </c>
      <c r="H997" s="56">
        <v>1</v>
      </c>
      <c r="I997" s="56">
        <v>6.6666666666666666E-2</v>
      </c>
      <c r="J997" s="56" t="s">
        <v>5615</v>
      </c>
      <c r="K997" s="56" t="s">
        <v>5612</v>
      </c>
      <c r="L997" s="56" t="s">
        <v>5594</v>
      </c>
      <c r="M997" s="56" t="str">
        <f>HYPERLINK("https://dribble.octin.io/?mode=Single+log&amp;log_id=3e437b56-d680-4097-aec2-c6815f64b079","URL")</f>
        <v>URL</v>
      </c>
      <c r="N997" s="56" t="s">
        <v>3448</v>
      </c>
      <c r="O997" t="str">
        <f>_xlfn.XLOOKUP(N997,'Error-codes'!$C$2:$C$130,'Error-codes'!$B$2:$B$130, "None")</f>
        <v>end of lane open sensor error</v>
      </c>
      <c r="P997" t="s">
        <v>3326</v>
      </c>
      <c r="U997" s="81">
        <f>DATEVALUE(LEFT(F997,10))</f>
        <v>44965</v>
      </c>
    </row>
    <row r="998" spans="1:21">
      <c r="A998" s="56" t="s">
        <v>5616</v>
      </c>
      <c r="B998" s="56" t="s">
        <v>29</v>
      </c>
      <c r="C998" s="56" t="s">
        <v>5609</v>
      </c>
      <c r="D998" s="56" t="s">
        <v>37</v>
      </c>
      <c r="E998" s="56" t="s">
        <v>3242</v>
      </c>
      <c r="F998" s="56" t="s">
        <v>5617</v>
      </c>
      <c r="G998" s="56">
        <v>15</v>
      </c>
      <c r="H998" s="56">
        <v>2</v>
      </c>
      <c r="I998" s="56">
        <v>0.13333333333333333</v>
      </c>
      <c r="J998" s="56" t="s">
        <v>5618</v>
      </c>
      <c r="K998" s="56" t="s">
        <v>5612</v>
      </c>
      <c r="L998" s="56" t="s">
        <v>5594</v>
      </c>
      <c r="M998" s="56" t="str">
        <f>HYPERLINK("https://dribble.octin.io/?mode=Single+log&amp;log_id=d612a1a9-b581-4f14-963b-94f1fa7f0136","URL")</f>
        <v>URL</v>
      </c>
      <c r="N998" s="56" t="s">
        <v>3458</v>
      </c>
      <c r="O998" t="str">
        <f>_xlfn.XLOOKUP(N998,'Error-codes'!$C$2:$C$130,'Error-codes'!$B$2:$B$130, "None")</f>
        <v>motor drive: UNDER VOLTAGE</v>
      </c>
      <c r="P998" t="s">
        <v>3326</v>
      </c>
      <c r="U998" s="81">
        <f>DATEVALUE(LEFT(F998,10))</f>
        <v>44965</v>
      </c>
    </row>
    <row r="999" spans="1:21">
      <c r="B999" s="56" t="s">
        <v>295</v>
      </c>
      <c r="C999" s="56" t="s">
        <v>5619</v>
      </c>
      <c r="D999" s="56" t="s">
        <v>388</v>
      </c>
      <c r="F999" s="56" t="s">
        <v>5620</v>
      </c>
      <c r="G999" s="56">
        <v>2</v>
      </c>
      <c r="H999" s="56">
        <v>2</v>
      </c>
      <c r="I999" s="56">
        <v>1</v>
      </c>
      <c r="K999" s="56" t="s">
        <v>5612</v>
      </c>
      <c r="L999" s="56" t="s">
        <v>5621</v>
      </c>
      <c r="O999">
        <f>_xlfn.XLOOKUP(N999,'Error-codes'!$C$2:$C$130,'Error-codes'!$B$2:$B$130, "None")</f>
        <v>0</v>
      </c>
      <c r="U999" s="81">
        <f>DATEVALUE(LEFT(F999,10))</f>
        <v>44965</v>
      </c>
    </row>
    <row r="1000" spans="1:21">
      <c r="A1000" s="56" t="s">
        <v>5622</v>
      </c>
      <c r="B1000" s="56" t="s">
        <v>295</v>
      </c>
      <c r="C1000" s="56" t="s">
        <v>5623</v>
      </c>
      <c r="D1000" s="56" t="s">
        <v>37</v>
      </c>
      <c r="E1000" s="56" t="s">
        <v>4253</v>
      </c>
      <c r="F1000" s="56" t="s">
        <v>5624</v>
      </c>
      <c r="G1000" s="56">
        <v>6</v>
      </c>
      <c r="H1000" s="56">
        <v>2</v>
      </c>
      <c r="I1000" s="56">
        <v>0.33333333333333331</v>
      </c>
      <c r="J1000" s="56" t="s">
        <v>5625</v>
      </c>
      <c r="K1000" s="56" t="s">
        <v>5612</v>
      </c>
      <c r="L1000" s="56" t="s">
        <v>5621</v>
      </c>
      <c r="M1000" s="56" t="str">
        <f>HYPERLINK("https://dribble.octin.io/?mode=Single+log&amp;log_id=da1363be-c481-4596-928d-7715e4a8bf11","URL")</f>
        <v>URL</v>
      </c>
      <c r="N1000" s="56" t="s">
        <v>3460</v>
      </c>
      <c r="O1000" t="str">
        <f>_xlfn.XLOOKUP(N1000,'Error-codes'!$C$2:$C$130,'Error-codes'!$B$2:$B$130, "None")</f>
        <v>motor drive: DRV8353 FAULT</v>
      </c>
      <c r="P1000" t="s">
        <v>5603</v>
      </c>
      <c r="U1000" s="81">
        <f>DATEVALUE(LEFT(F1000,10))</f>
        <v>44965</v>
      </c>
    </row>
    <row r="1001" spans="1:21">
      <c r="B1001" s="56" t="s">
        <v>295</v>
      </c>
      <c r="C1001" s="56" t="s">
        <v>5626</v>
      </c>
      <c r="D1001" s="56" t="s">
        <v>388</v>
      </c>
      <c r="F1001" s="56" t="s">
        <v>5627</v>
      </c>
      <c r="G1001" s="56">
        <v>6</v>
      </c>
      <c r="H1001" s="56">
        <v>6</v>
      </c>
      <c r="I1001" s="56">
        <v>1</v>
      </c>
      <c r="K1001" s="56" t="s">
        <v>5612</v>
      </c>
      <c r="L1001" s="56" t="s">
        <v>5621</v>
      </c>
      <c r="O1001">
        <f>_xlfn.XLOOKUP(N1001,'Error-codes'!$C$2:$C$130,'Error-codes'!$B$2:$B$130, "None")</f>
        <v>0</v>
      </c>
      <c r="U1001" s="81">
        <f>DATEVALUE(LEFT(F1001,10))</f>
        <v>44965</v>
      </c>
    </row>
    <row r="1002" spans="1:21">
      <c r="A1002" s="56" t="s">
        <v>5628</v>
      </c>
      <c r="B1002" s="56" t="s">
        <v>29</v>
      </c>
      <c r="C1002" s="56" t="s">
        <v>5629</v>
      </c>
      <c r="D1002" s="56" t="s">
        <v>37</v>
      </c>
      <c r="E1002" s="56" t="s">
        <v>2939</v>
      </c>
      <c r="F1002" s="56" t="s">
        <v>5630</v>
      </c>
      <c r="G1002" s="56">
        <v>6</v>
      </c>
      <c r="H1002" s="56">
        <v>0</v>
      </c>
      <c r="I1002" s="56">
        <v>0</v>
      </c>
      <c r="J1002" s="56" t="s">
        <v>3315</v>
      </c>
      <c r="K1002" s="56" t="s">
        <v>5612</v>
      </c>
      <c r="L1002" s="56" t="s">
        <v>5621</v>
      </c>
      <c r="M1002" s="56" t="str">
        <f>HYPERLINK("https://dribble.octin.io/?mode=Single+log&amp;log_id=252f913c-fa29-4cf6-9cdd-3d65d478ce6b","URL")</f>
        <v>URL</v>
      </c>
      <c r="N1002" s="56" t="s">
        <v>3458</v>
      </c>
      <c r="O1002" t="str">
        <f>_xlfn.XLOOKUP(N1002,'Error-codes'!$C$2:$C$130,'Error-codes'!$B$2:$B$130, "None")</f>
        <v>motor drive: UNDER VOLTAGE</v>
      </c>
      <c r="P1002" t="s">
        <v>3326</v>
      </c>
      <c r="U1002" s="81">
        <f>DATEVALUE(LEFT(F1002,10))</f>
        <v>44965</v>
      </c>
    </row>
    <row r="1003" spans="1:21">
      <c r="A1003" s="56" t="s">
        <v>5631</v>
      </c>
      <c r="B1003" s="56" t="s">
        <v>29</v>
      </c>
      <c r="C1003" s="56" t="s">
        <v>5629</v>
      </c>
      <c r="D1003" s="56" t="s">
        <v>37</v>
      </c>
      <c r="E1003" s="56" t="s">
        <v>3242</v>
      </c>
      <c r="F1003" s="56" t="s">
        <v>5632</v>
      </c>
      <c r="G1003" s="56">
        <v>6</v>
      </c>
      <c r="H1003" s="56">
        <v>1</v>
      </c>
      <c r="I1003" s="56">
        <v>0.16666666666666666</v>
      </c>
      <c r="J1003" s="56" t="s">
        <v>5633</v>
      </c>
      <c r="K1003" s="56" t="s">
        <v>5612</v>
      </c>
      <c r="L1003" s="56" t="s">
        <v>5621</v>
      </c>
      <c r="M1003" s="56" t="str">
        <f>HYPERLINK("https://dribble.octin.io/?mode=Single+log&amp;log_id=daa91a0c-86db-406d-93bc-3bef40a13ae5","URL")</f>
        <v>URL</v>
      </c>
      <c r="N1003" s="56" t="s">
        <v>3438</v>
      </c>
      <c r="O1003" t="str">
        <f>_xlfn.XLOOKUP(N1003,'Error-codes'!$C$2:$C$130,'Error-codes'!$B$2:$B$130, "None")</f>
        <v>Failed to find feasible path</v>
      </c>
      <c r="P1003" t="s">
        <v>3326</v>
      </c>
      <c r="U1003" s="81">
        <f>DATEVALUE(LEFT(F1003,10))</f>
        <v>44965</v>
      </c>
    </row>
    <row r="1004" spans="1:21">
      <c r="A1004" s="56" t="s">
        <v>5634</v>
      </c>
      <c r="B1004" s="56" t="s">
        <v>29</v>
      </c>
      <c r="C1004" s="56" t="s">
        <v>5635</v>
      </c>
      <c r="D1004" s="56" t="s">
        <v>37</v>
      </c>
      <c r="E1004" s="56" t="s">
        <v>3242</v>
      </c>
      <c r="F1004" s="56" t="s">
        <v>5636</v>
      </c>
      <c r="G1004" s="56">
        <v>2</v>
      </c>
      <c r="H1004" s="56">
        <v>0</v>
      </c>
      <c r="I1004" s="56">
        <v>0</v>
      </c>
      <c r="J1004" s="56" t="s">
        <v>5637</v>
      </c>
      <c r="K1004" s="56" t="s">
        <v>5612</v>
      </c>
      <c r="L1004" s="56" t="s">
        <v>5621</v>
      </c>
      <c r="M1004" s="56" t="str">
        <f>HYPERLINK("https://dribble.octin.io/?mode=Single+log&amp;log_id=c0820ed2-f60c-4764-9381-bd370a522a00","URL")</f>
        <v>URL</v>
      </c>
      <c r="N1004" s="56" t="s">
        <v>3438</v>
      </c>
      <c r="O1004" t="str">
        <f>_xlfn.XLOOKUP(N1004,'Error-codes'!$C$2:$C$130,'Error-codes'!$B$2:$B$130, "None")</f>
        <v>Failed to find feasible path</v>
      </c>
      <c r="P1004" t="s">
        <v>3326</v>
      </c>
      <c r="U1004" s="81">
        <f>DATEVALUE(LEFT(F1004,10))</f>
        <v>44965</v>
      </c>
    </row>
    <row r="1005" spans="1:21">
      <c r="B1005" s="56" t="s">
        <v>295</v>
      </c>
      <c r="C1005" s="56" t="s">
        <v>5638</v>
      </c>
      <c r="D1005" s="56" t="s">
        <v>388</v>
      </c>
      <c r="F1005" s="56" t="s">
        <v>5639</v>
      </c>
      <c r="G1005" s="56">
        <v>9</v>
      </c>
      <c r="H1005" s="56">
        <v>9</v>
      </c>
      <c r="I1005" s="56">
        <v>1</v>
      </c>
      <c r="K1005" s="56" t="s">
        <v>5593</v>
      </c>
      <c r="L1005" s="56" t="s">
        <v>5621</v>
      </c>
      <c r="O1005">
        <f>_xlfn.XLOOKUP(N1005,'Error-codes'!$C$2:$C$130,'Error-codes'!$B$2:$B$130, "None")</f>
        <v>0</v>
      </c>
      <c r="U1005" s="81">
        <f>DATEVALUE(LEFT(F1005,10))</f>
        <v>44965</v>
      </c>
    </row>
    <row r="1006" spans="1:21">
      <c r="A1006" s="56" t="s">
        <v>5640</v>
      </c>
      <c r="B1006" s="56" t="s">
        <v>29</v>
      </c>
      <c r="C1006" s="56" t="s">
        <v>5641</v>
      </c>
      <c r="D1006" s="56"/>
      <c r="E1006" s="56"/>
      <c r="F1006" s="56" t="s">
        <v>5642</v>
      </c>
      <c r="G1006" s="56">
        <v>2</v>
      </c>
      <c r="H1006" s="56">
        <v>1</v>
      </c>
      <c r="I1006" s="56">
        <v>0.5</v>
      </c>
      <c r="J1006" s="56" t="s">
        <v>5643</v>
      </c>
      <c r="K1006" s="56" t="s">
        <v>5593</v>
      </c>
      <c r="L1006" s="56" t="s">
        <v>5621</v>
      </c>
      <c r="M1006" s="56" t="str">
        <f>HYPERLINK("https://dribble.octin.io/?mode=Single+log&amp;log_id=64845f63-4cc2-4c73-ae1c-3818573f8fd7","URL")</f>
        <v>URL</v>
      </c>
      <c r="N1006" s="56" t="s">
        <v>3444</v>
      </c>
      <c r="O1006" t="str">
        <f>_xlfn.XLOOKUP(N1006,'Error-codes'!$C$2:$C$130,'Error-codes'!$B$2:$B$130, "None")</f>
        <v>collision detected in operational state for the 4th time in a row</v>
      </c>
      <c r="P1006" t="s">
        <v>3326</v>
      </c>
      <c r="U1006" s="81">
        <f>DATEVALUE(LEFT(F1006,10))</f>
        <v>44965</v>
      </c>
    </row>
    <row r="1007" spans="1:21">
      <c r="A1007" s="56" t="s">
        <v>5644</v>
      </c>
      <c r="B1007" s="56" t="s">
        <v>29</v>
      </c>
      <c r="C1007" s="56" t="s">
        <v>5645</v>
      </c>
      <c r="D1007" s="56" t="s">
        <v>388</v>
      </c>
      <c r="E1007" s="56" t="s">
        <v>2939</v>
      </c>
      <c r="F1007" s="56" t="s">
        <v>5646</v>
      </c>
      <c r="G1007" s="56">
        <v>10</v>
      </c>
      <c r="H1007" s="56">
        <v>1</v>
      </c>
      <c r="I1007" s="56">
        <v>0.1</v>
      </c>
      <c r="J1007" s="56" t="s">
        <v>5647</v>
      </c>
      <c r="K1007" s="56" t="s">
        <v>5593</v>
      </c>
      <c r="L1007" s="56" t="s">
        <v>5621</v>
      </c>
      <c r="M1007" s="56" t="str">
        <f>HYPERLINK("https://dribble.octin.io/?mode=Single+log&amp;log_id=b8be17e3-6e80-4be2-9da5-ea0c59f24e69","URL")</f>
        <v>URL</v>
      </c>
      <c r="N1007" s="56" t="s">
        <v>3444</v>
      </c>
      <c r="O1007" t="str">
        <f>_xlfn.XLOOKUP(N1007,'Error-codes'!$C$2:$C$130,'Error-codes'!$B$2:$B$130, "None")</f>
        <v>collision detected in operational state for the 4th time in a row</v>
      </c>
      <c r="P1007" t="s">
        <v>3326</v>
      </c>
      <c r="U1007" s="81">
        <f>DATEVALUE(LEFT(F1007,10))</f>
        <v>44965</v>
      </c>
    </row>
    <row r="1008" spans="1:21">
      <c r="B1008" s="56" t="s">
        <v>29</v>
      </c>
      <c r="C1008" s="56" t="s">
        <v>5645</v>
      </c>
      <c r="D1008" s="56" t="s">
        <v>388</v>
      </c>
      <c r="F1008" s="56" t="s">
        <v>5648</v>
      </c>
      <c r="G1008" s="56">
        <v>10</v>
      </c>
      <c r="H1008" s="56">
        <v>9</v>
      </c>
      <c r="I1008" s="56">
        <v>0.9</v>
      </c>
      <c r="K1008" s="56" t="s">
        <v>5593</v>
      </c>
      <c r="L1008" s="56" t="s">
        <v>5621</v>
      </c>
      <c r="O1008">
        <f>_xlfn.XLOOKUP(N1008,'Error-codes'!$C$2:$C$130,'Error-codes'!$B$2:$B$130, "None")</f>
        <v>0</v>
      </c>
      <c r="U1008" s="81">
        <f>DATEVALUE(LEFT(F1008,10))</f>
        <v>44965</v>
      </c>
    </row>
    <row r="1009" spans="1:21">
      <c r="A1009" s="56" t="s">
        <v>5649</v>
      </c>
      <c r="B1009" s="56" t="s">
        <v>295</v>
      </c>
      <c r="C1009" s="56" t="s">
        <v>5650</v>
      </c>
      <c r="D1009" s="56" t="s">
        <v>37</v>
      </c>
      <c r="E1009" s="56" t="s">
        <v>4351</v>
      </c>
      <c r="F1009" s="56" t="s">
        <v>5651</v>
      </c>
      <c r="G1009" s="56">
        <v>145</v>
      </c>
      <c r="H1009" s="56">
        <v>9</v>
      </c>
      <c r="I1009" s="56">
        <v>6.2068965517241378E-2</v>
      </c>
      <c r="J1009" s="56" t="s">
        <v>5652</v>
      </c>
      <c r="K1009" s="56" t="s">
        <v>5612</v>
      </c>
      <c r="L1009" s="56" t="s">
        <v>5621</v>
      </c>
      <c r="M1009" s="56" t="str">
        <f>HYPERLINK("https://dribble.octin.io/?mode=Single+log&amp;log_id=96283ba8-d7d7-41bf-a4a7-ff1d8b65738c","URL")</f>
        <v>URL</v>
      </c>
      <c r="N1009" s="56" t="s">
        <v>3472</v>
      </c>
      <c r="O1009" t="str">
        <f>_xlfn.XLOOKUP(N1009,'Error-codes'!$C$2:$C$130,'Error-codes'!$B$2:$B$130, "None")</f>
        <v>Excessive slip detected</v>
      </c>
      <c r="P1009" t="s">
        <v>5653</v>
      </c>
      <c r="U1009" s="81">
        <f>DATEVALUE(LEFT(F1009,10))</f>
        <v>44965</v>
      </c>
    </row>
    <row r="1010" spans="1:21">
      <c r="A1010" s="56" t="s">
        <v>5654</v>
      </c>
      <c r="B1010" s="56" t="s">
        <v>3263</v>
      </c>
      <c r="C1010" s="56" t="s">
        <v>5655</v>
      </c>
      <c r="D1010" s="56" t="s">
        <v>22</v>
      </c>
      <c r="E1010" s="56" t="s">
        <v>2939</v>
      </c>
      <c r="F1010" s="56" t="s">
        <v>5656</v>
      </c>
      <c r="G1010" s="56">
        <v>82</v>
      </c>
      <c r="H1010" s="56">
        <v>1</v>
      </c>
      <c r="I1010" s="56">
        <v>1.2195121951219513E-2</v>
      </c>
      <c r="J1010" s="56" t="s">
        <v>3279</v>
      </c>
      <c r="K1010" s="56" t="s">
        <v>3280</v>
      </c>
      <c r="L1010" s="56" t="s">
        <v>3269</v>
      </c>
      <c r="M1010" s="56" t="str">
        <f>HYPERLINK("https://dribble.octin.io/?mode=Single+log&amp;log_id=3e969509-9a72-49c2-befb-ecd21e1bffc9","URL")</f>
        <v>URL</v>
      </c>
      <c r="N1010" s="56" t="s">
        <v>3446</v>
      </c>
      <c r="O1010" t="str">
        <f>_xlfn.XLOOKUP(N1010,'Error-codes'!$C$2:$C$130,'Error-codes'!$B$2:$B$130, "None")</f>
        <v>end of lane wall sensor error</v>
      </c>
      <c r="P1010" t="s">
        <v>5657</v>
      </c>
      <c r="U1010" s="81">
        <f>DATEVALUE(LEFT(F1010,10))</f>
        <v>44965</v>
      </c>
    </row>
    <row r="1011" spans="1:21">
      <c r="A1011" s="56" t="s">
        <v>3306</v>
      </c>
      <c r="B1011" s="56" t="s">
        <v>3202</v>
      </c>
      <c r="C1011" s="56" t="s">
        <v>3307</v>
      </c>
      <c r="D1011" s="56"/>
      <c r="E1011" s="56" t="s">
        <v>2939</v>
      </c>
      <c r="F1011" s="56" t="s">
        <v>3308</v>
      </c>
      <c r="G1011" s="56">
        <v>47</v>
      </c>
      <c r="H1011" s="56">
        <v>1</v>
      </c>
      <c r="I1011" s="56">
        <v>2.1276595744680851E-2</v>
      </c>
      <c r="J1011" s="56" t="s">
        <v>3229</v>
      </c>
      <c r="K1011" s="56" t="s">
        <v>3207</v>
      </c>
      <c r="L1011" s="56" t="s">
        <v>3237</v>
      </c>
      <c r="M1011" s="56" t="str">
        <f>HYPERLINK("https://dribble.octin.io/?mode=Single+log&amp;log_id=daa83a0a-3faf-4e32-9dc8-29491150c3e6","URL")</f>
        <v>URL</v>
      </c>
      <c r="N1011" s="56" t="s">
        <v>2933</v>
      </c>
      <c r="O1011" t="str">
        <f>_xlfn.XLOOKUP(N1011,'Error-codes'!$C$2:$C$130,'Error-codes'!$B$2:$B$130, "None")</f>
        <v>inductive sensor error</v>
      </c>
      <c r="P1011" t="s">
        <v>3309</v>
      </c>
      <c r="U1011" s="81">
        <f>DATEVALUE(LEFT(F1011,10))</f>
        <v>44965</v>
      </c>
    </row>
    <row r="1012" spans="1:21">
      <c r="A1012" s="56" t="s">
        <v>5658</v>
      </c>
      <c r="B1012" s="56" t="s">
        <v>3202</v>
      </c>
      <c r="C1012" s="56" t="s">
        <v>3307</v>
      </c>
      <c r="D1012" s="56"/>
      <c r="E1012" s="56" t="s">
        <v>2939</v>
      </c>
      <c r="F1012" s="56" t="s">
        <v>5659</v>
      </c>
      <c r="G1012" s="56">
        <v>47</v>
      </c>
      <c r="H1012" s="56">
        <v>2</v>
      </c>
      <c r="I1012" s="56">
        <v>4.2553191489361701E-2</v>
      </c>
      <c r="J1012" s="56" t="s">
        <v>3226</v>
      </c>
      <c r="K1012" s="56" t="s">
        <v>3207</v>
      </c>
      <c r="L1012" s="56" t="s">
        <v>3237</v>
      </c>
      <c r="M1012" s="56" t="str">
        <f>HYPERLINK("https://dribble.octin.io/?mode=Single+log&amp;log_id=97067215-b003-435e-9138-a6c7ffd6be93","URL")</f>
        <v>URL</v>
      </c>
      <c r="N1012" s="56" t="s">
        <v>3426</v>
      </c>
      <c r="O1012" t="str">
        <f>_xlfn.XLOOKUP(N1012,'Error-codes'!$C$2:$C$130,'Error-codes'!$B$2:$B$130, "None")</f>
        <v>low level fsm is no longer executing the given command</v>
      </c>
      <c r="P1012" t="s">
        <v>5660</v>
      </c>
      <c r="U1012" s="81">
        <f>DATEVALUE(LEFT(F1012,10))</f>
        <v>44965</v>
      </c>
    </row>
    <row r="1013" spans="1:21">
      <c r="A1013" s="56" t="s">
        <v>5661</v>
      </c>
      <c r="B1013" s="56" t="s">
        <v>3293</v>
      </c>
      <c r="C1013" s="56" t="s">
        <v>5662</v>
      </c>
      <c r="D1013" s="56" t="s">
        <v>388</v>
      </c>
      <c r="E1013" s="56" t="s">
        <v>2939</v>
      </c>
      <c r="F1013" s="56" t="s">
        <v>5663</v>
      </c>
      <c r="G1013" s="56">
        <v>23</v>
      </c>
      <c r="H1013" s="56">
        <v>18</v>
      </c>
      <c r="I1013" s="56">
        <v>0.78260869565217395</v>
      </c>
      <c r="J1013" s="56" t="s">
        <v>5218</v>
      </c>
      <c r="K1013" s="56" t="s">
        <v>3207</v>
      </c>
      <c r="L1013" s="56" t="s">
        <v>3297</v>
      </c>
      <c r="M1013" s="56" t="str">
        <f>HYPERLINK("https://dribble.octin.io/?mode=Single+log&amp;log_id=5e44a4b9-38c1-49d5-90d9-0d8fc9f4fd3e","URL")</f>
        <v>URL</v>
      </c>
      <c r="N1013" s="56" t="s">
        <v>3446</v>
      </c>
      <c r="O1013" t="str">
        <f>_xlfn.XLOOKUP(N1013,'Error-codes'!$C$2:$C$130,'Error-codes'!$B$2:$B$130, "None")</f>
        <v>end of lane wall sensor error</v>
      </c>
      <c r="P1013" t="s">
        <v>5413</v>
      </c>
      <c r="U1013" s="81">
        <f>DATEVALUE(LEFT(F1013,10))</f>
        <v>44965</v>
      </c>
    </row>
    <row r="1014" spans="1:21">
      <c r="A1014" s="56" t="s">
        <v>5664</v>
      </c>
      <c r="B1014" s="56" t="s">
        <v>295</v>
      </c>
      <c r="C1014" s="56" t="s">
        <v>5665</v>
      </c>
      <c r="D1014" s="56" t="s">
        <v>37</v>
      </c>
      <c r="E1014" s="56" t="s">
        <v>3242</v>
      </c>
      <c r="F1014" s="56" t="s">
        <v>5666</v>
      </c>
      <c r="G1014" s="56">
        <v>2</v>
      </c>
      <c r="H1014" s="56">
        <v>0</v>
      </c>
      <c r="I1014" s="56">
        <v>0</v>
      </c>
      <c r="J1014" s="56" t="s">
        <v>5667</v>
      </c>
      <c r="K1014" s="56" t="s">
        <v>5612</v>
      </c>
      <c r="L1014" s="56" t="s">
        <v>5621</v>
      </c>
      <c r="M1014" s="56" t="str">
        <f>HYPERLINK("https://dribble.octin.io/?mode=Single+log&amp;log_id=ebd6acc6-c781-4b71-ad59-6bca3543507d","URL")</f>
        <v>URL</v>
      </c>
      <c r="N1014" s="56" t="s">
        <v>3438</v>
      </c>
      <c r="O1014" t="str">
        <f>_xlfn.XLOOKUP(N1014,'Error-codes'!$C$2:$C$130,'Error-codes'!$B$2:$B$130, "None")</f>
        <v>Failed to find feasible path</v>
      </c>
      <c r="P1014" t="s">
        <v>3326</v>
      </c>
      <c r="U1014" s="81">
        <f>DATEVALUE(LEFT(F1014,10))</f>
        <v>44965</v>
      </c>
    </row>
    <row r="1015" spans="1:21">
      <c r="B1015" s="56" t="s">
        <v>3263</v>
      </c>
      <c r="C1015" s="56" t="s">
        <v>5668</v>
      </c>
      <c r="D1015" s="56"/>
      <c r="F1015" s="56" t="s">
        <v>5669</v>
      </c>
      <c r="G1015" s="56">
        <v>72</v>
      </c>
      <c r="H1015" s="56">
        <v>2</v>
      </c>
      <c r="I1015" s="56">
        <v>2.7777777777777776E-2</v>
      </c>
      <c r="K1015" s="56" t="s">
        <v>3280</v>
      </c>
      <c r="L1015" s="56" t="s">
        <v>3269</v>
      </c>
      <c r="O1015">
        <f>_xlfn.XLOOKUP(N1015,'Error-codes'!$C$2:$C$130,'Error-codes'!$B$2:$B$130, "None")</f>
        <v>0</v>
      </c>
      <c r="U1015" s="81">
        <f>DATEVALUE(LEFT(F1015,10))</f>
        <v>44965</v>
      </c>
    </row>
    <row r="1016" spans="1:21">
      <c r="B1016" s="56" t="s">
        <v>3293</v>
      </c>
      <c r="C1016" s="56" t="s">
        <v>5662</v>
      </c>
      <c r="D1016" s="56" t="s">
        <v>388</v>
      </c>
      <c r="F1016" s="56" t="s">
        <v>5670</v>
      </c>
      <c r="G1016" s="56">
        <v>23</v>
      </c>
      <c r="H1016" s="56">
        <v>22</v>
      </c>
      <c r="I1016" s="56">
        <v>0.95652173913043481</v>
      </c>
      <c r="K1016" s="56" t="s">
        <v>3207</v>
      </c>
      <c r="L1016" s="56" t="s">
        <v>3297</v>
      </c>
      <c r="O1016">
        <f>_xlfn.XLOOKUP(N1016,'Error-codes'!$C$2:$C$130,'Error-codes'!$B$2:$B$130, "None")</f>
        <v>0</v>
      </c>
      <c r="U1016" s="81">
        <f>DATEVALUE(LEFT(F1016,10))</f>
        <v>44965</v>
      </c>
    </row>
    <row r="1017" spans="1:21">
      <c r="B1017" s="56" t="s">
        <v>3263</v>
      </c>
      <c r="C1017" s="56" t="s">
        <v>5671</v>
      </c>
      <c r="D1017" s="56" t="s">
        <v>388</v>
      </c>
      <c r="F1017" s="56" t="s">
        <v>5672</v>
      </c>
      <c r="G1017" s="56">
        <v>3</v>
      </c>
      <c r="H1017" s="56">
        <v>3</v>
      </c>
      <c r="I1017" s="56">
        <v>1</v>
      </c>
      <c r="K1017" s="56" t="s">
        <v>3280</v>
      </c>
      <c r="L1017" s="56" t="s">
        <v>3269</v>
      </c>
      <c r="O1017">
        <f>_xlfn.XLOOKUP(N1017,'Error-codes'!$C$2:$C$130,'Error-codes'!$B$2:$B$130, "None")</f>
        <v>0</v>
      </c>
      <c r="U1017" s="81">
        <f>DATEVALUE(LEFT(F1017,10))</f>
        <v>44965</v>
      </c>
    </row>
    <row r="1018" spans="1:21">
      <c r="B1018" s="56" t="s">
        <v>3263</v>
      </c>
      <c r="C1018" s="56" t="s">
        <v>5673</v>
      </c>
      <c r="D1018" s="56" t="s">
        <v>388</v>
      </c>
      <c r="F1018" s="56" t="s">
        <v>5674</v>
      </c>
      <c r="G1018" s="56">
        <v>3</v>
      </c>
      <c r="H1018" s="56">
        <v>3</v>
      </c>
      <c r="I1018" s="56">
        <v>1</v>
      </c>
      <c r="K1018" s="56" t="s">
        <v>3268</v>
      </c>
      <c r="L1018" s="56" t="s">
        <v>3269</v>
      </c>
      <c r="O1018">
        <f>_xlfn.XLOOKUP(N1018,'Error-codes'!$C$2:$C$130,'Error-codes'!$B$2:$B$130, "None")</f>
        <v>0</v>
      </c>
      <c r="U1018" s="81">
        <f>DATEVALUE(LEFT(F1018,10))</f>
        <v>44965</v>
      </c>
    </row>
    <row r="1019" spans="1:21">
      <c r="A1019" s="56" t="s">
        <v>5675</v>
      </c>
      <c r="B1019" s="56" t="s">
        <v>3202</v>
      </c>
      <c r="C1019" s="56" t="s">
        <v>3307</v>
      </c>
      <c r="D1019" s="56"/>
      <c r="E1019" s="56" t="s">
        <v>2939</v>
      </c>
      <c r="F1019" s="56" t="s">
        <v>5676</v>
      </c>
      <c r="G1019" s="56">
        <v>47</v>
      </c>
      <c r="H1019" s="56">
        <v>9</v>
      </c>
      <c r="I1019" s="56">
        <v>0.19148936170212766</v>
      </c>
      <c r="J1019" s="56" t="s">
        <v>3223</v>
      </c>
      <c r="K1019" s="56" t="s">
        <v>3207</v>
      </c>
      <c r="L1019" s="56" t="s">
        <v>3237</v>
      </c>
      <c r="M1019" s="56" t="str">
        <f>HYPERLINK("https://dribble.octin.io/?mode=Single+log&amp;log_id=50168fdd-99c2-48b3-8071-cdbf329d6544","URL")</f>
        <v>URL</v>
      </c>
      <c r="N1019" s="56" t="s">
        <v>3454</v>
      </c>
      <c r="O1019" t="str">
        <f>_xlfn.XLOOKUP(N1019,'Error-codes'!$C$2:$C$130,'Error-codes'!$B$2:$B$130, "None")</f>
        <v>Veh low level FSM: safety was triggered</v>
      </c>
      <c r="P1019" t="s">
        <v>4463</v>
      </c>
      <c r="U1019" s="81">
        <f>DATEVALUE(LEFT(F1019,10))</f>
        <v>44965</v>
      </c>
    </row>
    <row r="1020" spans="1:21">
      <c r="A1020" s="56" t="s">
        <v>5677</v>
      </c>
      <c r="B1020" s="56" t="s">
        <v>3202</v>
      </c>
      <c r="C1020" s="56" t="s">
        <v>3307</v>
      </c>
      <c r="D1020" s="56"/>
      <c r="E1020" s="56" t="s">
        <v>2939</v>
      </c>
      <c r="F1020" s="56" t="s">
        <v>5678</v>
      </c>
      <c r="G1020" s="56">
        <v>47</v>
      </c>
      <c r="H1020" s="56">
        <v>10</v>
      </c>
      <c r="I1020" s="56">
        <v>0.21276595744680851</v>
      </c>
      <c r="J1020" s="56" t="s">
        <v>3223</v>
      </c>
      <c r="K1020" s="56" t="s">
        <v>3207</v>
      </c>
      <c r="L1020" s="56" t="s">
        <v>3237</v>
      </c>
      <c r="M1020" s="56" t="str">
        <f>HYPERLINK("https://dribble.octin.io/?mode=Single+log&amp;log_id=45889550-b5ca-4df8-9191-9bc0cd93fe44","URL")</f>
        <v>URL</v>
      </c>
      <c r="N1020" s="56" t="s">
        <v>3472</v>
      </c>
      <c r="O1020" t="str">
        <f>_xlfn.XLOOKUP(N1020,'Error-codes'!$C$2:$C$130,'Error-codes'!$B$2:$B$130, "None")</f>
        <v>Excessive slip detected</v>
      </c>
      <c r="P1020" t="s">
        <v>5679</v>
      </c>
      <c r="U1020" s="81">
        <f>DATEVALUE(LEFT(F1020,10))</f>
        <v>44965</v>
      </c>
    </row>
    <row r="1021" spans="1:21">
      <c r="A1021" s="56" t="s">
        <v>5680</v>
      </c>
      <c r="B1021" s="56" t="s">
        <v>3202</v>
      </c>
      <c r="C1021" s="56" t="s">
        <v>3307</v>
      </c>
      <c r="D1021" s="56"/>
      <c r="E1021" s="56" t="s">
        <v>2939</v>
      </c>
      <c r="F1021" s="56" t="s">
        <v>5681</v>
      </c>
      <c r="G1021" s="56">
        <v>47</v>
      </c>
      <c r="H1021" s="56">
        <v>11</v>
      </c>
      <c r="I1021" s="56">
        <v>0.23404255319148937</v>
      </c>
      <c r="J1021" s="56" t="s">
        <v>3223</v>
      </c>
      <c r="K1021" s="56" t="s">
        <v>3207</v>
      </c>
      <c r="L1021" s="56" t="s">
        <v>3237</v>
      </c>
      <c r="M1021" s="56" t="str">
        <f>HYPERLINK("https://dribble.octin.io/?mode=Single+log&amp;log_id=a891740a-4e52-400c-85e1-498b79158732","URL")</f>
        <v>URL</v>
      </c>
      <c r="N1021" s="56" t="s">
        <v>3472</v>
      </c>
      <c r="O1021" t="str">
        <f>_xlfn.XLOOKUP(N1021,'Error-codes'!$C$2:$C$130,'Error-codes'!$B$2:$B$130, "None")</f>
        <v>Excessive slip detected</v>
      </c>
      <c r="P1021" t="s">
        <v>5682</v>
      </c>
      <c r="U1021" s="81">
        <f>DATEVALUE(LEFT(F1021,10))</f>
        <v>44965</v>
      </c>
    </row>
    <row r="1022" spans="1:21">
      <c r="A1022" s="56" t="s">
        <v>5683</v>
      </c>
      <c r="B1022" s="56" t="s">
        <v>3263</v>
      </c>
      <c r="C1022" s="56" t="s">
        <v>5684</v>
      </c>
      <c r="D1022" s="56" t="s">
        <v>4149</v>
      </c>
      <c r="E1022" s="56" t="s">
        <v>2939</v>
      </c>
      <c r="F1022" s="56" t="s">
        <v>5685</v>
      </c>
      <c r="G1022" s="56">
        <v>44</v>
      </c>
      <c r="H1022" s="56">
        <v>9</v>
      </c>
      <c r="I1022" s="56">
        <v>0.20454545454545456</v>
      </c>
      <c r="J1022" s="56" t="s">
        <v>5686</v>
      </c>
      <c r="K1022" s="56" t="s">
        <v>3280</v>
      </c>
      <c r="L1022" s="56" t="s">
        <v>3269</v>
      </c>
      <c r="M1022" s="56" t="str">
        <f>HYPERLINK("https://dribble.octin.io/?mode=Single+log&amp;log_id=3c7b8ceb-fe9f-4d50-9110-7cc7d17e48b5","URL")</f>
        <v>URL</v>
      </c>
      <c r="N1022" s="56" t="s">
        <v>5687</v>
      </c>
      <c r="O1022" t="str">
        <f>_xlfn.XLOOKUP(N1022,'Error-codes'!$C$2:$C$130,'Error-codes'!$B$2:$B$130, "None")</f>
        <v>None</v>
      </c>
      <c r="P1022" t="s">
        <v>5688</v>
      </c>
      <c r="U1022" s="81">
        <f>DATEVALUE(LEFT(F1022,10))</f>
        <v>44965</v>
      </c>
    </row>
    <row r="1023" spans="1:21">
      <c r="A1023" s="56" t="s">
        <v>5689</v>
      </c>
      <c r="B1023" s="56" t="s">
        <v>3202</v>
      </c>
      <c r="C1023" s="56" t="s">
        <v>3307</v>
      </c>
      <c r="D1023" s="56"/>
      <c r="E1023" s="56" t="s">
        <v>2939</v>
      </c>
      <c r="F1023" s="56" t="s">
        <v>5690</v>
      </c>
      <c r="G1023" s="56">
        <v>47</v>
      </c>
      <c r="H1023" s="56">
        <v>43</v>
      </c>
      <c r="I1023" s="56">
        <v>0.91489361702127658</v>
      </c>
      <c r="J1023" s="56" t="s">
        <v>5691</v>
      </c>
      <c r="K1023" s="56" t="s">
        <v>3207</v>
      </c>
      <c r="L1023" s="56" t="s">
        <v>3237</v>
      </c>
      <c r="M1023" s="56" t="str">
        <f>HYPERLINK("https://dribble.octin.io/?mode=Single+log&amp;log_id=7dcb66d2-6546-4907-abec-61cdb832efab","URL")</f>
        <v>URL</v>
      </c>
      <c r="N1023" s="56" t="s">
        <v>3472</v>
      </c>
      <c r="O1023" t="str">
        <f>_xlfn.XLOOKUP(N1023,'Error-codes'!$C$2:$C$130,'Error-codes'!$B$2:$B$130, "None")</f>
        <v>Excessive slip detected</v>
      </c>
      <c r="P1023" t="s">
        <v>5692</v>
      </c>
      <c r="U1023" s="81">
        <f>DATEVALUE(LEFT(F1023,10))</f>
        <v>44965</v>
      </c>
    </row>
    <row r="1024" spans="1:21">
      <c r="A1024" s="56"/>
      <c r="B1024" s="56" t="s">
        <v>86</v>
      </c>
      <c r="C1024" s="56" t="s">
        <v>5693</v>
      </c>
      <c r="D1024" s="56" t="s">
        <v>37</v>
      </c>
      <c r="E1024" s="56" t="s">
        <v>3204</v>
      </c>
      <c r="F1024" s="56" t="s">
        <v>5694</v>
      </c>
      <c r="G1024" s="56">
        <v>5</v>
      </c>
      <c r="H1024" s="56">
        <v>0</v>
      </c>
      <c r="I1024" s="56">
        <v>0</v>
      </c>
      <c r="J1024" s="56" t="s">
        <v>3229</v>
      </c>
      <c r="K1024" s="56" t="s">
        <v>3320</v>
      </c>
      <c r="L1024" s="56" t="s">
        <v>3261</v>
      </c>
      <c r="N1024" s="56" t="s">
        <v>3446</v>
      </c>
      <c r="O1024" t="str">
        <f>_xlfn.XLOOKUP(N1024,'Error-codes'!$C$2:$C$130,'Error-codes'!$B$2:$B$130, "None")</f>
        <v>end of lane wall sensor error</v>
      </c>
      <c r="P1024" t="s">
        <v>3326</v>
      </c>
      <c r="U1024" s="81">
        <f>DATEVALUE(LEFT(F1024,10))</f>
        <v>44965</v>
      </c>
    </row>
    <row r="1025" spans="1:21">
      <c r="A1025" s="56" t="s">
        <v>3313</v>
      </c>
      <c r="B1025" s="56" t="s">
        <v>86</v>
      </c>
      <c r="C1025" s="56" t="s">
        <v>3311</v>
      </c>
      <c r="D1025" s="56" t="s">
        <v>22</v>
      </c>
      <c r="E1025" s="56" t="s">
        <v>2939</v>
      </c>
      <c r="F1025" s="56" t="s">
        <v>3314</v>
      </c>
      <c r="G1025" s="56">
        <v>118</v>
      </c>
      <c r="H1025" s="56">
        <v>0</v>
      </c>
      <c r="I1025" s="56">
        <v>0</v>
      </c>
      <c r="J1025" s="56" t="s">
        <v>3315</v>
      </c>
      <c r="K1025" s="56" t="s">
        <v>3260</v>
      </c>
      <c r="L1025" s="56" t="s">
        <v>3261</v>
      </c>
      <c r="M1025" s="56" t="str">
        <f>HYPERLINK("https://dribble.octin.io/?mode=Single+log&amp;log_id=f91b85b9-abdb-472e-bacb-5a5f41e5cacf","URL")</f>
        <v>URL</v>
      </c>
      <c r="N1025" s="56" t="s">
        <v>2933</v>
      </c>
      <c r="O1025" t="str">
        <f>_xlfn.XLOOKUP(N1025,'Error-codes'!$C$2:$C$130,'Error-codes'!$B$2:$B$130, "None")</f>
        <v>inductive sensor error</v>
      </c>
      <c r="P1025" t="s">
        <v>3316</v>
      </c>
      <c r="U1025" s="81">
        <f>DATEVALUE(LEFT(F1025,10))</f>
        <v>44966</v>
      </c>
    </row>
    <row r="1026" spans="1:21">
      <c r="A1026" s="56" t="s">
        <v>3313</v>
      </c>
      <c r="B1026" s="56" t="s">
        <v>86</v>
      </c>
      <c r="C1026" s="56" t="s">
        <v>3311</v>
      </c>
      <c r="D1026" s="56" t="s">
        <v>22</v>
      </c>
      <c r="E1026" s="56" t="s">
        <v>2939</v>
      </c>
      <c r="F1026" s="56" t="s">
        <v>3314</v>
      </c>
      <c r="G1026" s="56">
        <v>118</v>
      </c>
      <c r="H1026" s="56">
        <v>1</v>
      </c>
      <c r="I1026" s="56">
        <v>8.4745762711864406E-3</v>
      </c>
      <c r="J1026" s="56" t="s">
        <v>3219</v>
      </c>
      <c r="K1026" s="56" t="s">
        <v>3260</v>
      </c>
      <c r="L1026" s="56" t="s">
        <v>3261</v>
      </c>
      <c r="M1026" s="56" t="str">
        <f>HYPERLINK("https://dribble.octin.io/?mode=Single+log&amp;log_id=f91b85b9-abdb-472e-bacb-5a5f41e5cacf","URL")</f>
        <v>URL</v>
      </c>
      <c r="N1026" s="56" t="s">
        <v>3460</v>
      </c>
      <c r="O1026" t="str">
        <f>_xlfn.XLOOKUP(N1026,'Error-codes'!$C$2:$C$130,'Error-codes'!$B$2:$B$130, "None")</f>
        <v>motor drive: DRV8353 FAULT</v>
      </c>
      <c r="U1026" s="81">
        <f>DATEVALUE(LEFT(F1026,10))</f>
        <v>44966</v>
      </c>
    </row>
    <row r="1027" spans="1:21">
      <c r="A1027" s="56" t="s">
        <v>3310</v>
      </c>
      <c r="B1027" s="56" t="s">
        <v>86</v>
      </c>
      <c r="C1027" s="56" t="s">
        <v>3311</v>
      </c>
      <c r="D1027" s="56" t="s">
        <v>22</v>
      </c>
      <c r="E1027" s="56" t="s">
        <v>2939</v>
      </c>
      <c r="F1027" s="56" t="s">
        <v>3312</v>
      </c>
      <c r="G1027" s="56">
        <v>118</v>
      </c>
      <c r="H1027" s="56">
        <v>2</v>
      </c>
      <c r="I1027" s="56">
        <v>1.6949152542372881E-2</v>
      </c>
      <c r="J1027" s="56" t="s">
        <v>3219</v>
      </c>
      <c r="K1027" s="56" t="s">
        <v>3260</v>
      </c>
      <c r="L1027" s="56" t="s">
        <v>3261</v>
      </c>
      <c r="M1027" s="56" t="str">
        <f>HYPERLINK("https://dribble.octin.io/?mode=Single+log&amp;log_id=dbab016d-54e1-4f77-93d8-fcfe1eaf53ae","URL")</f>
        <v>URL</v>
      </c>
      <c r="N1027" s="56" t="s">
        <v>2933</v>
      </c>
      <c r="O1027" t="str">
        <f>_xlfn.XLOOKUP(N1027,'Error-codes'!$C$2:$C$130,'Error-codes'!$B$2:$B$130, "None")</f>
        <v>inductive sensor error</v>
      </c>
      <c r="U1027" s="81">
        <f>DATEVALUE(LEFT(F1027,10))</f>
        <v>44966</v>
      </c>
    </row>
    <row r="1028" spans="1:21">
      <c r="A1028" s="56"/>
      <c r="B1028" s="56" t="s">
        <v>86</v>
      </c>
      <c r="C1028" s="56" t="s">
        <v>3311</v>
      </c>
      <c r="D1028" s="56" t="s">
        <v>22</v>
      </c>
      <c r="E1028" s="56" t="s">
        <v>2939</v>
      </c>
      <c r="F1028" s="56" t="s">
        <v>5695</v>
      </c>
      <c r="G1028" s="56">
        <v>118</v>
      </c>
      <c r="H1028" s="56">
        <v>3</v>
      </c>
      <c r="I1028" s="56">
        <v>2.5423728813559324E-2</v>
      </c>
      <c r="J1028" s="56" t="s">
        <v>5696</v>
      </c>
      <c r="K1028" s="56" t="s">
        <v>3260</v>
      </c>
      <c r="L1028" s="56" t="s">
        <v>3261</v>
      </c>
      <c r="N1028" s="56" t="s">
        <v>3468</v>
      </c>
      <c r="O1028" t="str">
        <f>_xlfn.XLOOKUP(N1028,'Error-codes'!$C$2:$C$130,'Error-codes'!$B$2:$B$130, "None")</f>
        <v>no vision heartbeat</v>
      </c>
      <c r="U1028" s="81">
        <f>DATEVALUE(LEFT(F1028,10))</f>
        <v>44966</v>
      </c>
    </row>
    <row r="1029" spans="1:21">
      <c r="A1029" s="56" t="s">
        <v>3317</v>
      </c>
      <c r="B1029" s="56" t="s">
        <v>86</v>
      </c>
      <c r="C1029" s="56" t="s">
        <v>3318</v>
      </c>
      <c r="D1029" s="56" t="s">
        <v>37</v>
      </c>
      <c r="E1029" s="56" t="s">
        <v>3204</v>
      </c>
      <c r="F1029" s="56" t="s">
        <v>3319</v>
      </c>
      <c r="G1029" s="56">
        <v>4</v>
      </c>
      <c r="H1029" s="56">
        <v>0</v>
      </c>
      <c r="I1029" s="56">
        <v>0</v>
      </c>
      <c r="J1029" s="56" t="s">
        <v>3315</v>
      </c>
      <c r="K1029" s="56" t="s">
        <v>3320</v>
      </c>
      <c r="L1029" s="56" t="s">
        <v>3261</v>
      </c>
      <c r="M1029" s="56" t="str">
        <f>HYPERLINK("https://dribble.octin.io/?mode=Single+log&amp;log_id=d97a8cd8-e243-4707-9edd-e52b792e3a72","URL")</f>
        <v>URL</v>
      </c>
      <c r="N1029" s="56" t="s">
        <v>2933</v>
      </c>
      <c r="O1029" t="str">
        <f>_xlfn.XLOOKUP(N1029,'Error-codes'!$C$2:$C$130,'Error-codes'!$B$2:$B$130, "None")</f>
        <v>inductive sensor error</v>
      </c>
      <c r="P1029" t="s">
        <v>3321</v>
      </c>
      <c r="Q1029" t="s">
        <v>5697</v>
      </c>
      <c r="U1029" s="81">
        <f>DATEVALUE(LEFT(F1029,10))</f>
        <v>44966</v>
      </c>
    </row>
    <row r="1030" spans="1:21">
      <c r="A1030" s="56"/>
      <c r="B1030" s="56" t="s">
        <v>86</v>
      </c>
      <c r="C1030" s="56" t="s">
        <v>5698</v>
      </c>
      <c r="D1030" s="56" t="s">
        <v>37</v>
      </c>
      <c r="E1030" s="56" t="s">
        <v>3204</v>
      </c>
      <c r="F1030" s="56" t="s">
        <v>5699</v>
      </c>
      <c r="G1030" s="56">
        <v>10</v>
      </c>
      <c r="H1030" s="56">
        <v>0</v>
      </c>
      <c r="I1030" s="56">
        <v>0</v>
      </c>
      <c r="J1030" s="56" t="s">
        <v>5700</v>
      </c>
      <c r="K1030" s="56" t="s">
        <v>3320</v>
      </c>
      <c r="L1030" s="56" t="s">
        <v>3261</v>
      </c>
      <c r="N1030" s="56" t="s">
        <v>3446</v>
      </c>
      <c r="O1030" t="str">
        <f>_xlfn.XLOOKUP(N1030,'Error-codes'!$C$2:$C$130,'Error-codes'!$B$2:$B$130, "None")</f>
        <v>end of lane wall sensor error</v>
      </c>
      <c r="P1030" t="s">
        <v>3326</v>
      </c>
      <c r="U1030" s="81">
        <f>DATEVALUE(LEFT(F1030,10))</f>
        <v>44966</v>
      </c>
    </row>
    <row r="1031" spans="1:21">
      <c r="B1031" s="56" t="s">
        <v>86</v>
      </c>
      <c r="C1031" s="56" t="s">
        <v>5701</v>
      </c>
      <c r="D1031" s="56" t="s">
        <v>4149</v>
      </c>
      <c r="F1031" s="56" t="s">
        <v>5702</v>
      </c>
      <c r="G1031" s="56">
        <v>1</v>
      </c>
      <c r="H1031" s="56">
        <v>1</v>
      </c>
      <c r="I1031" s="56">
        <v>1</v>
      </c>
      <c r="K1031" s="56" t="s">
        <v>3320</v>
      </c>
      <c r="L1031" s="56" t="s">
        <v>3261</v>
      </c>
      <c r="O1031">
        <f>_xlfn.XLOOKUP(N1031,'Error-codes'!$C$2:$C$130,'Error-codes'!$B$2:$B$130, "None")</f>
        <v>0</v>
      </c>
      <c r="U1031" s="81">
        <f>DATEVALUE(LEFT(F1031,10))</f>
        <v>44966</v>
      </c>
    </row>
    <row r="1032" spans="1:21">
      <c r="B1032" s="56" t="s">
        <v>86</v>
      </c>
      <c r="C1032" s="56" t="s">
        <v>5703</v>
      </c>
      <c r="D1032" s="56" t="s">
        <v>22</v>
      </c>
      <c r="F1032" s="56" t="s">
        <v>5704</v>
      </c>
      <c r="G1032" s="56">
        <v>4</v>
      </c>
      <c r="H1032" s="56">
        <v>0</v>
      </c>
      <c r="I1032" s="56">
        <v>0</v>
      </c>
      <c r="K1032" s="56" t="s">
        <v>3320</v>
      </c>
      <c r="L1032" s="56" t="s">
        <v>3261</v>
      </c>
      <c r="O1032">
        <f>_xlfn.XLOOKUP(N1032,'Error-codes'!$C$2:$C$130,'Error-codes'!$B$2:$B$130, "None")</f>
        <v>0</v>
      </c>
      <c r="U1032" s="81">
        <f>DATEVALUE(LEFT(F1032,10))</f>
        <v>44966</v>
      </c>
    </row>
    <row r="1033" spans="1:21">
      <c r="B1033" s="56" t="s">
        <v>86</v>
      </c>
      <c r="C1033" s="56" t="s">
        <v>5705</v>
      </c>
      <c r="D1033" s="56" t="s">
        <v>4149</v>
      </c>
      <c r="F1033" s="56" t="s">
        <v>5706</v>
      </c>
      <c r="G1033" s="56">
        <v>1</v>
      </c>
      <c r="H1033" s="56">
        <v>1</v>
      </c>
      <c r="I1033" s="56">
        <v>1</v>
      </c>
      <c r="K1033" s="56" t="s">
        <v>3320</v>
      </c>
      <c r="L1033" s="56" t="s">
        <v>3261</v>
      </c>
      <c r="O1033">
        <f>_xlfn.XLOOKUP(N1033,'Error-codes'!$C$2:$C$130,'Error-codes'!$B$2:$B$130, "None")</f>
        <v>0</v>
      </c>
      <c r="U1033" s="81">
        <f>DATEVALUE(LEFT(F1033,10))</f>
        <v>44966</v>
      </c>
    </row>
    <row r="1034" spans="1:21">
      <c r="A1034" s="56" t="s">
        <v>5707</v>
      </c>
      <c r="B1034" s="56" t="s">
        <v>86</v>
      </c>
      <c r="C1034" s="56" t="s">
        <v>5708</v>
      </c>
      <c r="D1034" s="56" t="s">
        <v>37</v>
      </c>
      <c r="E1034" s="56" t="s">
        <v>4248</v>
      </c>
      <c r="F1034" s="56" t="s">
        <v>5709</v>
      </c>
      <c r="G1034" s="56">
        <v>2</v>
      </c>
      <c r="H1034" s="56">
        <v>0</v>
      </c>
      <c r="I1034" s="56">
        <v>0</v>
      </c>
      <c r="J1034" s="56" t="s">
        <v>3251</v>
      </c>
      <c r="K1034" s="56" t="s">
        <v>3260</v>
      </c>
      <c r="L1034" s="56" t="s">
        <v>3261</v>
      </c>
      <c r="M1034" s="56" t="str">
        <f>HYPERLINK("https://dribble.octin.io/?mode=Single+log&amp;log_id=bcbb8ffd-76ed-46f8-bd22-074d38edc5b2","URL")</f>
        <v>URL</v>
      </c>
      <c r="N1034" s="56" t="s">
        <v>3460</v>
      </c>
      <c r="O1034" t="str">
        <f>_xlfn.XLOOKUP(N1034,'Error-codes'!$C$2:$C$130,'Error-codes'!$B$2:$B$130, "None")</f>
        <v>motor drive: DRV8353 FAULT</v>
      </c>
      <c r="P1034" t="s">
        <v>5710</v>
      </c>
      <c r="U1034" s="81">
        <f>DATEVALUE(LEFT(F1034,10))</f>
        <v>44966</v>
      </c>
    </row>
    <row r="1035" spans="1:21">
      <c r="A1035" s="56" t="s">
        <v>5711</v>
      </c>
      <c r="B1035" s="56" t="s">
        <v>295</v>
      </c>
      <c r="C1035" s="56" t="s">
        <v>5712</v>
      </c>
      <c r="D1035" s="56" t="s">
        <v>37</v>
      </c>
      <c r="E1035" s="56" t="s">
        <v>5713</v>
      </c>
      <c r="F1035" s="56" t="s">
        <v>5714</v>
      </c>
      <c r="G1035" s="56">
        <v>2</v>
      </c>
      <c r="H1035" s="56">
        <v>0</v>
      </c>
      <c r="I1035" s="56">
        <v>0</v>
      </c>
      <c r="J1035" s="56" t="s">
        <v>5715</v>
      </c>
      <c r="K1035" s="56" t="s">
        <v>5612</v>
      </c>
      <c r="L1035" s="56" t="s">
        <v>3325</v>
      </c>
      <c r="M1035" s="56" t="str">
        <f>HYPERLINK("https://dribble.octin.io/?mode=Single+log&amp;log_id=5fdce621-7929-498e-8e81-1e355f958c8b","URL")</f>
        <v>URL</v>
      </c>
      <c r="N1035" s="56" t="s">
        <v>3454</v>
      </c>
      <c r="O1035" t="str">
        <f>_xlfn.XLOOKUP(N1035,'Error-codes'!$C$2:$C$130,'Error-codes'!$B$2:$B$130, "None")</f>
        <v>Veh low level FSM: safety was triggered</v>
      </c>
      <c r="P1035" t="s">
        <v>3326</v>
      </c>
      <c r="U1035" s="81">
        <f>DATEVALUE(LEFT(F1035,10))</f>
        <v>44966</v>
      </c>
    </row>
    <row r="1036" spans="1:21">
      <c r="B1036" s="56" t="s">
        <v>295</v>
      </c>
      <c r="C1036" s="56" t="s">
        <v>5716</v>
      </c>
      <c r="D1036" s="56" t="s">
        <v>388</v>
      </c>
      <c r="F1036" s="56" t="s">
        <v>5717</v>
      </c>
      <c r="G1036" s="56">
        <v>7</v>
      </c>
      <c r="H1036" s="56">
        <v>7</v>
      </c>
      <c r="I1036" s="56">
        <v>1</v>
      </c>
      <c r="K1036" s="56" t="s">
        <v>5612</v>
      </c>
      <c r="L1036" s="56" t="s">
        <v>3325</v>
      </c>
      <c r="O1036">
        <f>_xlfn.XLOOKUP(N1036,'Error-codes'!$C$2:$C$130,'Error-codes'!$B$2:$B$130, "None")</f>
        <v>0</v>
      </c>
      <c r="U1036" s="81">
        <f>DATEVALUE(LEFT(F1036,10))</f>
        <v>44966</v>
      </c>
    </row>
    <row r="1037" spans="1:21">
      <c r="B1037" s="56" t="s">
        <v>3263</v>
      </c>
      <c r="C1037" s="56" t="s">
        <v>5718</v>
      </c>
      <c r="D1037" s="56" t="s">
        <v>388</v>
      </c>
      <c r="F1037" s="56" t="s">
        <v>5719</v>
      </c>
      <c r="G1037" s="56">
        <v>82</v>
      </c>
      <c r="H1037" s="56">
        <v>82</v>
      </c>
      <c r="I1037" s="56">
        <v>1</v>
      </c>
      <c r="K1037" s="56" t="s">
        <v>3280</v>
      </c>
      <c r="L1037" s="56" t="s">
        <v>3269</v>
      </c>
      <c r="O1037">
        <f>_xlfn.XLOOKUP(N1037,'Error-codes'!$C$2:$C$130,'Error-codes'!$B$2:$B$130, "None")</f>
        <v>0</v>
      </c>
      <c r="U1037" s="81">
        <f>DATEVALUE(LEFT(F1037,10))</f>
        <v>44966</v>
      </c>
    </row>
    <row r="1038" spans="1:21">
      <c r="A1038" s="56" t="s">
        <v>5720</v>
      </c>
      <c r="B1038" s="56" t="s">
        <v>295</v>
      </c>
      <c r="C1038" s="56" t="s">
        <v>5721</v>
      </c>
      <c r="D1038" s="56" t="s">
        <v>388</v>
      </c>
      <c r="E1038" s="56" t="s">
        <v>2939</v>
      </c>
      <c r="F1038" s="56" t="s">
        <v>5722</v>
      </c>
      <c r="G1038" s="56">
        <v>10</v>
      </c>
      <c r="H1038" s="56">
        <v>5</v>
      </c>
      <c r="I1038" s="56">
        <v>0.5</v>
      </c>
      <c r="J1038" s="56" t="s">
        <v>5723</v>
      </c>
      <c r="K1038" s="56" t="s">
        <v>5612</v>
      </c>
      <c r="L1038" s="56" t="s">
        <v>3325</v>
      </c>
      <c r="M1038" s="56" t="str">
        <f>HYPERLINK("https://dribble.octin.io/?mode=Single+log&amp;log_id=9ea6dfe3-7e5c-4d13-9c0c-82df13d0f87f","URL")</f>
        <v>URL</v>
      </c>
      <c r="N1038" s="56" t="s">
        <v>3444</v>
      </c>
      <c r="O1038" t="str">
        <f>_xlfn.XLOOKUP(N1038,'Error-codes'!$C$2:$C$130,'Error-codes'!$B$2:$B$130, "None")</f>
        <v>collision detected in operational state for the 4th time in a row</v>
      </c>
      <c r="P1038" t="s">
        <v>3326</v>
      </c>
      <c r="U1038" s="81">
        <f>DATEVALUE(LEFT(F1038,10))</f>
        <v>44966</v>
      </c>
    </row>
    <row r="1039" spans="1:21">
      <c r="B1039" s="56" t="s">
        <v>295</v>
      </c>
      <c r="C1039" s="56" t="s">
        <v>5721</v>
      </c>
      <c r="D1039" s="56" t="s">
        <v>388</v>
      </c>
      <c r="F1039" s="56" t="s">
        <v>5724</v>
      </c>
      <c r="G1039" s="56">
        <v>10</v>
      </c>
      <c r="H1039" s="56">
        <v>9</v>
      </c>
      <c r="I1039" s="56">
        <v>0.9</v>
      </c>
      <c r="K1039" s="56" t="s">
        <v>5612</v>
      </c>
      <c r="L1039" s="56" t="s">
        <v>3325</v>
      </c>
      <c r="O1039">
        <f>_xlfn.XLOOKUP(N1039,'Error-codes'!$C$2:$C$130,'Error-codes'!$B$2:$B$130, "None")</f>
        <v>0</v>
      </c>
      <c r="U1039" s="81">
        <f>DATEVALUE(LEFT(F1039,10))</f>
        <v>44966</v>
      </c>
    </row>
    <row r="1040" spans="1:21">
      <c r="B1040" s="56" t="s">
        <v>29</v>
      </c>
      <c r="C1040" s="56" t="s">
        <v>5725</v>
      </c>
      <c r="D1040" s="56" t="s">
        <v>388</v>
      </c>
      <c r="F1040" s="56" t="s">
        <v>5726</v>
      </c>
      <c r="G1040" s="56">
        <v>15</v>
      </c>
      <c r="H1040" s="56">
        <v>15</v>
      </c>
      <c r="I1040" s="56">
        <v>1</v>
      </c>
      <c r="K1040" s="56" t="s">
        <v>5593</v>
      </c>
      <c r="L1040" s="56" t="s">
        <v>3325</v>
      </c>
      <c r="O1040">
        <f>_xlfn.XLOOKUP(N1040,'Error-codes'!$C$2:$C$130,'Error-codes'!$B$2:$B$130, "None")</f>
        <v>0</v>
      </c>
      <c r="U1040" s="81">
        <f>DATEVALUE(LEFT(F1040,10))</f>
        <v>44966</v>
      </c>
    </row>
    <row r="1041" spans="1:21">
      <c r="A1041" s="56" t="s">
        <v>5727</v>
      </c>
      <c r="B1041" s="56" t="s">
        <v>295</v>
      </c>
      <c r="C1041" s="56" t="s">
        <v>5728</v>
      </c>
      <c r="D1041" s="56" t="s">
        <v>388</v>
      </c>
      <c r="E1041" s="56" t="s">
        <v>2939</v>
      </c>
      <c r="F1041" s="56" t="s">
        <v>5729</v>
      </c>
      <c r="G1041" s="56">
        <v>5</v>
      </c>
      <c r="H1041" s="56">
        <v>0</v>
      </c>
      <c r="I1041" s="56">
        <v>0</v>
      </c>
      <c r="J1041" s="56" t="s">
        <v>3290</v>
      </c>
      <c r="K1041" s="56" t="s">
        <v>5612</v>
      </c>
      <c r="L1041" s="56" t="s">
        <v>3325</v>
      </c>
      <c r="M1041" s="56" t="str">
        <f>HYPERLINK("https://dribble.octin.io/?mode=Single+log&amp;log_id=3a1d5a30-13f7-4f45-a851-2fb234693097","URL")</f>
        <v>URL</v>
      </c>
      <c r="N1041" s="56" t="s">
        <v>3468</v>
      </c>
      <c r="O1041" t="str">
        <f>_xlfn.XLOOKUP(N1041,'Error-codes'!$C$2:$C$130,'Error-codes'!$B$2:$B$130, "None")</f>
        <v>no vision heartbeat</v>
      </c>
      <c r="P1041" t="s">
        <v>3326</v>
      </c>
      <c r="U1041" s="81">
        <f>DATEVALUE(LEFT(F1041,10))</f>
        <v>44966</v>
      </c>
    </row>
    <row r="1042" spans="1:21">
      <c r="B1042" s="56" t="s">
        <v>295</v>
      </c>
      <c r="C1042" s="56" t="s">
        <v>5728</v>
      </c>
      <c r="D1042" s="56" t="s">
        <v>388</v>
      </c>
      <c r="F1042" s="56" t="s">
        <v>5730</v>
      </c>
      <c r="G1042" s="56">
        <v>5</v>
      </c>
      <c r="H1042" s="56">
        <v>4</v>
      </c>
      <c r="I1042" s="56">
        <v>0.8</v>
      </c>
      <c r="K1042" s="56" t="s">
        <v>5612</v>
      </c>
      <c r="L1042" s="56" t="s">
        <v>3325</v>
      </c>
      <c r="O1042">
        <f>_xlfn.XLOOKUP(N1042,'Error-codes'!$C$2:$C$130,'Error-codes'!$B$2:$B$130, "None")</f>
        <v>0</v>
      </c>
      <c r="U1042" s="81">
        <f>DATEVALUE(LEFT(F1042,10))</f>
        <v>44966</v>
      </c>
    </row>
    <row r="1043" spans="1:21">
      <c r="A1043" s="56" t="s">
        <v>5731</v>
      </c>
      <c r="B1043" s="56" t="s">
        <v>29</v>
      </c>
      <c r="C1043" s="56" t="s">
        <v>5732</v>
      </c>
      <c r="D1043" s="56" t="s">
        <v>37</v>
      </c>
      <c r="E1043" s="56" t="s">
        <v>4222</v>
      </c>
      <c r="F1043" s="56" t="s">
        <v>5733</v>
      </c>
      <c r="G1043" s="56">
        <v>187</v>
      </c>
      <c r="H1043" s="56">
        <v>14</v>
      </c>
      <c r="I1043" s="56">
        <v>7.4866310160427801E-2</v>
      </c>
      <c r="J1043" s="56" t="s">
        <v>5734</v>
      </c>
      <c r="K1043" s="56" t="s">
        <v>5593</v>
      </c>
      <c r="L1043" s="56" t="s">
        <v>3325</v>
      </c>
      <c r="M1043" s="56" t="str">
        <f>HYPERLINK("https://dribble.octin.io/?mode=Single+log&amp;log_id=608017bd-b582-428c-87f2-86ebeff4d874","URL")</f>
        <v>URL</v>
      </c>
      <c r="N1043" s="56" t="s">
        <v>3458</v>
      </c>
      <c r="O1043" t="str">
        <f>_xlfn.XLOOKUP(N1043,'Error-codes'!$C$2:$C$130,'Error-codes'!$B$2:$B$130, "None")</f>
        <v>motor drive: UNDER VOLTAGE</v>
      </c>
      <c r="P1043" t="s">
        <v>3326</v>
      </c>
      <c r="U1043" s="81">
        <f>DATEVALUE(LEFT(F1043,10))</f>
        <v>44966</v>
      </c>
    </row>
    <row r="1044" spans="1:21">
      <c r="B1044" s="56" t="s">
        <v>29</v>
      </c>
      <c r="C1044" s="56" t="s">
        <v>5735</v>
      </c>
      <c r="D1044" s="56"/>
      <c r="F1044" s="56" t="s">
        <v>5736</v>
      </c>
      <c r="G1044" s="56">
        <v>5</v>
      </c>
      <c r="H1044" s="56">
        <v>2</v>
      </c>
      <c r="I1044" s="56">
        <v>0.4</v>
      </c>
      <c r="K1044" s="56" t="s">
        <v>5612</v>
      </c>
      <c r="L1044" s="56" t="s">
        <v>3358</v>
      </c>
      <c r="O1044">
        <f>_xlfn.XLOOKUP(N1044,'Error-codes'!$C$2:$C$130,'Error-codes'!$B$2:$B$130, "None")</f>
        <v>0</v>
      </c>
      <c r="U1044" s="81">
        <f>DATEVALUE(LEFT(F1044,10))</f>
        <v>44966</v>
      </c>
    </row>
    <row r="1045" spans="1:21">
      <c r="B1045" s="56" t="s">
        <v>29</v>
      </c>
      <c r="C1045" s="56" t="s">
        <v>5737</v>
      </c>
      <c r="D1045" s="56" t="s">
        <v>388</v>
      </c>
      <c r="F1045" s="56" t="s">
        <v>5738</v>
      </c>
      <c r="G1045" s="56">
        <v>11</v>
      </c>
      <c r="H1045" s="56">
        <v>11</v>
      </c>
      <c r="I1045" s="56">
        <v>1</v>
      </c>
      <c r="K1045" s="56" t="s">
        <v>5612</v>
      </c>
      <c r="L1045" s="56" t="s">
        <v>3358</v>
      </c>
      <c r="O1045">
        <f>_xlfn.XLOOKUP(N1045,'Error-codes'!$C$2:$C$130,'Error-codes'!$B$2:$B$130, "None")</f>
        <v>0</v>
      </c>
      <c r="U1045" s="81">
        <f>DATEVALUE(LEFT(F1045,10))</f>
        <v>44966</v>
      </c>
    </row>
    <row r="1046" spans="1:21">
      <c r="A1046" s="56" t="s">
        <v>5739</v>
      </c>
      <c r="B1046" s="56" t="s">
        <v>295</v>
      </c>
      <c r="C1046" s="56" t="s">
        <v>5740</v>
      </c>
      <c r="D1046" s="56" t="s">
        <v>388</v>
      </c>
      <c r="E1046" s="56" t="s">
        <v>2939</v>
      </c>
      <c r="F1046" s="56" t="s">
        <v>5741</v>
      </c>
      <c r="G1046" s="56">
        <v>4</v>
      </c>
      <c r="H1046" s="56">
        <v>0</v>
      </c>
      <c r="I1046" s="56">
        <v>0</v>
      </c>
      <c r="J1046" s="56" t="s">
        <v>3315</v>
      </c>
      <c r="K1046" s="56" t="s">
        <v>5612</v>
      </c>
      <c r="L1046" s="56" t="s">
        <v>3325</v>
      </c>
      <c r="M1046" s="56" t="str">
        <f>HYPERLINK("https://dribble.octin.io/?mode=Single+log&amp;log_id=71620029-360b-4088-94be-abcd08edb0c8","URL")</f>
        <v>URL</v>
      </c>
      <c r="N1046" s="56" t="s">
        <v>3448</v>
      </c>
      <c r="O1046" t="str">
        <f>_xlfn.XLOOKUP(N1046,'Error-codes'!$C$2:$C$130,'Error-codes'!$B$2:$B$130, "None")</f>
        <v>end of lane open sensor error</v>
      </c>
      <c r="P1046" t="s">
        <v>3326</v>
      </c>
      <c r="U1046" s="81">
        <f>DATEVALUE(LEFT(F1046,10))</f>
        <v>44966</v>
      </c>
    </row>
    <row r="1047" spans="1:21">
      <c r="A1047" s="56" t="s">
        <v>5742</v>
      </c>
      <c r="B1047" s="56" t="s">
        <v>295</v>
      </c>
      <c r="C1047" s="56" t="s">
        <v>5740</v>
      </c>
      <c r="D1047" s="56" t="s">
        <v>388</v>
      </c>
      <c r="E1047" s="56" t="s">
        <v>2939</v>
      </c>
      <c r="F1047" s="56" t="s">
        <v>5743</v>
      </c>
      <c r="G1047" s="56">
        <v>4</v>
      </c>
      <c r="H1047" s="56">
        <v>1</v>
      </c>
      <c r="I1047" s="56">
        <v>0.25</v>
      </c>
      <c r="J1047" s="56" t="s">
        <v>5744</v>
      </c>
      <c r="K1047" s="56" t="s">
        <v>5612</v>
      </c>
      <c r="L1047" s="56" t="s">
        <v>3325</v>
      </c>
      <c r="M1047" s="56" t="str">
        <f>HYPERLINK("https://dribble.octin.io/?mode=Single+log&amp;log_id=0bbba836-bf48-40d2-a071-e1d413562b64","URL")</f>
        <v>URL</v>
      </c>
      <c r="N1047" s="56" t="s">
        <v>3448</v>
      </c>
      <c r="O1047" t="str">
        <f>_xlfn.XLOOKUP(N1047,'Error-codes'!$C$2:$C$130,'Error-codes'!$B$2:$B$130, "None")</f>
        <v>end of lane open sensor error</v>
      </c>
      <c r="P1047" t="s">
        <v>3326</v>
      </c>
      <c r="U1047" s="81">
        <f>DATEVALUE(LEFT(F1047,10))</f>
        <v>44966</v>
      </c>
    </row>
    <row r="1048" spans="1:21">
      <c r="B1048" s="56" t="s">
        <v>295</v>
      </c>
      <c r="C1048" s="56" t="s">
        <v>5740</v>
      </c>
      <c r="D1048" s="56" t="s">
        <v>388</v>
      </c>
      <c r="F1048" s="56" t="s">
        <v>5745</v>
      </c>
      <c r="G1048" s="56">
        <v>4</v>
      </c>
      <c r="H1048" s="56">
        <v>2</v>
      </c>
      <c r="I1048" s="56">
        <v>0.5</v>
      </c>
      <c r="K1048" s="56" t="s">
        <v>5612</v>
      </c>
      <c r="L1048" s="56" t="s">
        <v>3325</v>
      </c>
      <c r="O1048">
        <f>_xlfn.XLOOKUP(N1048,'Error-codes'!$C$2:$C$130,'Error-codes'!$B$2:$B$130, "None")</f>
        <v>0</v>
      </c>
      <c r="U1048" s="81">
        <f>DATEVALUE(LEFT(F1048,10))</f>
        <v>44966</v>
      </c>
    </row>
    <row r="1049" spans="1:21">
      <c r="A1049" s="56" t="s">
        <v>5746</v>
      </c>
      <c r="B1049" s="56" t="s">
        <v>295</v>
      </c>
      <c r="C1049" s="56" t="s">
        <v>5747</v>
      </c>
      <c r="D1049" s="56" t="s">
        <v>22</v>
      </c>
      <c r="E1049" s="56" t="s">
        <v>2939</v>
      </c>
      <c r="F1049" s="56" t="s">
        <v>5748</v>
      </c>
      <c r="G1049" s="56">
        <v>5</v>
      </c>
      <c r="H1049" s="56">
        <v>0</v>
      </c>
      <c r="I1049" s="56">
        <v>0</v>
      </c>
      <c r="J1049" s="56" t="s">
        <v>5715</v>
      </c>
      <c r="K1049" s="56" t="s">
        <v>5612</v>
      </c>
      <c r="L1049" s="56" t="s">
        <v>3325</v>
      </c>
      <c r="M1049" s="56" t="str">
        <f>HYPERLINK("https://dribble.octin.io/?mode=Single+log&amp;log_id=b6bc519c-80cb-4abc-b132-56472e72595d","URL")</f>
        <v>URL</v>
      </c>
      <c r="N1049" s="56" t="s">
        <v>3448</v>
      </c>
      <c r="O1049" t="str">
        <f>_xlfn.XLOOKUP(N1049,'Error-codes'!$C$2:$C$130,'Error-codes'!$B$2:$B$130, "None")</f>
        <v>end of lane open sensor error</v>
      </c>
      <c r="P1049" t="s">
        <v>5749</v>
      </c>
      <c r="U1049" s="81">
        <f>DATEVALUE(LEFT(F1049,10))</f>
        <v>44966</v>
      </c>
    </row>
    <row r="1050" spans="1:21">
      <c r="A1050" s="56" t="s">
        <v>5750</v>
      </c>
      <c r="B1050" s="56" t="s">
        <v>295</v>
      </c>
      <c r="C1050" s="56" t="s">
        <v>5751</v>
      </c>
      <c r="D1050" s="56" t="s">
        <v>37</v>
      </c>
      <c r="E1050" s="56"/>
      <c r="F1050" s="56" t="s">
        <v>5752</v>
      </c>
      <c r="G1050" s="56">
        <v>3</v>
      </c>
      <c r="H1050" s="56">
        <v>0</v>
      </c>
      <c r="I1050" s="56">
        <v>0</v>
      </c>
      <c r="J1050" s="56" t="s">
        <v>3315</v>
      </c>
      <c r="K1050" s="56" t="s">
        <v>5612</v>
      </c>
      <c r="L1050" s="56" t="s">
        <v>3325</v>
      </c>
      <c r="M1050" s="56" t="str">
        <f>HYPERLINK("https://dribble.octin.io/?mode=Single+log&amp;log_id=6bd703ce-4b49-4ff8-97ae-6a38a91e23ea","URL")</f>
        <v>URL</v>
      </c>
      <c r="N1050" s="56" t="s">
        <v>3448</v>
      </c>
      <c r="O1050" t="str">
        <f>_xlfn.XLOOKUP(N1050,'Error-codes'!$C$2:$C$130,'Error-codes'!$B$2:$B$130, "None")</f>
        <v>end of lane open sensor error</v>
      </c>
      <c r="P1050" t="s">
        <v>3326</v>
      </c>
      <c r="U1050" s="81">
        <f>DATEVALUE(LEFT(F1050,10))</f>
        <v>44966</v>
      </c>
    </row>
    <row r="1051" spans="1:21">
      <c r="B1051" s="56" t="s">
        <v>295</v>
      </c>
      <c r="C1051" s="56" t="s">
        <v>5753</v>
      </c>
      <c r="D1051" s="56" t="s">
        <v>388</v>
      </c>
      <c r="F1051" s="56" t="s">
        <v>5754</v>
      </c>
      <c r="G1051" s="56">
        <v>18</v>
      </c>
      <c r="H1051" s="56">
        <v>18</v>
      </c>
      <c r="I1051" s="56">
        <v>1</v>
      </c>
      <c r="K1051" s="56" t="s">
        <v>5593</v>
      </c>
      <c r="L1051" s="56" t="s">
        <v>3325</v>
      </c>
      <c r="O1051">
        <f>_xlfn.XLOOKUP(N1051,'Error-codes'!$C$2:$C$130,'Error-codes'!$B$2:$B$130, "None")</f>
        <v>0</v>
      </c>
      <c r="U1051" s="81">
        <f>DATEVALUE(LEFT(F1051,10))</f>
        <v>44966</v>
      </c>
    </row>
    <row r="1052" spans="1:21">
      <c r="A1052" s="56" t="s">
        <v>5755</v>
      </c>
      <c r="B1052" s="56" t="s">
        <v>295</v>
      </c>
      <c r="C1052" s="56" t="s">
        <v>5756</v>
      </c>
      <c r="D1052" s="56" t="s">
        <v>37</v>
      </c>
      <c r="E1052" s="56" t="s">
        <v>2939</v>
      </c>
      <c r="F1052" s="56" t="s">
        <v>5757</v>
      </c>
      <c r="G1052" s="56">
        <v>121</v>
      </c>
      <c r="H1052" s="56">
        <v>0</v>
      </c>
      <c r="I1052" s="56">
        <v>0</v>
      </c>
      <c r="J1052" s="56" t="s">
        <v>3315</v>
      </c>
      <c r="K1052" s="56" t="s">
        <v>5593</v>
      </c>
      <c r="L1052" s="56" t="s">
        <v>3325</v>
      </c>
      <c r="M1052" s="56" t="str">
        <f>HYPERLINK("https://dribble.octin.io/?mode=Single+log&amp;log_id=da407c73-4246-491d-b577-70f37ffb42b8","URL")</f>
        <v>URL</v>
      </c>
      <c r="N1052" s="56" t="s">
        <v>3446</v>
      </c>
      <c r="O1052" t="str">
        <f>_xlfn.XLOOKUP(N1052,'Error-codes'!$C$2:$C$130,'Error-codes'!$B$2:$B$130, "None")</f>
        <v>end of lane wall sensor error</v>
      </c>
      <c r="P1052" t="s">
        <v>3326</v>
      </c>
      <c r="U1052" s="81">
        <f>DATEVALUE(LEFT(F1052,10))</f>
        <v>44966</v>
      </c>
    </row>
    <row r="1053" spans="1:21">
      <c r="A1053" s="56" t="s">
        <v>5758</v>
      </c>
      <c r="B1053" s="56" t="s">
        <v>295</v>
      </c>
      <c r="C1053" s="56" t="s">
        <v>5756</v>
      </c>
      <c r="D1053" s="56" t="s">
        <v>37</v>
      </c>
      <c r="E1053" s="56" t="s">
        <v>3242</v>
      </c>
      <c r="F1053" s="56" t="s">
        <v>5759</v>
      </c>
      <c r="G1053" s="56">
        <v>121</v>
      </c>
      <c r="H1053" s="56">
        <v>1</v>
      </c>
      <c r="I1053" s="56">
        <v>8.2644628099173556E-3</v>
      </c>
      <c r="J1053" s="56" t="s">
        <v>5760</v>
      </c>
      <c r="K1053" s="56" t="s">
        <v>5593</v>
      </c>
      <c r="L1053" s="56" t="s">
        <v>3325</v>
      </c>
      <c r="M1053" s="56" t="str">
        <f>HYPERLINK("https://dribble.octin.io/?mode=Single+log&amp;log_id=38caba3a-0bcf-4011-9086-0dcf7fee25e1","URL")</f>
        <v>URL</v>
      </c>
      <c r="N1053" s="56" t="s">
        <v>3466</v>
      </c>
      <c r="O1053" t="str">
        <f>_xlfn.XLOOKUP(N1053,'Error-codes'!$C$2:$C$130,'Error-codes'!$B$2:$B$130, "None")</f>
        <v>vision error</v>
      </c>
      <c r="P1053" t="s">
        <v>3326</v>
      </c>
      <c r="U1053" s="81">
        <f>DATEVALUE(LEFT(F1053,10))</f>
        <v>44966</v>
      </c>
    </row>
    <row r="1054" spans="1:21">
      <c r="A1054" s="56" t="s">
        <v>5761</v>
      </c>
      <c r="B1054" s="56" t="s">
        <v>29</v>
      </c>
      <c r="C1054" s="56" t="s">
        <v>5762</v>
      </c>
      <c r="D1054" s="56" t="s">
        <v>37</v>
      </c>
      <c r="E1054" s="56" t="s">
        <v>2939</v>
      </c>
      <c r="F1054" s="56" t="s">
        <v>5763</v>
      </c>
      <c r="G1054" s="56">
        <v>112</v>
      </c>
      <c r="H1054" s="56">
        <v>13</v>
      </c>
      <c r="I1054" s="56">
        <v>0.11607142857142858</v>
      </c>
      <c r="J1054" s="56" t="s">
        <v>5764</v>
      </c>
      <c r="K1054" s="56" t="s">
        <v>5593</v>
      </c>
      <c r="L1054" s="56" t="s">
        <v>3358</v>
      </c>
      <c r="M1054" s="56" t="str">
        <f>HYPERLINK("https://dribble.octin.io/?mode=Single+log&amp;log_id=9c6bf8c4-bda7-4573-ab17-181564ac869a","URL")</f>
        <v>URL</v>
      </c>
      <c r="N1054" s="56" t="s">
        <v>3446</v>
      </c>
      <c r="O1054" t="str">
        <f>_xlfn.XLOOKUP(N1054,'Error-codes'!$C$2:$C$130,'Error-codes'!$B$2:$B$130, "None")</f>
        <v>end of lane wall sensor error</v>
      </c>
      <c r="P1054" t="s">
        <v>3326</v>
      </c>
      <c r="U1054" s="81">
        <f>DATEVALUE(LEFT(F1054,10))</f>
        <v>44966</v>
      </c>
    </row>
    <row r="1055" spans="1:21">
      <c r="A1055" s="56"/>
      <c r="B1055" s="56" t="s">
        <v>295</v>
      </c>
      <c r="C1055" s="56" t="s">
        <v>3322</v>
      </c>
      <c r="D1055" s="56" t="s">
        <v>388</v>
      </c>
      <c r="E1055" s="56" t="s">
        <v>2939</v>
      </c>
      <c r="F1055" s="56" t="s">
        <v>3327</v>
      </c>
      <c r="G1055" s="56">
        <v>120</v>
      </c>
      <c r="H1055" s="56">
        <v>16</v>
      </c>
      <c r="I1055" s="56">
        <v>0.13333333333333333</v>
      </c>
      <c r="J1055" s="56" t="s">
        <v>3328</v>
      </c>
      <c r="K1055" s="56" t="s">
        <v>5593</v>
      </c>
      <c r="L1055" s="56" t="s">
        <v>3325</v>
      </c>
      <c r="N1055" s="56" t="s">
        <v>2933</v>
      </c>
      <c r="O1055" t="str">
        <f>_xlfn.XLOOKUP(N1055,'Error-codes'!$C$2:$C$130,'Error-codes'!$B$2:$B$130, "None")</f>
        <v>inductive sensor error</v>
      </c>
      <c r="P1055" t="s">
        <v>3326</v>
      </c>
      <c r="U1055" s="81">
        <f>DATEVALUE(LEFT(F1055,10))</f>
        <v>44966</v>
      </c>
    </row>
    <row r="1056" spans="1:21">
      <c r="B1056" s="56" t="s">
        <v>3202</v>
      </c>
      <c r="C1056" s="56" t="s">
        <v>5765</v>
      </c>
      <c r="D1056" s="56" t="s">
        <v>388</v>
      </c>
      <c r="F1056" s="56" t="s">
        <v>5766</v>
      </c>
      <c r="G1056" s="56">
        <v>37</v>
      </c>
      <c r="H1056" s="56">
        <v>37</v>
      </c>
      <c r="I1056" s="56">
        <v>1</v>
      </c>
      <c r="K1056" s="56" t="s">
        <v>3207</v>
      </c>
      <c r="L1056" s="56" t="s">
        <v>5214</v>
      </c>
      <c r="O1056">
        <f>_xlfn.XLOOKUP(N1056,'Error-codes'!$C$2:$C$130,'Error-codes'!$B$2:$B$130, "None")</f>
        <v>0</v>
      </c>
      <c r="U1056" s="81">
        <f>DATEVALUE(LEFT(F1056,10))</f>
        <v>44966</v>
      </c>
    </row>
    <row r="1057" spans="1:21">
      <c r="B1057" s="56" t="s">
        <v>3293</v>
      </c>
      <c r="C1057" s="56" t="s">
        <v>5767</v>
      </c>
      <c r="D1057" s="56" t="s">
        <v>388</v>
      </c>
      <c r="F1057" s="56" t="s">
        <v>5768</v>
      </c>
      <c r="G1057" s="56">
        <v>23</v>
      </c>
      <c r="H1057" s="56">
        <v>23</v>
      </c>
      <c r="I1057" s="56">
        <v>1</v>
      </c>
      <c r="K1057" s="56" t="s">
        <v>3207</v>
      </c>
      <c r="L1057" s="56" t="s">
        <v>3297</v>
      </c>
      <c r="O1057">
        <f>_xlfn.XLOOKUP(N1057,'Error-codes'!$C$2:$C$130,'Error-codes'!$B$2:$B$130, "None")</f>
        <v>0</v>
      </c>
      <c r="U1057" s="81">
        <f>DATEVALUE(LEFT(F1057,10))</f>
        <v>44966</v>
      </c>
    </row>
    <row r="1058" spans="1:21">
      <c r="A1058" s="56"/>
      <c r="B1058" s="56" t="s">
        <v>295</v>
      </c>
      <c r="C1058" s="56" t="s">
        <v>3322</v>
      </c>
      <c r="D1058" s="56" t="s">
        <v>388</v>
      </c>
      <c r="E1058" s="56" t="s">
        <v>2939</v>
      </c>
      <c r="F1058" s="56" t="s">
        <v>3323</v>
      </c>
      <c r="G1058" s="56">
        <v>120</v>
      </c>
      <c r="H1058" s="56">
        <v>47</v>
      </c>
      <c r="I1058" s="56">
        <v>0.39166666666666666</v>
      </c>
      <c r="J1058" s="56" t="s">
        <v>3324</v>
      </c>
      <c r="K1058" s="56" t="s">
        <v>5593</v>
      </c>
      <c r="L1058" s="56" t="s">
        <v>3325</v>
      </c>
      <c r="N1058" s="56" t="s">
        <v>2933</v>
      </c>
      <c r="O1058" t="str">
        <f>_xlfn.XLOOKUP(N1058,'Error-codes'!$C$2:$C$130,'Error-codes'!$B$2:$B$130, "None")</f>
        <v>inductive sensor error</v>
      </c>
      <c r="P1058" t="s">
        <v>3326</v>
      </c>
      <c r="U1058" s="81">
        <f>DATEVALUE(LEFT(F1058,10))</f>
        <v>44966</v>
      </c>
    </row>
    <row r="1059" spans="1:21">
      <c r="A1059" s="56" t="s">
        <v>5769</v>
      </c>
      <c r="B1059" s="56" t="s">
        <v>29</v>
      </c>
      <c r="C1059" s="56" t="s">
        <v>5762</v>
      </c>
      <c r="D1059" s="56" t="s">
        <v>37</v>
      </c>
      <c r="E1059" s="56" t="s">
        <v>2939</v>
      </c>
      <c r="F1059" s="56" t="s">
        <v>5770</v>
      </c>
      <c r="G1059" s="56">
        <v>112</v>
      </c>
      <c r="H1059" s="56">
        <v>55</v>
      </c>
      <c r="I1059" s="56">
        <v>0.49107142857142855</v>
      </c>
      <c r="J1059" s="56" t="s">
        <v>5771</v>
      </c>
      <c r="K1059" s="56" t="s">
        <v>5593</v>
      </c>
      <c r="L1059" s="56" t="s">
        <v>3358</v>
      </c>
      <c r="M1059" s="56" t="str">
        <f>HYPERLINK("https://dribble.octin.io/?mode=Single+log&amp;log_id=4d570cc3-172a-4042-9be8-c5473c1df497","URL")</f>
        <v>URL</v>
      </c>
      <c r="N1059" s="56" t="s">
        <v>3472</v>
      </c>
      <c r="O1059" t="str">
        <f>_xlfn.XLOOKUP(N1059,'Error-codes'!$C$2:$C$130,'Error-codes'!$B$2:$B$130, "None")</f>
        <v>Excessive slip detected</v>
      </c>
      <c r="P1059" t="s">
        <v>3326</v>
      </c>
      <c r="U1059" s="81">
        <f>DATEVALUE(LEFT(F1059,10))</f>
        <v>44966</v>
      </c>
    </row>
    <row r="1060" spans="1:21">
      <c r="A1060" s="56" t="s">
        <v>5772</v>
      </c>
      <c r="B1060" s="56" t="s">
        <v>29</v>
      </c>
      <c r="C1060" s="56" t="s">
        <v>5762</v>
      </c>
      <c r="D1060" s="56" t="s">
        <v>37</v>
      </c>
      <c r="E1060" s="56" t="s">
        <v>5773</v>
      </c>
      <c r="F1060" s="56" t="s">
        <v>5774</v>
      </c>
      <c r="G1060" s="56">
        <v>112</v>
      </c>
      <c r="H1060" s="56">
        <v>75</v>
      </c>
      <c r="I1060" s="56">
        <v>0.6696428571428571</v>
      </c>
      <c r="J1060" s="56" t="s">
        <v>5775</v>
      </c>
      <c r="K1060" s="56" t="s">
        <v>5593</v>
      </c>
      <c r="L1060" s="56" t="s">
        <v>3358</v>
      </c>
      <c r="M1060" s="56" t="str">
        <f>HYPERLINK("https://dribble.octin.io/?mode=Single+log&amp;log_id=b7a58cda-378c-463b-9cf4-c8e9e42e6af6","URL")</f>
        <v>URL</v>
      </c>
      <c r="N1060" s="56" t="s">
        <v>3456</v>
      </c>
      <c r="O1060" t="str">
        <f>_xlfn.XLOOKUP(N1060,'Error-codes'!$C$2:$C$130,'Error-codes'!$B$2:$B$130, "None")</f>
        <v>motor drive: OVER VOLTAGE</v>
      </c>
      <c r="P1060" t="s">
        <v>3326</v>
      </c>
      <c r="U1060" s="81">
        <f>DATEVALUE(LEFT(F1060,10))</f>
        <v>44966</v>
      </c>
    </row>
    <row r="1061" spans="1:21">
      <c r="B1061" s="56" t="s">
        <v>295</v>
      </c>
      <c r="C1061" s="56" t="s">
        <v>3322</v>
      </c>
      <c r="D1061" s="56" t="s">
        <v>388</v>
      </c>
      <c r="F1061" s="56" t="s">
        <v>5776</v>
      </c>
      <c r="G1061" s="56">
        <v>120</v>
      </c>
      <c r="H1061" s="56">
        <v>118</v>
      </c>
      <c r="I1061" s="56">
        <v>0.98333333333333328</v>
      </c>
      <c r="K1061" s="56" t="s">
        <v>5593</v>
      </c>
      <c r="L1061" s="56" t="s">
        <v>3325</v>
      </c>
      <c r="O1061">
        <f>_xlfn.XLOOKUP(N1061,'Error-codes'!$C$2:$C$130,'Error-codes'!$B$2:$B$130, "None")</f>
        <v>0</v>
      </c>
      <c r="U1061" s="81">
        <f>DATEVALUE(LEFT(F1061,10))</f>
        <v>44967</v>
      </c>
    </row>
    <row r="1062" spans="1:21">
      <c r="B1062" s="56" t="s">
        <v>3263</v>
      </c>
      <c r="C1062" s="56" t="s">
        <v>5777</v>
      </c>
      <c r="D1062" s="56" t="s">
        <v>388</v>
      </c>
      <c r="F1062" s="56" t="s">
        <v>5778</v>
      </c>
      <c r="G1062" s="56">
        <v>81</v>
      </c>
      <c r="H1062" s="56">
        <v>81</v>
      </c>
      <c r="I1062" s="56">
        <v>1</v>
      </c>
      <c r="K1062" s="56" t="s">
        <v>3268</v>
      </c>
      <c r="L1062" s="56" t="s">
        <v>3269</v>
      </c>
      <c r="O1062">
        <f>_xlfn.XLOOKUP(N1062,'Error-codes'!$C$2:$C$130,'Error-codes'!$B$2:$B$130, "None")</f>
        <v>0</v>
      </c>
      <c r="U1062" s="81">
        <f>DATEVALUE(LEFT(F1062,10))</f>
        <v>44967</v>
      </c>
    </row>
    <row r="1063" spans="1:21">
      <c r="A1063" s="56" t="s">
        <v>5779</v>
      </c>
      <c r="B1063" s="56" t="s">
        <v>295</v>
      </c>
      <c r="C1063" s="56" t="s">
        <v>5780</v>
      </c>
      <c r="D1063" s="56" t="s">
        <v>388</v>
      </c>
      <c r="E1063" s="56" t="s">
        <v>2939</v>
      </c>
      <c r="F1063" s="56" t="s">
        <v>5781</v>
      </c>
      <c r="G1063" s="56">
        <v>7</v>
      </c>
      <c r="H1063" s="56">
        <v>2</v>
      </c>
      <c r="I1063" s="56">
        <v>0.2857142857142857</v>
      </c>
      <c r="J1063" s="56" t="s">
        <v>5782</v>
      </c>
      <c r="K1063" s="56" t="s">
        <v>5612</v>
      </c>
      <c r="L1063" s="56" t="s">
        <v>3325</v>
      </c>
      <c r="M1063" s="56" t="str">
        <f>HYPERLINK("https://dribble.octin.io/?mode=Single+log&amp;log_id=7871e935-790b-4500-9d42-61202d749212","URL")</f>
        <v>URL</v>
      </c>
      <c r="N1063" s="56" t="s">
        <v>3446</v>
      </c>
      <c r="O1063" t="str">
        <f>_xlfn.XLOOKUP(N1063,'Error-codes'!$C$2:$C$130,'Error-codes'!$B$2:$B$130, "None")</f>
        <v>end of lane wall sensor error</v>
      </c>
      <c r="P1063" t="s">
        <v>3326</v>
      </c>
      <c r="U1063" s="81">
        <f>DATEVALUE(LEFT(F1063,10))</f>
        <v>44967</v>
      </c>
    </row>
    <row r="1064" spans="1:21">
      <c r="B1064" s="56" t="s">
        <v>295</v>
      </c>
      <c r="C1064" s="56" t="s">
        <v>5780</v>
      </c>
      <c r="D1064" s="56" t="s">
        <v>388</v>
      </c>
      <c r="F1064" s="56" t="s">
        <v>5783</v>
      </c>
      <c r="G1064" s="56">
        <v>7</v>
      </c>
      <c r="H1064" s="56">
        <v>6</v>
      </c>
      <c r="I1064" s="56">
        <v>0.8571428571428571</v>
      </c>
      <c r="K1064" s="56" t="s">
        <v>5612</v>
      </c>
      <c r="L1064" s="56" t="s">
        <v>3325</v>
      </c>
      <c r="O1064">
        <f>_xlfn.XLOOKUP(N1064,'Error-codes'!$C$2:$C$130,'Error-codes'!$B$2:$B$130, "None")</f>
        <v>0</v>
      </c>
      <c r="U1064" s="81">
        <f>DATEVALUE(LEFT(F1064,10))</f>
        <v>44967</v>
      </c>
    </row>
    <row r="1065" spans="1:21">
      <c r="B1065" s="56" t="s">
        <v>29</v>
      </c>
      <c r="C1065" s="56" t="s">
        <v>5784</v>
      </c>
      <c r="D1065" s="56" t="s">
        <v>22</v>
      </c>
      <c r="F1065" s="56" t="s">
        <v>5785</v>
      </c>
      <c r="G1065" s="56">
        <v>155</v>
      </c>
      <c r="H1065" s="56">
        <v>0</v>
      </c>
      <c r="I1065" s="56">
        <v>0</v>
      </c>
      <c r="K1065" s="56" t="s">
        <v>5612</v>
      </c>
      <c r="L1065" s="56" t="s">
        <v>3358</v>
      </c>
      <c r="O1065">
        <f>_xlfn.XLOOKUP(N1065,'Error-codes'!$C$2:$C$130,'Error-codes'!$B$2:$B$130, "None")</f>
        <v>0</v>
      </c>
      <c r="U1065" s="81">
        <f>DATEVALUE(LEFT(F1065,10))</f>
        <v>44967</v>
      </c>
    </row>
    <row r="1066" spans="1:21">
      <c r="A1066" s="56" t="s">
        <v>3351</v>
      </c>
      <c r="B1066" s="56" t="s">
        <v>3202</v>
      </c>
      <c r="C1066" s="56" t="s">
        <v>3333</v>
      </c>
      <c r="D1066" s="56"/>
      <c r="E1066" s="56" t="s">
        <v>2939</v>
      </c>
      <c r="F1066" s="56" t="s">
        <v>3352</v>
      </c>
      <c r="G1066" s="56">
        <v>37</v>
      </c>
      <c r="H1066" s="56">
        <v>4</v>
      </c>
      <c r="I1066" s="56">
        <v>0.10810810810810811</v>
      </c>
      <c r="J1066" s="56" t="s">
        <v>3353</v>
      </c>
      <c r="K1066" s="56" t="s">
        <v>3207</v>
      </c>
      <c r="L1066" s="56" t="s">
        <v>3302</v>
      </c>
      <c r="M1066" s="56" t="str">
        <f>HYPERLINK("https://dribble.octin.io/?mode=Single+log&amp;log_id=01383e8f-e9fc-4f60-a274-215ef2390e04","URL")</f>
        <v>URL</v>
      </c>
      <c r="N1066" s="56" t="s">
        <v>2933</v>
      </c>
      <c r="O1066" t="str">
        <f>_xlfn.XLOOKUP(N1066,'Error-codes'!$C$2:$C$130,'Error-codes'!$B$2:$B$130, "None")</f>
        <v>inductive sensor error</v>
      </c>
      <c r="R1066" t="s">
        <v>2901</v>
      </c>
      <c r="U1066" s="81">
        <f>DATEVALUE(LEFT(F1066,10))</f>
        <v>44967</v>
      </c>
    </row>
    <row r="1067" spans="1:21">
      <c r="A1067" s="56" t="s">
        <v>5786</v>
      </c>
      <c r="B1067" s="56" t="s">
        <v>3202</v>
      </c>
      <c r="C1067" s="56" t="s">
        <v>3333</v>
      </c>
      <c r="D1067" s="56"/>
      <c r="E1067" s="56" t="s">
        <v>2939</v>
      </c>
      <c r="F1067" s="56" t="s">
        <v>5787</v>
      </c>
      <c r="G1067" s="56">
        <v>37</v>
      </c>
      <c r="H1067" s="56">
        <v>9</v>
      </c>
      <c r="I1067" s="56">
        <v>0.24324324324324326</v>
      </c>
      <c r="J1067" s="56" t="s">
        <v>5554</v>
      </c>
      <c r="K1067" s="56" t="s">
        <v>3207</v>
      </c>
      <c r="L1067" s="56" t="s">
        <v>3302</v>
      </c>
      <c r="M1067" s="56" t="str">
        <f>HYPERLINK("https://dribble.octin.io/?mode=Single+log&amp;log_id=b1bdf656-6b0e-4554-bd07-47a6459cd528","URL")</f>
        <v>URL</v>
      </c>
      <c r="N1067" s="56" t="s">
        <v>3446</v>
      </c>
      <c r="O1067" t="str">
        <f>_xlfn.XLOOKUP(N1067,'Error-codes'!$C$2:$C$130,'Error-codes'!$B$2:$B$130, "None")</f>
        <v>end of lane wall sensor error</v>
      </c>
      <c r="R1067" t="s">
        <v>2902</v>
      </c>
      <c r="U1067" s="81">
        <f>DATEVALUE(LEFT(F1067,10))</f>
        <v>44967</v>
      </c>
    </row>
    <row r="1068" spans="1:21">
      <c r="A1068" s="56" t="s">
        <v>3348</v>
      </c>
      <c r="B1068" s="56" t="s">
        <v>3202</v>
      </c>
      <c r="C1068" s="56" t="s">
        <v>3333</v>
      </c>
      <c r="D1068" s="56"/>
      <c r="E1068" s="56" t="s">
        <v>2939</v>
      </c>
      <c r="F1068" s="56" t="s">
        <v>3349</v>
      </c>
      <c r="G1068" s="56">
        <v>37</v>
      </c>
      <c r="H1068" s="56">
        <v>11</v>
      </c>
      <c r="I1068" s="56">
        <v>0.29729729729729731</v>
      </c>
      <c r="J1068" s="56" t="s">
        <v>3350</v>
      </c>
      <c r="K1068" s="56" t="s">
        <v>3207</v>
      </c>
      <c r="L1068" s="56" t="s">
        <v>3302</v>
      </c>
      <c r="M1068" s="56" t="str">
        <f>HYPERLINK("https://dribble.octin.io/?mode=Single+log&amp;log_id=0d6b39b1-8771-43b0-aed6-f930753ae034","URL")</f>
        <v>URL</v>
      </c>
      <c r="N1068" s="56" t="s">
        <v>2933</v>
      </c>
      <c r="O1068" t="str">
        <f>_xlfn.XLOOKUP(N1068,'Error-codes'!$C$2:$C$130,'Error-codes'!$B$2:$B$130, "None")</f>
        <v>inductive sensor error</v>
      </c>
      <c r="R1068" t="s">
        <v>2901</v>
      </c>
      <c r="U1068" s="81">
        <f>DATEVALUE(LEFT(F1068,10))</f>
        <v>44967</v>
      </c>
    </row>
    <row r="1069" spans="1:21">
      <c r="A1069" s="56" t="s">
        <v>3345</v>
      </c>
      <c r="B1069" s="56" t="s">
        <v>3202</v>
      </c>
      <c r="C1069" s="56" t="s">
        <v>3333</v>
      </c>
      <c r="D1069" s="56"/>
      <c r="E1069" s="56" t="s">
        <v>2939</v>
      </c>
      <c r="F1069" s="56" t="s">
        <v>3346</v>
      </c>
      <c r="G1069" s="56">
        <v>37</v>
      </c>
      <c r="H1069" s="56">
        <v>16</v>
      </c>
      <c r="I1069" s="56">
        <v>0.43243243243243246</v>
      </c>
      <c r="J1069" s="56" t="s">
        <v>3347</v>
      </c>
      <c r="K1069" s="56" t="s">
        <v>3207</v>
      </c>
      <c r="L1069" s="56" t="s">
        <v>3302</v>
      </c>
      <c r="M1069" s="56" t="str">
        <f>HYPERLINK("https://dribble.octin.io/?mode=Single+log&amp;log_id=28c35d55-b858-46e1-a310-673a93883be0","URL")</f>
        <v>URL</v>
      </c>
      <c r="N1069" s="56" t="s">
        <v>2933</v>
      </c>
      <c r="O1069" t="str">
        <f>_xlfn.XLOOKUP(N1069,'Error-codes'!$C$2:$C$130,'Error-codes'!$B$2:$B$130, "None")</f>
        <v>inductive sensor error</v>
      </c>
      <c r="R1069" t="s">
        <v>2901</v>
      </c>
      <c r="U1069" s="81">
        <f>DATEVALUE(LEFT(F1069,10))</f>
        <v>44967</v>
      </c>
    </row>
    <row r="1070" spans="1:21">
      <c r="A1070" s="56" t="s">
        <v>3342</v>
      </c>
      <c r="B1070" s="56" t="s">
        <v>3202</v>
      </c>
      <c r="C1070" s="56" t="s">
        <v>3333</v>
      </c>
      <c r="D1070" s="56"/>
      <c r="E1070" s="56" t="s">
        <v>2939</v>
      </c>
      <c r="F1070" s="56" t="s">
        <v>3343</v>
      </c>
      <c r="G1070" s="56">
        <v>37</v>
      </c>
      <c r="H1070" s="56">
        <v>21</v>
      </c>
      <c r="I1070" s="56">
        <v>0.56756756756756754</v>
      </c>
      <c r="J1070" s="56" t="s">
        <v>3344</v>
      </c>
      <c r="K1070" s="56" t="s">
        <v>3207</v>
      </c>
      <c r="L1070" s="56" t="s">
        <v>3302</v>
      </c>
      <c r="M1070" s="56" t="str">
        <f>HYPERLINK("https://dribble.octin.io/?mode=Single+log&amp;log_id=085d7d31-a608-4d96-9ed1-6ad51d6fdf88","URL")</f>
        <v>URL</v>
      </c>
      <c r="N1070" s="56" t="s">
        <v>2933</v>
      </c>
      <c r="O1070" t="str">
        <f>_xlfn.XLOOKUP(N1070,'Error-codes'!$C$2:$C$130,'Error-codes'!$B$2:$B$130, "None")</f>
        <v>inductive sensor error</v>
      </c>
      <c r="R1070" t="s">
        <v>2901</v>
      </c>
      <c r="U1070" s="81">
        <f>DATEVALUE(LEFT(F1070,10))</f>
        <v>44967</v>
      </c>
    </row>
    <row r="1071" spans="1:21">
      <c r="A1071" s="56" t="s">
        <v>3339</v>
      </c>
      <c r="B1071" s="56" t="s">
        <v>3202</v>
      </c>
      <c r="C1071" s="56" t="s">
        <v>3333</v>
      </c>
      <c r="D1071" s="56"/>
      <c r="E1071" s="56" t="s">
        <v>2939</v>
      </c>
      <c r="F1071" s="56" t="s">
        <v>3340</v>
      </c>
      <c r="G1071" s="56">
        <v>37</v>
      </c>
      <c r="H1071" s="56">
        <v>25</v>
      </c>
      <c r="I1071" s="56">
        <v>0.67567567567567566</v>
      </c>
      <c r="J1071" s="56" t="s">
        <v>3341</v>
      </c>
      <c r="K1071" s="56" t="s">
        <v>3207</v>
      </c>
      <c r="L1071" s="56" t="s">
        <v>3302</v>
      </c>
      <c r="M1071" s="56" t="str">
        <f>HYPERLINK("https://dribble.octin.io/?mode=Single+log&amp;log_id=16b42460-7f9c-42ed-bc96-72d6588061da","URL")</f>
        <v>URL</v>
      </c>
      <c r="N1071" s="56" t="s">
        <v>2933</v>
      </c>
      <c r="O1071" t="str">
        <f>_xlfn.XLOOKUP(N1071,'Error-codes'!$C$2:$C$130,'Error-codes'!$B$2:$B$130, "None")</f>
        <v>inductive sensor error</v>
      </c>
      <c r="R1071" t="s">
        <v>2901</v>
      </c>
      <c r="U1071" s="81">
        <f>DATEVALUE(LEFT(F1071,10))</f>
        <v>44967</v>
      </c>
    </row>
    <row r="1072" spans="1:21">
      <c r="A1072" s="56" t="s">
        <v>5788</v>
      </c>
      <c r="B1072" s="56" t="s">
        <v>3202</v>
      </c>
      <c r="C1072" s="56" t="s">
        <v>3333</v>
      </c>
      <c r="D1072" s="56"/>
      <c r="E1072" s="56" t="s">
        <v>2939</v>
      </c>
      <c r="F1072" s="56" t="s">
        <v>5789</v>
      </c>
      <c r="G1072" s="56">
        <v>37</v>
      </c>
      <c r="H1072" s="56">
        <v>26</v>
      </c>
      <c r="I1072" s="56">
        <v>0.70270270270270274</v>
      </c>
      <c r="J1072" s="56" t="s">
        <v>3301</v>
      </c>
      <c r="K1072" s="56" t="s">
        <v>3207</v>
      </c>
      <c r="L1072" s="56" t="s">
        <v>3302</v>
      </c>
      <c r="M1072" s="56" t="str">
        <f>HYPERLINK("https://dribble.octin.io/?mode=Single+log&amp;log_id=c8997ef2-9b1c-437d-b4b1-ff8db30c432a","URL")</f>
        <v>URL</v>
      </c>
      <c r="N1072" s="56" t="s">
        <v>3446</v>
      </c>
      <c r="O1072" t="str">
        <f>_xlfn.XLOOKUP(N1072,'Error-codes'!$C$2:$C$130,'Error-codes'!$B$2:$B$130, "None")</f>
        <v>end of lane wall sensor error</v>
      </c>
      <c r="R1072" t="s">
        <v>2902</v>
      </c>
      <c r="U1072" s="81">
        <f>DATEVALUE(LEFT(F1072,10))</f>
        <v>44967</v>
      </c>
    </row>
    <row r="1073" spans="1:21">
      <c r="A1073" s="56" t="s">
        <v>3336</v>
      </c>
      <c r="B1073" s="56" t="s">
        <v>3202</v>
      </c>
      <c r="C1073" s="56" t="s">
        <v>3333</v>
      </c>
      <c r="D1073" s="56"/>
      <c r="E1073" s="56" t="s">
        <v>2939</v>
      </c>
      <c r="F1073" s="56" t="s">
        <v>3337</v>
      </c>
      <c r="G1073" s="56">
        <v>37</v>
      </c>
      <c r="H1073" s="56">
        <v>35</v>
      </c>
      <c r="I1073" s="56">
        <v>0.94594594594594594</v>
      </c>
      <c r="J1073" s="56" t="s">
        <v>3338</v>
      </c>
      <c r="K1073" s="56" t="s">
        <v>3207</v>
      </c>
      <c r="L1073" s="56" t="s">
        <v>3302</v>
      </c>
      <c r="M1073" s="56" t="str">
        <f>HYPERLINK("https://dribble.octin.io/?mode=Single+log&amp;log_id=b4d4e925-6cad-44c3-a899-e008475f0fcf","URL")</f>
        <v>URL</v>
      </c>
      <c r="N1073" s="56" t="s">
        <v>2933</v>
      </c>
      <c r="O1073" t="str">
        <f>_xlfn.XLOOKUP(N1073,'Error-codes'!$C$2:$C$130,'Error-codes'!$B$2:$B$130, "None")</f>
        <v>inductive sensor error</v>
      </c>
      <c r="R1073" t="s">
        <v>2901</v>
      </c>
      <c r="U1073" s="81">
        <f>DATEVALUE(LEFT(F1073,10))</f>
        <v>44967</v>
      </c>
    </row>
    <row r="1074" spans="1:21">
      <c r="A1074" s="56" t="s">
        <v>3332</v>
      </c>
      <c r="B1074" s="56" t="s">
        <v>3202</v>
      </c>
      <c r="C1074" s="56" t="s">
        <v>3333</v>
      </c>
      <c r="D1074" s="56"/>
      <c r="E1074" s="56"/>
      <c r="F1074" s="56" t="s">
        <v>3334</v>
      </c>
      <c r="G1074" s="56">
        <v>37</v>
      </c>
      <c r="H1074" s="56">
        <v>36</v>
      </c>
      <c r="I1074" s="56">
        <v>0.97297297297297303</v>
      </c>
      <c r="J1074" s="56" t="s">
        <v>3335</v>
      </c>
      <c r="K1074" s="56" t="s">
        <v>3207</v>
      </c>
      <c r="L1074" s="56" t="s">
        <v>3302</v>
      </c>
      <c r="M1074" s="56" t="str">
        <f>HYPERLINK("https://dribble.octin.io/?mode=Single+log&amp;log_id=241eb093-15b7-4d3c-887e-817af316318f","URL")</f>
        <v>URL</v>
      </c>
      <c r="N1074" s="56" t="s">
        <v>2933</v>
      </c>
      <c r="O1074" t="str">
        <f>_xlfn.XLOOKUP(N1074,'Error-codes'!$C$2:$C$130,'Error-codes'!$B$2:$B$130, "None")</f>
        <v>inductive sensor error</v>
      </c>
      <c r="Q1074" t="s">
        <v>5790</v>
      </c>
      <c r="R1074" t="s">
        <v>2901</v>
      </c>
      <c r="U1074" s="81">
        <f>DATEVALUE(LEFT(F1074,10))</f>
        <v>44967</v>
      </c>
    </row>
    <row r="1075" spans="1:21">
      <c r="A1075" s="56" t="s">
        <v>3329</v>
      </c>
      <c r="B1075" s="56" t="s">
        <v>3293</v>
      </c>
      <c r="C1075" s="56" t="s">
        <v>3330</v>
      </c>
      <c r="D1075" s="56" t="s">
        <v>388</v>
      </c>
      <c r="E1075" s="56" t="s">
        <v>2939</v>
      </c>
      <c r="F1075" s="56" t="s">
        <v>3331</v>
      </c>
      <c r="G1075" s="56">
        <v>23</v>
      </c>
      <c r="H1075" s="56">
        <v>19</v>
      </c>
      <c r="I1075" s="56">
        <v>0.82608695652173914</v>
      </c>
      <c r="J1075" s="56" t="s">
        <v>3296</v>
      </c>
      <c r="K1075" s="56" t="s">
        <v>3207</v>
      </c>
      <c r="L1075" s="56" t="s">
        <v>3297</v>
      </c>
      <c r="M1075" s="56" t="str">
        <f>HYPERLINK("https://dribble.octin.io/?mode=Single+log&amp;log_id=a05753ee-e29b-4d02-87a2-19107c33c294","URL")</f>
        <v>URL</v>
      </c>
      <c r="N1075" s="56" t="s">
        <v>2933</v>
      </c>
      <c r="O1075" t="str">
        <f>_xlfn.XLOOKUP(N1075,'Error-codes'!$C$2:$C$130,'Error-codes'!$B$2:$B$130, "None")</f>
        <v>inductive sensor error</v>
      </c>
      <c r="P1075" t="s">
        <v>5791</v>
      </c>
      <c r="R1075" t="s">
        <v>2896</v>
      </c>
      <c r="U1075" s="81">
        <f>DATEVALUE(LEFT(F1075,10))</f>
        <v>44967</v>
      </c>
    </row>
    <row r="1076" spans="1:21">
      <c r="B1076" s="56" t="s">
        <v>3293</v>
      </c>
      <c r="C1076" s="56" t="s">
        <v>3330</v>
      </c>
      <c r="D1076" s="56" t="s">
        <v>388</v>
      </c>
      <c r="F1076" s="56" t="s">
        <v>5792</v>
      </c>
      <c r="G1076" s="56">
        <v>23</v>
      </c>
      <c r="H1076" s="56">
        <v>22</v>
      </c>
      <c r="I1076" s="56">
        <v>0.95652173913043481</v>
      </c>
      <c r="K1076" s="56" t="s">
        <v>3207</v>
      </c>
      <c r="L1076" s="56" t="s">
        <v>3297</v>
      </c>
      <c r="O1076">
        <f>_xlfn.XLOOKUP(N1076,'Error-codes'!$C$2:$C$130,'Error-codes'!$B$2:$B$130, "None")</f>
        <v>0</v>
      </c>
      <c r="U1076" s="81">
        <f>DATEVALUE(LEFT(F1076,10))</f>
        <v>44967</v>
      </c>
    </row>
    <row r="1077" spans="1:21">
      <c r="A1077" s="56" t="s">
        <v>5793</v>
      </c>
      <c r="B1077" s="56" t="s">
        <v>2886</v>
      </c>
      <c r="C1077" s="56" t="s">
        <v>5794</v>
      </c>
      <c r="D1077" s="56" t="s">
        <v>37</v>
      </c>
      <c r="E1077" s="56" t="s">
        <v>5795</v>
      </c>
      <c r="F1077" s="56" t="s">
        <v>5796</v>
      </c>
      <c r="G1077" s="56">
        <v>125</v>
      </c>
      <c r="H1077" s="56">
        <v>31</v>
      </c>
      <c r="I1077" s="56">
        <v>0.248</v>
      </c>
      <c r="J1077" s="56" t="s">
        <v>5797</v>
      </c>
      <c r="K1077" s="56" t="s">
        <v>2171</v>
      </c>
      <c r="L1077" s="56" t="s">
        <v>2932</v>
      </c>
      <c r="M1077" s="56" t="str">
        <f>HYPERLINK("https://dribble.octin.io/?mode=Single+log&amp;log_id=124000d6-a62d-4226-8cdf-0a2f033914de","URL")</f>
        <v>URL</v>
      </c>
      <c r="N1077" s="56" t="s">
        <v>5798</v>
      </c>
      <c r="O1077" t="str">
        <f>_xlfn.XLOOKUP(N1077,'Error-codes'!$C$2:$C$130,'Error-codes'!$B$2:$B$130, "None")</f>
        <v>None</v>
      </c>
      <c r="P1077" t="s">
        <v>3326</v>
      </c>
      <c r="U1077" s="81">
        <f>DATEVALUE(LEFT(F1077,10))</f>
        <v>44967</v>
      </c>
    </row>
    <row r="1078" spans="1:21">
      <c r="A1078" s="56" t="s">
        <v>3359</v>
      </c>
      <c r="B1078" s="56" t="s">
        <v>295</v>
      </c>
      <c r="C1078" s="56" t="s">
        <v>3355</v>
      </c>
      <c r="D1078" s="56" t="s">
        <v>388</v>
      </c>
      <c r="E1078" s="56" t="s">
        <v>2939</v>
      </c>
      <c r="F1078" s="56" t="s">
        <v>3360</v>
      </c>
      <c r="G1078" s="56">
        <v>153</v>
      </c>
      <c r="H1078" s="56">
        <v>136</v>
      </c>
      <c r="I1078" s="56">
        <v>0.88888888888888884</v>
      </c>
      <c r="J1078" s="56" t="s">
        <v>3361</v>
      </c>
      <c r="K1078" s="56" t="s">
        <v>5593</v>
      </c>
      <c r="L1078" s="56" t="s">
        <v>3358</v>
      </c>
      <c r="M1078" s="56" t="str">
        <f>HYPERLINK("https://dribble.octin.io/?mode=Single+log&amp;log_id=9aefb364-cd9e-4b5b-a4f6-c4973875056d","URL")</f>
        <v>URL</v>
      </c>
      <c r="N1078" s="56" t="s">
        <v>2933</v>
      </c>
      <c r="O1078" t="str">
        <f>_xlfn.XLOOKUP(N1078,'Error-codes'!$C$2:$C$130,'Error-codes'!$B$2:$B$130, "None")</f>
        <v>inductive sensor error</v>
      </c>
      <c r="U1078" s="81">
        <f>DATEVALUE(LEFT(F1078,10))</f>
        <v>44968</v>
      </c>
    </row>
    <row r="1079" spans="1:21">
      <c r="A1079" s="56" t="s">
        <v>5799</v>
      </c>
      <c r="B1079" s="56" t="s">
        <v>29</v>
      </c>
      <c r="C1079" s="56" t="s">
        <v>5800</v>
      </c>
      <c r="D1079" s="56" t="s">
        <v>37</v>
      </c>
      <c r="E1079" s="56" t="s">
        <v>2939</v>
      </c>
      <c r="F1079" s="56" t="s">
        <v>5801</v>
      </c>
      <c r="G1079" s="56">
        <v>155</v>
      </c>
      <c r="H1079" s="56">
        <v>126</v>
      </c>
      <c r="I1079" s="56">
        <v>0.81290322580645158</v>
      </c>
      <c r="J1079" s="56" t="s">
        <v>5802</v>
      </c>
      <c r="K1079" s="56" t="s">
        <v>5612</v>
      </c>
      <c r="L1079" s="56" t="s">
        <v>3358</v>
      </c>
      <c r="M1079" s="56" t="str">
        <f>HYPERLINK("https://dribble.octin.io/?mode=Single+log&amp;log_id=ba5dca60-7a83-4987-9770-d3941610b24e","URL")</f>
        <v>URL</v>
      </c>
      <c r="N1079" s="56" t="s">
        <v>3472</v>
      </c>
      <c r="O1079" t="str">
        <f>_xlfn.XLOOKUP(N1079,'Error-codes'!$C$2:$C$130,'Error-codes'!$B$2:$B$130, "None")</f>
        <v>Excessive slip detected</v>
      </c>
      <c r="P1079" t="s">
        <v>5803</v>
      </c>
      <c r="R1079" t="s">
        <v>2897</v>
      </c>
      <c r="U1079" s="81">
        <f>DATEVALUE(LEFT(F1079,10))</f>
        <v>44968</v>
      </c>
    </row>
    <row r="1080" spans="1:21">
      <c r="A1080" s="56" t="s">
        <v>3354</v>
      </c>
      <c r="B1080" s="56" t="s">
        <v>295</v>
      </c>
      <c r="C1080" s="56" t="s">
        <v>3355</v>
      </c>
      <c r="D1080" s="56" t="s">
        <v>388</v>
      </c>
      <c r="E1080" s="56" t="s">
        <v>2939</v>
      </c>
      <c r="F1080" s="56" t="s">
        <v>3356</v>
      </c>
      <c r="G1080" s="56">
        <v>153</v>
      </c>
      <c r="H1080" s="56">
        <v>146</v>
      </c>
      <c r="I1080" s="56">
        <v>0.95424836601307195</v>
      </c>
      <c r="J1080" s="56" t="s">
        <v>3357</v>
      </c>
      <c r="K1080" s="56" t="s">
        <v>5593</v>
      </c>
      <c r="L1080" s="56" t="s">
        <v>3358</v>
      </c>
      <c r="M1080" s="56" t="str">
        <f>HYPERLINK("https://dribble.octin.io/?mode=Single+log&amp;log_id=c7c6b4e5-bfa7-458a-a33a-058e2bc1689d","URL")</f>
        <v>URL</v>
      </c>
      <c r="N1080" s="56" t="s">
        <v>2933</v>
      </c>
      <c r="O1080" t="str">
        <f>_xlfn.XLOOKUP(N1080,'Error-codes'!$C$2:$C$130,'Error-codes'!$B$2:$B$130, "None")</f>
        <v>inductive sensor error</v>
      </c>
      <c r="U1080" s="81">
        <f>DATEVALUE(LEFT(F1080,10))</f>
        <v>44968</v>
      </c>
    </row>
    <row r="1081" spans="1:21">
      <c r="B1081" s="56" t="s">
        <v>295</v>
      </c>
      <c r="C1081" s="56" t="s">
        <v>3355</v>
      </c>
      <c r="D1081" s="56" t="s">
        <v>388</v>
      </c>
      <c r="F1081" s="56" t="s">
        <v>5804</v>
      </c>
      <c r="G1081" s="56">
        <v>153</v>
      </c>
      <c r="H1081" s="56">
        <v>151</v>
      </c>
      <c r="I1081" s="56">
        <v>0.98692810457516345</v>
      </c>
      <c r="K1081" s="56" t="s">
        <v>5593</v>
      </c>
      <c r="L1081" s="56" t="s">
        <v>3358</v>
      </c>
      <c r="O1081">
        <f>_xlfn.XLOOKUP(N1081,'Error-codes'!$C$2:$C$130,'Error-codes'!$B$2:$B$130, "None")</f>
        <v>0</v>
      </c>
      <c r="U1081" s="81">
        <f>DATEVALUE(LEFT(F1081,10))</f>
        <v>44968</v>
      </c>
    </row>
    <row r="1082" spans="1:21">
      <c r="A1082" s="56" t="s">
        <v>5805</v>
      </c>
      <c r="B1082" s="56" t="s">
        <v>29</v>
      </c>
      <c r="C1082" s="56" t="s">
        <v>5800</v>
      </c>
      <c r="D1082" s="56" t="s">
        <v>37</v>
      </c>
      <c r="E1082" s="56" t="s">
        <v>2939</v>
      </c>
      <c r="F1082" s="56" t="s">
        <v>5806</v>
      </c>
      <c r="G1082" s="56">
        <v>155</v>
      </c>
      <c r="H1082" s="56">
        <v>146</v>
      </c>
      <c r="I1082" s="56">
        <v>0.9419354838709677</v>
      </c>
      <c r="J1082" s="56" t="s">
        <v>5241</v>
      </c>
      <c r="K1082" s="56" t="s">
        <v>5612</v>
      </c>
      <c r="L1082" s="56" t="s">
        <v>3358</v>
      </c>
      <c r="M1082" s="56" t="str">
        <f>HYPERLINK("https://dribble.octin.io/?mode=Single+log&amp;log_id=3eca5d43-b76c-453c-9243-9f2e798b6be1","URL")</f>
        <v>URL</v>
      </c>
      <c r="N1082" s="56" t="s">
        <v>3444</v>
      </c>
      <c r="O1082" t="str">
        <f>_xlfn.XLOOKUP(N1082,'Error-codes'!$C$2:$C$130,'Error-codes'!$B$2:$B$130, "None")</f>
        <v>collision detected in operational state for the 4th time in a row</v>
      </c>
      <c r="R1082" t="s">
        <v>2897</v>
      </c>
      <c r="U1082" s="81">
        <f>DATEVALUE(LEFT(F1082,10))</f>
        <v>44968</v>
      </c>
    </row>
    <row r="1083" spans="1:21">
      <c r="A1083" s="56" t="s">
        <v>5807</v>
      </c>
      <c r="B1083" s="56" t="s">
        <v>29</v>
      </c>
      <c r="C1083" s="56" t="s">
        <v>5800</v>
      </c>
      <c r="D1083" s="56" t="s">
        <v>37</v>
      </c>
      <c r="E1083" s="56" t="s">
        <v>3242</v>
      </c>
      <c r="F1083" s="56" t="s">
        <v>5808</v>
      </c>
      <c r="G1083" s="56">
        <v>155</v>
      </c>
      <c r="H1083" s="56">
        <v>147</v>
      </c>
      <c r="I1083" s="56">
        <v>0.94838709677419353</v>
      </c>
      <c r="J1083" s="56" t="s">
        <v>5723</v>
      </c>
      <c r="K1083" s="56" t="s">
        <v>5612</v>
      </c>
      <c r="L1083" s="56" t="s">
        <v>3358</v>
      </c>
      <c r="M1083" s="56" t="str">
        <f>HYPERLINK("https://dribble.octin.io/?mode=Single+log&amp;log_id=5d147493-281a-4753-aa42-5f3d1fe4996d","URL")</f>
        <v>URL</v>
      </c>
      <c r="N1083" s="56" t="s">
        <v>3444</v>
      </c>
      <c r="O1083" t="str">
        <f>_xlfn.XLOOKUP(N1083,'Error-codes'!$C$2:$C$130,'Error-codes'!$B$2:$B$130, "None")</f>
        <v>collision detected in operational state for the 4th time in a row</v>
      </c>
      <c r="P1083" t="s">
        <v>5809</v>
      </c>
      <c r="R1083" t="s">
        <v>2907</v>
      </c>
      <c r="S1083" t="s">
        <v>5810</v>
      </c>
      <c r="U1083" s="81">
        <f>DATEVALUE(LEFT(F1083,10))</f>
        <v>44968</v>
      </c>
    </row>
    <row r="1084" spans="1:21">
      <c r="B1084" s="56" t="s">
        <v>29</v>
      </c>
      <c r="C1084" s="56" t="s">
        <v>5811</v>
      </c>
      <c r="D1084" s="56" t="s">
        <v>388</v>
      </c>
      <c r="F1084" s="56" t="s">
        <v>5812</v>
      </c>
      <c r="G1084" s="56">
        <v>8</v>
      </c>
      <c r="H1084" s="56">
        <v>8</v>
      </c>
      <c r="I1084" s="56">
        <v>1</v>
      </c>
      <c r="K1084" s="56" t="s">
        <v>5612</v>
      </c>
      <c r="L1084" s="56" t="s">
        <v>3358</v>
      </c>
      <c r="O1084">
        <f>_xlfn.XLOOKUP(N1084,'Error-codes'!$C$2:$C$130,'Error-codes'!$B$2:$B$130, "None")</f>
        <v>0</v>
      </c>
      <c r="U1084" s="81">
        <f>DATEVALUE(LEFT(F1084,10))</f>
        <v>44968</v>
      </c>
    </row>
    <row r="1085" spans="1:21">
      <c r="B1085" s="56" t="s">
        <v>3263</v>
      </c>
      <c r="C1085" s="56" t="s">
        <v>5813</v>
      </c>
      <c r="D1085" s="56" t="s">
        <v>388</v>
      </c>
      <c r="F1085" s="56" t="s">
        <v>5814</v>
      </c>
      <c r="G1085" s="56">
        <v>82</v>
      </c>
      <c r="H1085" s="56">
        <v>82</v>
      </c>
      <c r="I1085" s="56">
        <v>1</v>
      </c>
      <c r="K1085" s="56" t="s">
        <v>3280</v>
      </c>
      <c r="L1085" s="56" t="s">
        <v>3269</v>
      </c>
      <c r="O1085">
        <f>_xlfn.XLOOKUP(N1085,'Error-codes'!$C$2:$C$130,'Error-codes'!$B$2:$B$130, "None")</f>
        <v>0</v>
      </c>
      <c r="U1085" s="81">
        <f>DATEVALUE(LEFT(F1085,10))</f>
        <v>44968</v>
      </c>
    </row>
    <row r="1086" spans="1:21">
      <c r="A1086" s="56" t="s">
        <v>5815</v>
      </c>
      <c r="B1086" s="56" t="s">
        <v>29</v>
      </c>
      <c r="C1086" s="56" t="s">
        <v>5816</v>
      </c>
      <c r="D1086" s="56" t="s">
        <v>37</v>
      </c>
      <c r="E1086" s="56" t="s">
        <v>4774</v>
      </c>
      <c r="F1086" s="56" t="s">
        <v>5817</v>
      </c>
      <c r="G1086" s="56">
        <v>210</v>
      </c>
      <c r="H1086" s="56">
        <v>89</v>
      </c>
      <c r="I1086" s="56">
        <v>0.4238095238095238</v>
      </c>
      <c r="J1086" s="56" t="s">
        <v>5818</v>
      </c>
      <c r="K1086" s="56" t="s">
        <v>5593</v>
      </c>
      <c r="L1086" s="56" t="s">
        <v>3325</v>
      </c>
      <c r="M1086" s="56" t="str">
        <f>HYPERLINK("https://dribble.octin.io/?mode=Single+log&amp;log_id=63721612-14cc-41e7-81d0-649c7700c3a6","URL")</f>
        <v>URL</v>
      </c>
      <c r="N1086" s="56" t="s">
        <v>3450</v>
      </c>
      <c r="O1086" t="str">
        <f>_xlfn.XLOOKUP(N1086,'Error-codes'!$C$2:$C$130,'Error-codes'!$B$2:$B$130, "None")</f>
        <v>xtheta sensor error</v>
      </c>
      <c r="U1086" s="81">
        <f>DATEVALUE(LEFT(F1086,10))</f>
        <v>44968</v>
      </c>
    </row>
    <row r="1087" spans="1:21">
      <c r="A1087" s="56" t="s">
        <v>5819</v>
      </c>
      <c r="B1087" s="56" t="s">
        <v>295</v>
      </c>
      <c r="C1087" s="56" t="s">
        <v>5820</v>
      </c>
      <c r="D1087" s="56" t="s">
        <v>37</v>
      </c>
      <c r="E1087" s="56" t="s">
        <v>2939</v>
      </c>
      <c r="F1087" s="56" t="s">
        <v>5821</v>
      </c>
      <c r="G1087" s="56">
        <v>222</v>
      </c>
      <c r="H1087" s="56">
        <v>136</v>
      </c>
      <c r="I1087" s="56">
        <v>0.61261261261261257</v>
      </c>
      <c r="J1087" s="56" t="s">
        <v>5618</v>
      </c>
      <c r="K1087" s="56" t="s">
        <v>5612</v>
      </c>
      <c r="L1087" s="56" t="s">
        <v>3325</v>
      </c>
      <c r="M1087" s="56" t="str">
        <f>HYPERLINK("https://dribble.octin.io/?mode=Single+log&amp;log_id=dad48fc1-b718-4250-b743-80c744e72150","URL")</f>
        <v>URL</v>
      </c>
      <c r="N1087" s="56" t="s">
        <v>3444</v>
      </c>
      <c r="O1087" t="str">
        <f>_xlfn.XLOOKUP(N1087,'Error-codes'!$C$2:$C$130,'Error-codes'!$B$2:$B$130, "None")</f>
        <v>collision detected in operational state for the 4th time in a row</v>
      </c>
      <c r="U1087" s="81">
        <f>DATEVALUE(LEFT(F1087,10))</f>
        <v>44969</v>
      </c>
    </row>
    <row r="1088" spans="1:21">
      <c r="A1088" s="56" t="s">
        <v>5822</v>
      </c>
      <c r="B1088" s="56" t="s">
        <v>295</v>
      </c>
      <c r="C1088" s="56" t="s">
        <v>5820</v>
      </c>
      <c r="D1088" s="56" t="s">
        <v>37</v>
      </c>
      <c r="E1088" s="56" t="s">
        <v>2939</v>
      </c>
      <c r="F1088" s="56" t="s">
        <v>5823</v>
      </c>
      <c r="G1088" s="56">
        <v>222</v>
      </c>
      <c r="H1088" s="56">
        <v>214</v>
      </c>
      <c r="I1088" s="56">
        <v>0.963963963963964</v>
      </c>
      <c r="J1088" s="56" t="s">
        <v>5782</v>
      </c>
      <c r="K1088" s="56" t="s">
        <v>5612</v>
      </c>
      <c r="L1088" s="56" t="s">
        <v>3325</v>
      </c>
      <c r="M1088" s="56" t="str">
        <f>HYPERLINK("https://dribble.octin.io/?mode=Single+log&amp;log_id=e9c1c5ab-4bb8-40d4-8b1f-cb302dc7069f","URL")</f>
        <v>URL</v>
      </c>
      <c r="N1088" s="56" t="s">
        <v>3446</v>
      </c>
      <c r="O1088" t="str">
        <f>_xlfn.XLOOKUP(N1088,'Error-codes'!$C$2:$C$130,'Error-codes'!$B$2:$B$130, "None")</f>
        <v>end of lane wall sensor error</v>
      </c>
      <c r="U1088" s="81">
        <f>DATEVALUE(LEFT(F1088,10))</f>
        <v>44969</v>
      </c>
    </row>
    <row r="1089" spans="1:21">
      <c r="A1089" s="56" t="s">
        <v>5824</v>
      </c>
      <c r="B1089" s="56" t="s">
        <v>295</v>
      </c>
      <c r="C1089" s="56" t="s">
        <v>5820</v>
      </c>
      <c r="D1089" s="56" t="s">
        <v>37</v>
      </c>
      <c r="E1089" s="56" t="s">
        <v>4253</v>
      </c>
      <c r="F1089" s="56" t="s">
        <v>5825</v>
      </c>
      <c r="G1089" s="56">
        <v>222</v>
      </c>
      <c r="H1089" s="56">
        <v>219</v>
      </c>
      <c r="I1089" s="56">
        <v>0.98648648648648651</v>
      </c>
      <c r="J1089" s="56" t="s">
        <v>5633</v>
      </c>
      <c r="K1089" s="56" t="s">
        <v>5612</v>
      </c>
      <c r="L1089" s="56" t="s">
        <v>3325</v>
      </c>
      <c r="M1089" s="56" t="str">
        <f>HYPERLINK("https://dribble.octin.io/?mode=Single+log&amp;log_id=3b3690d3-b806-4642-b33e-ec9eea836fe9","URL")</f>
        <v>URL</v>
      </c>
      <c r="N1089" s="56" t="s">
        <v>3460</v>
      </c>
      <c r="O1089" t="str">
        <f>_xlfn.XLOOKUP(N1089,'Error-codes'!$C$2:$C$130,'Error-codes'!$B$2:$B$130, "None")</f>
        <v>motor drive: DRV8353 FAULT</v>
      </c>
      <c r="U1089" s="81">
        <f>DATEVALUE(LEFT(F1089,10))</f>
        <v>44969</v>
      </c>
    </row>
    <row r="1090" spans="1:21">
      <c r="A1090" s="56"/>
      <c r="B1090" s="56" t="s">
        <v>3202</v>
      </c>
      <c r="C1090" s="56" t="s">
        <v>3362</v>
      </c>
      <c r="D1090" s="56" t="s">
        <v>37</v>
      </c>
      <c r="E1090" s="56" t="s">
        <v>2939</v>
      </c>
      <c r="F1090" s="56" t="s">
        <v>3363</v>
      </c>
      <c r="G1090" s="56">
        <v>43</v>
      </c>
      <c r="H1090" s="56">
        <v>0</v>
      </c>
      <c r="I1090" s="56">
        <v>0</v>
      </c>
      <c r="J1090" s="56" t="s">
        <v>3229</v>
      </c>
      <c r="K1090" s="56" t="s">
        <v>3207</v>
      </c>
      <c r="L1090" s="56" t="s">
        <v>3237</v>
      </c>
      <c r="N1090" s="56" t="s">
        <v>2933</v>
      </c>
      <c r="O1090" t="str">
        <f>_xlfn.XLOOKUP(N1090,'Error-codes'!$C$2:$C$130,'Error-codes'!$B$2:$B$130, "None")</f>
        <v>inductive sensor error</v>
      </c>
      <c r="U1090" s="81">
        <f>DATEVALUE(LEFT(F1090,10))</f>
        <v>44969</v>
      </c>
    </row>
    <row r="1091" spans="1:21">
      <c r="A1091" s="56"/>
      <c r="B1091" s="56" t="s">
        <v>3202</v>
      </c>
      <c r="C1091" s="56" t="s">
        <v>3362</v>
      </c>
      <c r="D1091" s="56" t="s">
        <v>37</v>
      </c>
      <c r="E1091" s="56" t="s">
        <v>2939</v>
      </c>
      <c r="F1091" s="56" t="s">
        <v>5826</v>
      </c>
      <c r="G1091" s="56">
        <v>43</v>
      </c>
      <c r="H1091" s="56">
        <v>7</v>
      </c>
      <c r="I1091" s="56">
        <v>0.16279069767441862</v>
      </c>
      <c r="J1091" s="56" t="s">
        <v>3223</v>
      </c>
      <c r="K1091" s="56" t="s">
        <v>3207</v>
      </c>
      <c r="L1091" s="56" t="s">
        <v>3237</v>
      </c>
      <c r="N1091" s="56" t="s">
        <v>3454</v>
      </c>
      <c r="O1091" t="str">
        <f>_xlfn.XLOOKUP(N1091,'Error-codes'!$C$2:$C$130,'Error-codes'!$B$2:$B$130, "None")</f>
        <v>Veh low level FSM: safety was triggered</v>
      </c>
      <c r="U1091" s="81">
        <f>DATEVALUE(LEFT(F1091,10))</f>
        <v>44969</v>
      </c>
    </row>
    <row r="1092" spans="1:21">
      <c r="A1092" s="56"/>
      <c r="B1092" s="56" t="s">
        <v>3202</v>
      </c>
      <c r="C1092" s="56" t="s">
        <v>3362</v>
      </c>
      <c r="D1092" s="56" t="s">
        <v>37</v>
      </c>
      <c r="E1092" s="56" t="s">
        <v>4253</v>
      </c>
      <c r="F1092" s="56" t="s">
        <v>5827</v>
      </c>
      <c r="G1092" s="56">
        <v>43</v>
      </c>
      <c r="H1092" s="56">
        <v>12</v>
      </c>
      <c r="I1092" s="56">
        <v>0.27906976744186046</v>
      </c>
      <c r="J1092" s="56" t="s">
        <v>3219</v>
      </c>
      <c r="K1092" s="56" t="s">
        <v>3207</v>
      </c>
      <c r="L1092" s="56" t="s">
        <v>3237</v>
      </c>
      <c r="N1092" s="56" t="s">
        <v>3460</v>
      </c>
      <c r="O1092" t="str">
        <f>_xlfn.XLOOKUP(N1092,'Error-codes'!$C$2:$C$130,'Error-codes'!$B$2:$B$130, "None")</f>
        <v>motor drive: DRV8353 FAULT</v>
      </c>
      <c r="U1092" s="81">
        <f>DATEVALUE(LEFT(F1092,10))</f>
        <v>44969</v>
      </c>
    </row>
    <row r="1093" spans="1:21">
      <c r="A1093" s="56"/>
      <c r="B1093" s="56" t="s">
        <v>3293</v>
      </c>
      <c r="C1093" s="56" t="s">
        <v>5828</v>
      </c>
      <c r="D1093" s="56" t="s">
        <v>37</v>
      </c>
      <c r="E1093" s="56" t="s">
        <v>2939</v>
      </c>
      <c r="F1093" s="56" t="s">
        <v>5829</v>
      </c>
      <c r="G1093" s="56">
        <v>23</v>
      </c>
      <c r="H1093" s="56">
        <v>1</v>
      </c>
      <c r="I1093" s="56">
        <v>4.3478260869565216E-2</v>
      </c>
      <c r="J1093" s="56" t="s">
        <v>5830</v>
      </c>
      <c r="K1093" s="56" t="s">
        <v>3207</v>
      </c>
      <c r="L1093" s="56" t="s">
        <v>3297</v>
      </c>
      <c r="N1093" s="56" t="s">
        <v>3466</v>
      </c>
      <c r="O1093" t="str">
        <f>_xlfn.XLOOKUP(N1093,'Error-codes'!$C$2:$C$130,'Error-codes'!$B$2:$B$130, "None")</f>
        <v>vision error</v>
      </c>
      <c r="R1093" t="s">
        <v>2906</v>
      </c>
      <c r="U1093" s="81">
        <f>DATEVALUE(LEFT(F1093,10))</f>
        <v>44969</v>
      </c>
    </row>
    <row r="1094" spans="1:21">
      <c r="A1094" s="56"/>
      <c r="B1094" s="56" t="s">
        <v>3293</v>
      </c>
      <c r="C1094" s="56" t="s">
        <v>5828</v>
      </c>
      <c r="D1094" s="56" t="s">
        <v>37</v>
      </c>
      <c r="E1094" s="56" t="s">
        <v>3242</v>
      </c>
      <c r="F1094" s="56" t="s">
        <v>5831</v>
      </c>
      <c r="G1094" s="56">
        <v>23</v>
      </c>
      <c r="H1094" s="56">
        <v>2</v>
      </c>
      <c r="I1094" s="56">
        <v>8.6956521739130432E-2</v>
      </c>
      <c r="J1094" s="56" t="s">
        <v>5285</v>
      </c>
      <c r="K1094" s="56" t="s">
        <v>3207</v>
      </c>
      <c r="L1094" s="56" t="s">
        <v>3297</v>
      </c>
      <c r="N1094" s="56" t="s">
        <v>3466</v>
      </c>
      <c r="O1094" t="str">
        <f>_xlfn.XLOOKUP(N1094,'Error-codes'!$C$2:$C$130,'Error-codes'!$B$2:$B$130, "None")</f>
        <v>vision error</v>
      </c>
      <c r="R1094" t="s">
        <v>2906</v>
      </c>
      <c r="U1094" s="81">
        <f>DATEVALUE(LEFT(F1094,10))</f>
        <v>44969</v>
      </c>
    </row>
    <row r="1095" spans="1:21">
      <c r="A1095" s="56"/>
      <c r="B1095" s="56" t="s">
        <v>3202</v>
      </c>
      <c r="C1095" s="56" t="s">
        <v>3364</v>
      </c>
      <c r="D1095" s="56"/>
      <c r="E1095" s="56" t="s">
        <v>2939</v>
      </c>
      <c r="F1095" s="56" t="s">
        <v>3366</v>
      </c>
      <c r="G1095" s="56">
        <v>31</v>
      </c>
      <c r="H1095" s="56">
        <v>22</v>
      </c>
      <c r="I1095" s="56">
        <v>0.70967741935483875</v>
      </c>
      <c r="J1095" s="56" t="s">
        <v>3367</v>
      </c>
      <c r="K1095" s="56" t="s">
        <v>3207</v>
      </c>
      <c r="L1095" s="56" t="s">
        <v>3237</v>
      </c>
      <c r="N1095" s="56" t="s">
        <v>2933</v>
      </c>
      <c r="O1095" t="str">
        <f>_xlfn.XLOOKUP(N1095,'Error-codes'!$C$2:$C$130,'Error-codes'!$B$2:$B$130, "None")</f>
        <v>inductive sensor error</v>
      </c>
      <c r="U1095" s="81">
        <f>DATEVALUE(LEFT(F1095,10))</f>
        <v>44969</v>
      </c>
    </row>
    <row r="1096" spans="1:21">
      <c r="A1096" s="56"/>
      <c r="B1096" s="56" t="s">
        <v>3202</v>
      </c>
      <c r="C1096" s="56" t="s">
        <v>3364</v>
      </c>
      <c r="D1096" s="56"/>
      <c r="E1096" s="56"/>
      <c r="F1096" s="56" t="s">
        <v>3365</v>
      </c>
      <c r="G1096" s="56">
        <v>31</v>
      </c>
      <c r="H1096" s="56">
        <v>30</v>
      </c>
      <c r="I1096" s="56">
        <v>0.967741935483871</v>
      </c>
      <c r="J1096" s="56" t="s">
        <v>3233</v>
      </c>
      <c r="K1096" s="56" t="s">
        <v>3207</v>
      </c>
      <c r="L1096" s="56" t="s">
        <v>3237</v>
      </c>
      <c r="N1096" s="56" t="s">
        <v>2933</v>
      </c>
      <c r="O1096" t="str">
        <f>_xlfn.XLOOKUP(N1096,'Error-codes'!$C$2:$C$130,'Error-codes'!$B$2:$B$130, "None")</f>
        <v>inductive sensor error</v>
      </c>
      <c r="U1096" s="81">
        <f>DATEVALUE(LEFT(F1096,10))</f>
        <v>44969</v>
      </c>
    </row>
    <row r="1097" spans="1:21">
      <c r="A1097" s="56" t="s">
        <v>5832</v>
      </c>
      <c r="B1097" s="56" t="s">
        <v>29</v>
      </c>
      <c r="C1097" s="56" t="s">
        <v>5833</v>
      </c>
      <c r="D1097" s="56" t="s">
        <v>37</v>
      </c>
      <c r="E1097" s="56" t="s">
        <v>2939</v>
      </c>
      <c r="F1097" s="56" t="s">
        <v>5834</v>
      </c>
      <c r="G1097" s="56">
        <v>154</v>
      </c>
      <c r="H1097" s="56">
        <v>72</v>
      </c>
      <c r="I1097" s="56">
        <v>0.46753246753246752</v>
      </c>
      <c r="J1097" s="56" t="s">
        <v>5835</v>
      </c>
      <c r="K1097" s="56" t="s">
        <v>5593</v>
      </c>
      <c r="L1097" s="56" t="s">
        <v>3358</v>
      </c>
      <c r="M1097" s="56" t="str">
        <f>HYPERLINK("https://dribble.octin.io/?mode=Single+log&amp;log_id=3f8de8c1-13e6-4279-9076-09fad2c153ef","URL")</f>
        <v>URL</v>
      </c>
      <c r="N1097" s="56" t="s">
        <v>3444</v>
      </c>
      <c r="O1097" t="str">
        <f>_xlfn.XLOOKUP(N1097,'Error-codes'!$C$2:$C$130,'Error-codes'!$B$2:$B$130, "None")</f>
        <v>collision detected in operational state for the 4th time in a row</v>
      </c>
      <c r="R1097" t="s">
        <v>2899</v>
      </c>
      <c r="U1097" s="81">
        <f>DATEVALUE(LEFT(F1097,10))</f>
        <v>44969</v>
      </c>
    </row>
    <row r="1098" spans="1:21">
      <c r="A1098" s="56" t="s">
        <v>5836</v>
      </c>
      <c r="B1098" s="56" t="s">
        <v>29</v>
      </c>
      <c r="C1098" s="56" t="s">
        <v>5833</v>
      </c>
      <c r="D1098" s="56" t="s">
        <v>37</v>
      </c>
      <c r="E1098" s="56" t="s">
        <v>2939</v>
      </c>
      <c r="F1098" s="56" t="s">
        <v>5837</v>
      </c>
      <c r="G1098" s="56">
        <v>154</v>
      </c>
      <c r="H1098" s="56">
        <v>96</v>
      </c>
      <c r="I1098" s="56">
        <v>0.62337662337662336</v>
      </c>
      <c r="J1098" s="56" t="s">
        <v>5771</v>
      </c>
      <c r="K1098" s="56" t="s">
        <v>5593</v>
      </c>
      <c r="L1098" s="56" t="s">
        <v>3358</v>
      </c>
      <c r="M1098" s="56" t="str">
        <f>HYPERLINK("https://dribble.octin.io/?mode=Single+log&amp;log_id=252cbc53-294e-4c6f-835f-8a967b62ed53","URL")</f>
        <v>URL</v>
      </c>
      <c r="N1098" s="56" t="s">
        <v>3444</v>
      </c>
      <c r="O1098" t="str">
        <f>_xlfn.XLOOKUP(N1098,'Error-codes'!$C$2:$C$130,'Error-codes'!$B$2:$B$130, "None")</f>
        <v>collision detected in operational state for the 4th time in a row</v>
      </c>
      <c r="R1098" t="s">
        <v>2897</v>
      </c>
      <c r="U1098" s="81">
        <f>DATEVALUE(LEFT(F1098,10))</f>
        <v>44969</v>
      </c>
    </row>
    <row r="1099" spans="1:21">
      <c r="A1099" s="56" t="s">
        <v>5838</v>
      </c>
      <c r="B1099" s="56" t="s">
        <v>29</v>
      </c>
      <c r="C1099" s="56" t="s">
        <v>5833</v>
      </c>
      <c r="D1099" s="56" t="s">
        <v>37</v>
      </c>
      <c r="E1099" s="56" t="s">
        <v>2939</v>
      </c>
      <c r="F1099" s="56" t="s">
        <v>5839</v>
      </c>
      <c r="G1099" s="56">
        <v>154</v>
      </c>
      <c r="H1099" s="56">
        <v>149</v>
      </c>
      <c r="I1099" s="56">
        <v>0.96753246753246758</v>
      </c>
      <c r="J1099" s="56" t="s">
        <v>5218</v>
      </c>
      <c r="K1099" s="56" t="s">
        <v>5593</v>
      </c>
      <c r="L1099" s="56" t="s">
        <v>3358</v>
      </c>
      <c r="M1099" s="56" t="str">
        <f>HYPERLINK("https://dribble.octin.io/?mode=Single+log&amp;log_id=ede6422d-e157-44fc-aaf2-ec97bf9f6fee","URL")</f>
        <v>URL</v>
      </c>
      <c r="N1099" s="56" t="s">
        <v>3444</v>
      </c>
      <c r="O1099" t="str">
        <f>_xlfn.XLOOKUP(N1099,'Error-codes'!$C$2:$C$130,'Error-codes'!$B$2:$B$130, "None")</f>
        <v>collision detected in operational state for the 4th time in a row</v>
      </c>
      <c r="P1099" t="s">
        <v>5840</v>
      </c>
      <c r="R1099" t="s">
        <v>2897</v>
      </c>
      <c r="U1099" s="81">
        <f>DATEVALUE(LEFT(F1099,10))</f>
        <v>44970</v>
      </c>
    </row>
    <row r="1100" spans="1:21">
      <c r="A1100" s="56" t="s">
        <v>5838</v>
      </c>
      <c r="B1100" s="56" t="s">
        <v>29</v>
      </c>
      <c r="C1100" s="56" t="s">
        <v>5833</v>
      </c>
      <c r="D1100" s="56" t="s">
        <v>37</v>
      </c>
      <c r="E1100" s="56" t="s">
        <v>3242</v>
      </c>
      <c r="F1100" s="56" t="s">
        <v>5839</v>
      </c>
      <c r="G1100" s="56">
        <v>154</v>
      </c>
      <c r="H1100" s="56">
        <v>150</v>
      </c>
      <c r="I1100" s="56">
        <v>0.97402597402597402</v>
      </c>
      <c r="J1100" s="56" t="s">
        <v>3296</v>
      </c>
      <c r="K1100" s="56" t="s">
        <v>5593</v>
      </c>
      <c r="L1100" s="56" t="s">
        <v>3358</v>
      </c>
      <c r="M1100" s="56" t="str">
        <f>HYPERLINK("https://dribble.octin.io/?mode=Single+log&amp;log_id=ede6422d-e157-44fc-aaf2-ec97bf9f6fee","URL")</f>
        <v>URL</v>
      </c>
      <c r="N1100" s="56" t="s">
        <v>3468</v>
      </c>
      <c r="O1100" t="str">
        <f>_xlfn.XLOOKUP(N1100,'Error-codes'!$C$2:$C$130,'Error-codes'!$B$2:$B$130, "None")</f>
        <v>no vision heartbeat</v>
      </c>
      <c r="P1100" t="s">
        <v>5841</v>
      </c>
      <c r="U1100" s="81">
        <f>DATEVALUE(LEFT(F1100,10))</f>
        <v>44970</v>
      </c>
    </row>
    <row r="1101" spans="1:21">
      <c r="A1101" s="56" t="s">
        <v>5842</v>
      </c>
      <c r="B1101" s="56" t="s">
        <v>295</v>
      </c>
      <c r="C1101" s="56" t="s">
        <v>5843</v>
      </c>
      <c r="D1101" s="56" t="s">
        <v>37</v>
      </c>
      <c r="E1101" s="56" t="s">
        <v>2939</v>
      </c>
      <c r="F1101" s="56" t="s">
        <v>5844</v>
      </c>
      <c r="G1101" s="56">
        <v>209</v>
      </c>
      <c r="H1101" s="56">
        <v>148</v>
      </c>
      <c r="I1101" s="56">
        <v>0.70813397129186606</v>
      </c>
      <c r="J1101" s="56" t="s">
        <v>5845</v>
      </c>
      <c r="K1101" s="56" t="s">
        <v>5593</v>
      </c>
      <c r="L1101" s="56" t="s">
        <v>3325</v>
      </c>
      <c r="M1101" s="56" t="str">
        <f>HYPERLINK("https://dribble.octin.io/?mode=Single+log&amp;log_id=7be338b4-f46b-4246-ac1a-4c621495101b","URL")</f>
        <v>URL</v>
      </c>
      <c r="N1101" s="56" t="s">
        <v>3472</v>
      </c>
      <c r="O1101" t="str">
        <f>_xlfn.XLOOKUP(N1101,'Error-codes'!$C$2:$C$130,'Error-codes'!$B$2:$B$130, "None")</f>
        <v>Excessive slip detected</v>
      </c>
      <c r="U1101" s="81">
        <f>DATEVALUE(LEFT(F1101,10))</f>
        <v>44970</v>
      </c>
    </row>
    <row r="1102" spans="1:21">
      <c r="A1102" s="56"/>
      <c r="B1102" s="56" t="s">
        <v>29</v>
      </c>
      <c r="C1102" s="56" t="s">
        <v>5846</v>
      </c>
      <c r="D1102" s="56" t="s">
        <v>388</v>
      </c>
      <c r="E1102" s="56" t="s">
        <v>2939</v>
      </c>
      <c r="F1102" s="56" t="s">
        <v>5847</v>
      </c>
      <c r="G1102" s="56">
        <v>6</v>
      </c>
      <c r="H1102" s="56">
        <v>0</v>
      </c>
      <c r="I1102" s="56">
        <v>0</v>
      </c>
      <c r="J1102" s="56" t="s">
        <v>5218</v>
      </c>
      <c r="K1102" s="56" t="s">
        <v>5593</v>
      </c>
      <c r="L1102" s="56" t="s">
        <v>3358</v>
      </c>
      <c r="N1102" s="56" t="s">
        <v>3468</v>
      </c>
      <c r="O1102" t="str">
        <f>_xlfn.XLOOKUP(N1102,'Error-codes'!$C$2:$C$130,'Error-codes'!$B$2:$B$130, "None")</f>
        <v>no vision heartbeat</v>
      </c>
      <c r="U1102" s="81">
        <f>DATEVALUE(LEFT(F1102,10))</f>
        <v>44970</v>
      </c>
    </row>
    <row r="1103" spans="1:21">
      <c r="A1103" s="56" t="s">
        <v>5848</v>
      </c>
      <c r="B1103" s="56" t="s">
        <v>295</v>
      </c>
      <c r="C1103" s="56" t="s">
        <v>5843</v>
      </c>
      <c r="D1103" s="56" t="s">
        <v>37</v>
      </c>
      <c r="E1103" s="56" t="s">
        <v>4371</v>
      </c>
      <c r="F1103" s="56" t="s">
        <v>5849</v>
      </c>
      <c r="G1103" s="56">
        <v>209</v>
      </c>
      <c r="H1103" s="56">
        <v>196</v>
      </c>
      <c r="I1103" s="56">
        <v>0.93779904306220097</v>
      </c>
      <c r="J1103" s="56" t="s">
        <v>5850</v>
      </c>
      <c r="K1103" s="56" t="s">
        <v>5593</v>
      </c>
      <c r="L1103" s="56" t="s">
        <v>3325</v>
      </c>
      <c r="M1103" s="56" t="str">
        <f>HYPERLINK("https://dribble.octin.io/?mode=Single+log&amp;log_id=cc250d2e-31a8-480f-acd8-df53b1ee5895","URL")</f>
        <v>URL</v>
      </c>
      <c r="N1103" s="56" t="s">
        <v>3470</v>
      </c>
      <c r="O1103" t="str">
        <f>_xlfn.XLOOKUP(N1103,'Error-codes'!$C$2:$C$130,'Error-codes'!$B$2:$B$130, "None")</f>
        <v>battery level critical low</v>
      </c>
      <c r="U1103" s="81">
        <f>DATEVALUE(LEFT(F1103,10))</f>
        <v>44970</v>
      </c>
    </row>
    <row r="1104" spans="1:21">
      <c r="B1104" s="56" t="s">
        <v>29</v>
      </c>
      <c r="C1104" s="56" t="s">
        <v>5846</v>
      </c>
      <c r="D1104" s="56" t="s">
        <v>388</v>
      </c>
      <c r="F1104" s="56" t="s">
        <v>5851</v>
      </c>
      <c r="G1104" s="56">
        <v>6</v>
      </c>
      <c r="H1104" s="56">
        <v>5</v>
      </c>
      <c r="I1104" s="56">
        <v>0.83333333333333337</v>
      </c>
      <c r="K1104" s="56" t="s">
        <v>5593</v>
      </c>
      <c r="L1104" s="56" t="s">
        <v>3358</v>
      </c>
      <c r="O1104">
        <f>_xlfn.XLOOKUP(N1104,'Error-codes'!$C$2:$C$130,'Error-codes'!$B$2:$B$130, "None")</f>
        <v>0</v>
      </c>
      <c r="U1104" s="81">
        <f>DATEVALUE(LEFT(F1104,10))</f>
        <v>44970</v>
      </c>
    </row>
    <row r="1105" spans="1:21">
      <c r="B1105" s="56" t="s">
        <v>3202</v>
      </c>
      <c r="C1105" s="56" t="s">
        <v>5852</v>
      </c>
      <c r="D1105" s="56" t="s">
        <v>388</v>
      </c>
      <c r="F1105" s="56" t="s">
        <v>5853</v>
      </c>
      <c r="G1105" s="56">
        <v>37</v>
      </c>
      <c r="H1105" s="56">
        <v>37</v>
      </c>
      <c r="I1105" s="56">
        <v>1</v>
      </c>
      <c r="K1105" s="56" t="s">
        <v>3207</v>
      </c>
      <c r="L1105" s="56" t="s">
        <v>5214</v>
      </c>
      <c r="O1105">
        <f>_xlfn.XLOOKUP(N1105,'Error-codes'!$C$2:$C$130,'Error-codes'!$B$2:$B$130, "None")</f>
        <v>0</v>
      </c>
      <c r="U1105" s="81">
        <f>DATEVALUE(LEFT(F1105,10))</f>
        <v>44970</v>
      </c>
    </row>
    <row r="1106" spans="1:21">
      <c r="A1106" s="56" t="s">
        <v>3368</v>
      </c>
      <c r="B1106" s="56" t="s">
        <v>3293</v>
      </c>
      <c r="C1106" s="56" t="s">
        <v>3369</v>
      </c>
      <c r="D1106" s="56" t="s">
        <v>388</v>
      </c>
      <c r="E1106" s="56" t="s">
        <v>2939</v>
      </c>
      <c r="F1106" s="56" t="s">
        <v>3370</v>
      </c>
      <c r="G1106" s="56">
        <v>22</v>
      </c>
      <c r="H1106" s="56">
        <v>18</v>
      </c>
      <c r="I1106" s="56">
        <v>0.81818181818181823</v>
      </c>
      <c r="J1106" s="56" t="s">
        <v>3296</v>
      </c>
      <c r="K1106" s="56" t="s">
        <v>3207</v>
      </c>
      <c r="L1106" s="56" t="s">
        <v>3297</v>
      </c>
      <c r="M1106" s="56" t="str">
        <f>HYPERLINK("https://dribble.octin.io/?mode=Single+log&amp;log_id=ce98e237-0fd8-44c7-86be-047da647dcb0","URL")</f>
        <v>URL</v>
      </c>
      <c r="N1106" s="56" t="s">
        <v>2933</v>
      </c>
      <c r="O1106" t="str">
        <f>_xlfn.XLOOKUP(N1106,'Error-codes'!$C$2:$C$130,'Error-codes'!$B$2:$B$130, "None")</f>
        <v>inductive sensor error</v>
      </c>
      <c r="P1106" t="s">
        <v>5854</v>
      </c>
      <c r="R1106" t="s">
        <v>2896</v>
      </c>
      <c r="U1106" s="81">
        <f>DATEVALUE(LEFT(F1106,10))</f>
        <v>44970</v>
      </c>
    </row>
    <row r="1107" spans="1:21">
      <c r="B1107" s="56" t="s">
        <v>3293</v>
      </c>
      <c r="C1107" s="56" t="s">
        <v>3369</v>
      </c>
      <c r="D1107" s="56" t="s">
        <v>388</v>
      </c>
      <c r="F1107" s="56" t="s">
        <v>5855</v>
      </c>
      <c r="G1107" s="56">
        <v>22</v>
      </c>
      <c r="H1107" s="56">
        <v>21</v>
      </c>
      <c r="I1107" s="56">
        <v>0.95454545454545459</v>
      </c>
      <c r="K1107" s="56" t="s">
        <v>3207</v>
      </c>
      <c r="L1107" s="56" t="s">
        <v>3297</v>
      </c>
      <c r="O1107">
        <f>_xlfn.XLOOKUP(N1107,'Error-codes'!$C$2:$C$130,'Error-codes'!$B$2:$B$130, "None")</f>
        <v>0</v>
      </c>
      <c r="U1107" s="81">
        <f>DATEVALUE(LEFT(F1107,10))</f>
        <v>44970</v>
      </c>
    </row>
    <row r="1108" spans="1:21">
      <c r="A1108" s="56" t="s">
        <v>5856</v>
      </c>
      <c r="B1108" s="56" t="s">
        <v>228</v>
      </c>
      <c r="C1108" s="56" t="s">
        <v>5857</v>
      </c>
      <c r="D1108" s="56" t="s">
        <v>37</v>
      </c>
      <c r="E1108" s="56" t="s">
        <v>2939</v>
      </c>
      <c r="F1108" s="56" t="s">
        <v>5858</v>
      </c>
      <c r="G1108" s="56">
        <v>104</v>
      </c>
      <c r="H1108" s="56">
        <v>85</v>
      </c>
      <c r="I1108" s="56">
        <v>0.81730769230769229</v>
      </c>
      <c r="J1108" s="56" t="s">
        <v>5859</v>
      </c>
      <c r="K1108" s="56" t="s">
        <v>2166</v>
      </c>
      <c r="L1108" s="56" t="s">
        <v>2932</v>
      </c>
      <c r="M1108" s="56" t="str">
        <f>HYPERLINK("https://dribble.octin.io/?mode=Single+log&amp;log_id=3595d80b-bd59-4c13-893c-4aa4493f0e22","URL")</f>
        <v>URL</v>
      </c>
      <c r="N1108" s="56" t="s">
        <v>3472</v>
      </c>
      <c r="O1108" t="str">
        <f>_xlfn.XLOOKUP(N1108,'Error-codes'!$C$2:$C$130,'Error-codes'!$B$2:$B$130, "None")</f>
        <v>Excessive slip detected</v>
      </c>
      <c r="P1108" t="s">
        <v>3326</v>
      </c>
      <c r="U1108" s="81">
        <f>DATEVALUE(LEFT(F1108,10))</f>
        <v>44971</v>
      </c>
    </row>
    <row r="1109" spans="1:21">
      <c r="A1109" s="56" t="s">
        <v>5860</v>
      </c>
      <c r="B1109" s="56" t="s">
        <v>228</v>
      </c>
      <c r="C1109" s="56" t="s">
        <v>5857</v>
      </c>
      <c r="D1109" s="56" t="s">
        <v>37</v>
      </c>
      <c r="E1109" s="56" t="s">
        <v>2939</v>
      </c>
      <c r="F1109" s="56" t="s">
        <v>5861</v>
      </c>
      <c r="G1109" s="56">
        <v>104</v>
      </c>
      <c r="H1109" s="56">
        <v>98</v>
      </c>
      <c r="I1109" s="56">
        <v>0.94230769230769229</v>
      </c>
      <c r="J1109" s="56" t="s">
        <v>5862</v>
      </c>
      <c r="K1109" s="56" t="s">
        <v>2166</v>
      </c>
      <c r="L1109" s="56" t="s">
        <v>2932</v>
      </c>
      <c r="M1109" s="56" t="str">
        <f>HYPERLINK("https://dribble.octin.io/?mode=Single+log&amp;log_id=3cb7db2c-5f98-4e26-88d9-485d3f257f92","URL")</f>
        <v>URL</v>
      </c>
      <c r="N1109" s="56" t="s">
        <v>3472</v>
      </c>
      <c r="O1109" t="str">
        <f>_xlfn.XLOOKUP(N1109,'Error-codes'!$C$2:$C$130,'Error-codes'!$B$2:$B$130, "None")</f>
        <v>Excessive slip detected</v>
      </c>
      <c r="P1109" t="s">
        <v>3326</v>
      </c>
      <c r="U1109" s="81">
        <f>DATEVALUE(LEFT(F1109,10))</f>
        <v>44971</v>
      </c>
    </row>
    <row r="1110" spans="1:21">
      <c r="A1110" s="56" t="s">
        <v>5863</v>
      </c>
      <c r="B1110" s="56" t="s">
        <v>228</v>
      </c>
      <c r="C1110" s="56" t="s">
        <v>5857</v>
      </c>
      <c r="D1110" s="56" t="s">
        <v>37</v>
      </c>
      <c r="E1110" s="56" t="s">
        <v>4222</v>
      </c>
      <c r="F1110" s="56" t="s">
        <v>5864</v>
      </c>
      <c r="G1110" s="56">
        <v>104</v>
      </c>
      <c r="H1110" s="56">
        <v>101</v>
      </c>
      <c r="I1110" s="56">
        <v>0.97115384615384615</v>
      </c>
      <c r="J1110" s="56" t="s">
        <v>5865</v>
      </c>
      <c r="K1110" s="56" t="s">
        <v>2166</v>
      </c>
      <c r="L1110" s="56" t="s">
        <v>2932</v>
      </c>
      <c r="M1110" s="56" t="str">
        <f>HYPERLINK("https://dribble.octin.io/?mode=Single+log&amp;log_id=47e6b71a-6205-4dab-81b9-b2b5a1f76eea","URL")</f>
        <v>URL</v>
      </c>
      <c r="N1110" s="56" t="s">
        <v>3458</v>
      </c>
      <c r="O1110" t="str">
        <f>_xlfn.XLOOKUP(N1110,'Error-codes'!$C$2:$C$130,'Error-codes'!$B$2:$B$130, "None")</f>
        <v>motor drive: UNDER VOLTAGE</v>
      </c>
      <c r="P1110" t="s">
        <v>3326</v>
      </c>
      <c r="U1110" s="81">
        <f>DATEVALUE(LEFT(F1110,10))</f>
        <v>44971</v>
      </c>
    </row>
    <row r="1111" spans="1:21">
      <c r="A1111" s="56" t="s">
        <v>5866</v>
      </c>
      <c r="B1111" s="56" t="s">
        <v>3263</v>
      </c>
      <c r="C1111" s="56" t="s">
        <v>5867</v>
      </c>
      <c r="D1111" s="56" t="s">
        <v>37</v>
      </c>
      <c r="E1111" s="56" t="s">
        <v>2939</v>
      </c>
      <c r="F1111" s="56" t="s">
        <v>5868</v>
      </c>
      <c r="G1111" s="56">
        <v>82</v>
      </c>
      <c r="H1111" s="56">
        <v>37</v>
      </c>
      <c r="I1111" s="56">
        <v>0.45121951219512196</v>
      </c>
      <c r="J1111" s="56" t="s">
        <v>5869</v>
      </c>
      <c r="K1111" s="56" t="s">
        <v>3268</v>
      </c>
      <c r="L1111" s="56" t="s">
        <v>3269</v>
      </c>
      <c r="M1111" s="56" t="str">
        <f>HYPERLINK("https://dribble.octin.io/?mode=Single+log&amp;log_id=d77cbb34-933a-4b23-85aa-afeaa66e3edc","URL")</f>
        <v>URL</v>
      </c>
      <c r="N1111" s="56" t="s">
        <v>5870</v>
      </c>
      <c r="O1111" t="str">
        <f>_xlfn.XLOOKUP(N1111,'Error-codes'!$C$2:$C$130,'Error-codes'!$B$2:$B$130, "None")</f>
        <v>None</v>
      </c>
      <c r="R1111" t="s">
        <v>2903</v>
      </c>
      <c r="U1111" s="81">
        <f>DATEVALUE(LEFT(F1111,10))</f>
        <v>44971</v>
      </c>
    </row>
    <row r="1112" spans="1:21">
      <c r="A1112" s="56" t="s">
        <v>5871</v>
      </c>
      <c r="B1112" s="56" t="s">
        <v>3263</v>
      </c>
      <c r="C1112" s="56" t="s">
        <v>5867</v>
      </c>
      <c r="D1112" s="56" t="s">
        <v>37</v>
      </c>
      <c r="E1112" s="56" t="s">
        <v>4228</v>
      </c>
      <c r="F1112" s="56" t="s">
        <v>5872</v>
      </c>
      <c r="G1112" s="56">
        <v>82</v>
      </c>
      <c r="H1112" s="56">
        <v>58</v>
      </c>
      <c r="I1112" s="56">
        <v>0.70731707317073167</v>
      </c>
      <c r="J1112" s="56" t="s">
        <v>5873</v>
      </c>
      <c r="K1112" s="56" t="s">
        <v>3268</v>
      </c>
      <c r="L1112" s="56" t="s">
        <v>3269</v>
      </c>
      <c r="M1112" s="56" t="str">
        <f>HYPERLINK("https://dribble.octin.io/?mode=Single+log&amp;log_id=19f3221a-1bd2-4096-a812-9434d11dd115","URL")</f>
        <v>URL</v>
      </c>
      <c r="N1112" s="56" t="s">
        <v>3454</v>
      </c>
      <c r="O1112" t="str">
        <f>_xlfn.XLOOKUP(N1112,'Error-codes'!$C$2:$C$130,'Error-codes'!$B$2:$B$130, "None")</f>
        <v>Veh low level FSM: safety was triggered</v>
      </c>
      <c r="P1112" t="s">
        <v>5874</v>
      </c>
      <c r="R1112" t="s">
        <v>2892</v>
      </c>
      <c r="U1112" s="81">
        <f>DATEVALUE(LEFT(F1112,10))</f>
        <v>44971</v>
      </c>
    </row>
    <row r="1113" spans="1:21">
      <c r="A1113" s="56"/>
      <c r="B1113" s="56" t="s">
        <v>295</v>
      </c>
      <c r="C1113" s="56" t="s">
        <v>5875</v>
      </c>
      <c r="D1113" s="56" t="s">
        <v>37</v>
      </c>
      <c r="E1113" s="56" t="s">
        <v>3242</v>
      </c>
      <c r="F1113" s="56" t="s">
        <v>5876</v>
      </c>
      <c r="G1113" s="56">
        <v>72</v>
      </c>
      <c r="H1113" s="56">
        <v>0</v>
      </c>
      <c r="I1113" s="56">
        <v>0</v>
      </c>
      <c r="J1113" s="56" t="s">
        <v>5521</v>
      </c>
      <c r="K1113" s="56" t="s">
        <v>5612</v>
      </c>
      <c r="L1113" s="56" t="s">
        <v>3325</v>
      </c>
      <c r="N1113" s="56" t="s">
        <v>3468</v>
      </c>
      <c r="O1113" t="str">
        <f>_xlfn.XLOOKUP(N1113,'Error-codes'!$C$2:$C$130,'Error-codes'!$B$2:$B$130, "None")</f>
        <v>no vision heartbeat</v>
      </c>
      <c r="R1113" t="s">
        <v>2905</v>
      </c>
      <c r="U1113" s="81">
        <f>DATEVALUE(LEFT(F1113,10))</f>
        <v>44971</v>
      </c>
    </row>
    <row r="1114" spans="1:21">
      <c r="A1114" s="56" t="s">
        <v>5877</v>
      </c>
      <c r="B1114" s="56" t="s">
        <v>29</v>
      </c>
      <c r="C1114" s="56" t="s">
        <v>5878</v>
      </c>
      <c r="D1114" s="56" t="s">
        <v>37</v>
      </c>
      <c r="E1114" s="56" t="s">
        <v>2939</v>
      </c>
      <c r="F1114" s="56" t="s">
        <v>5879</v>
      </c>
      <c r="G1114" s="56">
        <v>153</v>
      </c>
      <c r="H1114" s="56">
        <v>6</v>
      </c>
      <c r="I1114" s="56">
        <v>3.9215686274509803E-2</v>
      </c>
      <c r="J1114" s="56" t="s">
        <v>5241</v>
      </c>
      <c r="K1114" s="56" t="s">
        <v>5612</v>
      </c>
      <c r="L1114" s="56" t="s">
        <v>3358</v>
      </c>
      <c r="M1114" s="56" t="str">
        <f>HYPERLINK("https://dribble.octin.io/?mode=Single+log&amp;log_id=53cf9a8d-0a7f-4a5d-95eb-c9c97c15c09d","URL")</f>
        <v>URL</v>
      </c>
      <c r="N1114" s="56" t="s">
        <v>3472</v>
      </c>
      <c r="O1114" t="str">
        <f>_xlfn.XLOOKUP(N1114,'Error-codes'!$C$2:$C$130,'Error-codes'!$B$2:$B$130, "None")</f>
        <v>Excessive slip detected</v>
      </c>
      <c r="P1114" t="s">
        <v>5880</v>
      </c>
      <c r="R1114" t="s">
        <v>2897</v>
      </c>
      <c r="U1114" s="81">
        <f>DATEVALUE(LEFT(F1114,10))</f>
        <v>44971</v>
      </c>
    </row>
    <row r="1115" spans="1:21">
      <c r="B1115" s="56" t="s">
        <v>3202</v>
      </c>
      <c r="C1115" s="56" t="s">
        <v>5881</v>
      </c>
      <c r="D1115" s="56" t="s">
        <v>388</v>
      </c>
      <c r="F1115" s="56" t="s">
        <v>5882</v>
      </c>
      <c r="G1115" s="56">
        <v>37</v>
      </c>
      <c r="H1115" s="56">
        <v>37</v>
      </c>
      <c r="I1115" s="56">
        <v>1</v>
      </c>
      <c r="K1115" s="56" t="s">
        <v>3207</v>
      </c>
      <c r="L1115" s="56" t="s">
        <v>3302</v>
      </c>
      <c r="O1115">
        <f>_xlfn.XLOOKUP(N1115,'Error-codes'!$C$2:$C$130,'Error-codes'!$B$2:$B$130, "None")</f>
        <v>0</v>
      </c>
      <c r="U1115" s="81">
        <f>DATEVALUE(LEFT(F1115,10))</f>
        <v>44971</v>
      </c>
    </row>
    <row r="1116" spans="1:21">
      <c r="B1116" s="56" t="s">
        <v>3293</v>
      </c>
      <c r="C1116" s="56" t="s">
        <v>5883</v>
      </c>
      <c r="D1116" s="56" t="s">
        <v>388</v>
      </c>
      <c r="F1116" s="56" t="s">
        <v>5884</v>
      </c>
      <c r="G1116" s="56">
        <v>22</v>
      </c>
      <c r="H1116" s="56">
        <v>22</v>
      </c>
      <c r="I1116" s="56">
        <v>1</v>
      </c>
      <c r="K1116" s="56" t="s">
        <v>3207</v>
      </c>
      <c r="L1116" s="56" t="s">
        <v>3297</v>
      </c>
      <c r="O1116">
        <f>_xlfn.XLOOKUP(N1116,'Error-codes'!$C$2:$C$130,'Error-codes'!$B$2:$B$130, "None")</f>
        <v>0</v>
      </c>
      <c r="U1116" s="81">
        <f>DATEVALUE(LEFT(F1116,10))</f>
        <v>44971</v>
      </c>
    </row>
    <row r="1117" spans="1:21">
      <c r="A1117" s="56" t="s">
        <v>5885</v>
      </c>
      <c r="B1117" s="56" t="s">
        <v>29</v>
      </c>
      <c r="C1117" s="56" t="s">
        <v>5878</v>
      </c>
      <c r="D1117" s="56" t="s">
        <v>37</v>
      </c>
      <c r="E1117" s="56" t="s">
        <v>2939</v>
      </c>
      <c r="F1117" s="56" t="s">
        <v>5886</v>
      </c>
      <c r="G1117" s="56">
        <v>153</v>
      </c>
      <c r="H1117" s="56">
        <v>45</v>
      </c>
      <c r="I1117" s="56">
        <v>0.29411764705882354</v>
      </c>
      <c r="J1117" s="56" t="s">
        <v>5887</v>
      </c>
      <c r="K1117" s="56" t="s">
        <v>5612</v>
      </c>
      <c r="L1117" s="56" t="s">
        <v>3358</v>
      </c>
      <c r="M1117" s="56" t="str">
        <f>HYPERLINK("https://dribble.octin.io/?mode=Single+log&amp;log_id=51840db5-8518-4db6-a3b5-2bda65c48638","URL")</f>
        <v>URL</v>
      </c>
      <c r="N1117" s="56" t="s">
        <v>3472</v>
      </c>
      <c r="O1117" t="str">
        <f>_xlfn.XLOOKUP(N1117,'Error-codes'!$C$2:$C$130,'Error-codes'!$B$2:$B$130, "None")</f>
        <v>Excessive slip detected</v>
      </c>
      <c r="P1117" t="s">
        <v>5880</v>
      </c>
      <c r="R1117" t="s">
        <v>2897</v>
      </c>
      <c r="U1117" s="81">
        <f>DATEVALUE(LEFT(F1117,10))</f>
        <v>44971</v>
      </c>
    </row>
    <row r="1118" spans="1:21">
      <c r="A1118" s="56" t="s">
        <v>5888</v>
      </c>
      <c r="B1118" s="56" t="s">
        <v>29</v>
      </c>
      <c r="C1118" s="56" t="s">
        <v>5878</v>
      </c>
      <c r="D1118" s="56" t="s">
        <v>37</v>
      </c>
      <c r="E1118" s="56" t="s">
        <v>2939</v>
      </c>
      <c r="F1118" s="56" t="s">
        <v>5889</v>
      </c>
      <c r="G1118" s="56">
        <v>153</v>
      </c>
      <c r="H1118" s="56">
        <v>71</v>
      </c>
      <c r="I1118" s="56">
        <v>0.46405228758169936</v>
      </c>
      <c r="J1118" s="56" t="s">
        <v>5890</v>
      </c>
      <c r="K1118" s="56" t="s">
        <v>5612</v>
      </c>
      <c r="L1118" s="56" t="s">
        <v>3358</v>
      </c>
      <c r="M1118" s="56" t="str">
        <f>HYPERLINK("https://dribble.octin.io/?mode=Single+log&amp;log_id=229143d7-0547-4724-89b5-6aacf1a5d790","URL")</f>
        <v>URL</v>
      </c>
      <c r="N1118" s="56" t="s">
        <v>3446</v>
      </c>
      <c r="O1118" t="str">
        <f>_xlfn.XLOOKUP(N1118,'Error-codes'!$C$2:$C$130,'Error-codes'!$B$2:$B$130, "None")</f>
        <v>end of lane wall sensor error</v>
      </c>
      <c r="P1118" t="s">
        <v>5891</v>
      </c>
      <c r="R1118" t="s">
        <v>2898</v>
      </c>
      <c r="U1118" s="81">
        <f>DATEVALUE(LEFT(F1118,10))</f>
        <v>44971</v>
      </c>
    </row>
    <row r="1119" spans="1:21">
      <c r="A1119" s="56" t="s">
        <v>5892</v>
      </c>
      <c r="B1119" s="56" t="s">
        <v>29</v>
      </c>
      <c r="C1119" s="56" t="s">
        <v>5878</v>
      </c>
      <c r="D1119" s="56" t="s">
        <v>37</v>
      </c>
      <c r="E1119" s="56" t="s">
        <v>2939</v>
      </c>
      <c r="F1119" s="56" t="s">
        <v>5893</v>
      </c>
      <c r="G1119" s="56">
        <v>153</v>
      </c>
      <c r="H1119" s="56">
        <v>116</v>
      </c>
      <c r="I1119" s="56">
        <v>0.75816993464052285</v>
      </c>
      <c r="J1119" s="56" t="s">
        <v>5894</v>
      </c>
      <c r="K1119" s="56" t="s">
        <v>5612</v>
      </c>
      <c r="L1119" s="56" t="s">
        <v>3358</v>
      </c>
      <c r="M1119" s="56" t="str">
        <f>HYPERLINK("https://dribble.octin.io/?mode=Single+log&amp;log_id=7c62da9b-051f-4d42-befa-9ce72f8e3495","URL")</f>
        <v>URL</v>
      </c>
      <c r="N1119" s="56" t="s">
        <v>3446</v>
      </c>
      <c r="O1119" t="str">
        <f>_xlfn.XLOOKUP(N1119,'Error-codes'!$C$2:$C$130,'Error-codes'!$B$2:$B$130, "None")</f>
        <v>end of lane wall sensor error</v>
      </c>
      <c r="P1119" t="s">
        <v>5891</v>
      </c>
      <c r="R1119" t="s">
        <v>2898</v>
      </c>
      <c r="U1119" s="81">
        <f>DATEVALUE(LEFT(F1119,10))</f>
        <v>44972</v>
      </c>
    </row>
    <row r="1120" spans="1:21">
      <c r="A1120" s="56" t="s">
        <v>5895</v>
      </c>
      <c r="B1120" s="56" t="s">
        <v>29</v>
      </c>
      <c r="C1120" s="56" t="s">
        <v>5878</v>
      </c>
      <c r="D1120" s="56" t="s">
        <v>37</v>
      </c>
      <c r="E1120" s="56" t="s">
        <v>4253</v>
      </c>
      <c r="F1120" s="56" t="s">
        <v>5896</v>
      </c>
      <c r="G1120" s="56">
        <v>153</v>
      </c>
      <c r="H1120" s="56">
        <v>151</v>
      </c>
      <c r="I1120" s="56">
        <v>0.98692810457516345</v>
      </c>
      <c r="J1120" s="56" t="s">
        <v>5897</v>
      </c>
      <c r="K1120" s="56" t="s">
        <v>5612</v>
      </c>
      <c r="L1120" s="56" t="s">
        <v>3358</v>
      </c>
      <c r="M1120" s="56" t="str">
        <f>HYPERLINK("https://dribble.octin.io/?mode=Single+log&amp;log_id=08cf22a0-47c5-4903-866e-c141a42aeac4","URL")</f>
        <v>URL</v>
      </c>
      <c r="N1120" s="56" t="s">
        <v>3460</v>
      </c>
      <c r="O1120" t="str">
        <f>_xlfn.XLOOKUP(N1120,'Error-codes'!$C$2:$C$130,'Error-codes'!$B$2:$B$130, "None")</f>
        <v>motor drive: DRV8353 FAULT</v>
      </c>
      <c r="P1120" t="s">
        <v>5898</v>
      </c>
      <c r="R1120" t="s">
        <v>2894</v>
      </c>
      <c r="U1120" s="81">
        <f>DATEVALUE(LEFT(F1120,10))</f>
        <v>44972</v>
      </c>
    </row>
    <row r="1121" spans="1:21">
      <c r="A1121" s="56" t="s">
        <v>5899</v>
      </c>
      <c r="B1121" s="56" t="s">
        <v>295</v>
      </c>
      <c r="C1121" s="56" t="s">
        <v>5900</v>
      </c>
      <c r="D1121" s="56" t="s">
        <v>37</v>
      </c>
      <c r="E1121" s="56" t="s">
        <v>4371</v>
      </c>
      <c r="F1121" s="56" t="s">
        <v>5901</v>
      </c>
      <c r="G1121" s="56">
        <v>221</v>
      </c>
      <c r="H1121" s="56">
        <v>155</v>
      </c>
      <c r="I1121" s="56">
        <v>0.70135746606334837</v>
      </c>
      <c r="J1121" s="56" t="s">
        <v>5902</v>
      </c>
      <c r="K1121" s="56" t="s">
        <v>5612</v>
      </c>
      <c r="L1121" s="56" t="s">
        <v>3325</v>
      </c>
      <c r="M1121" s="56" t="str">
        <f>HYPERLINK("https://dribble.octin.io/?mode=Single+log&amp;log_id=d3bd2739-3846-48ae-8400-4b8b5db7db17","URL")</f>
        <v>URL</v>
      </c>
      <c r="N1121" s="56" t="s">
        <v>3470</v>
      </c>
      <c r="O1121" t="str">
        <f>_xlfn.XLOOKUP(N1121,'Error-codes'!$C$2:$C$130,'Error-codes'!$B$2:$B$130, "None")</f>
        <v>battery level critical low</v>
      </c>
      <c r="P1121" t="s">
        <v>3326</v>
      </c>
      <c r="U1121" s="81">
        <f>DATEVALUE(LEFT(F1121,10))</f>
        <v>44972</v>
      </c>
    </row>
    <row r="1122" spans="1:21">
      <c r="A1122" s="56"/>
      <c r="B1122" s="56" t="s">
        <v>295</v>
      </c>
      <c r="C1122" s="56" t="s">
        <v>5903</v>
      </c>
      <c r="D1122" s="56" t="s">
        <v>37</v>
      </c>
      <c r="E1122" s="56" t="s">
        <v>2939</v>
      </c>
      <c r="F1122" s="56" t="s">
        <v>5904</v>
      </c>
      <c r="G1122" s="56">
        <v>69</v>
      </c>
      <c r="H1122" s="56">
        <v>0</v>
      </c>
      <c r="I1122" s="56">
        <v>0</v>
      </c>
      <c r="J1122" s="56" t="s">
        <v>5902</v>
      </c>
      <c r="K1122" s="56" t="s">
        <v>5612</v>
      </c>
      <c r="L1122" s="56" t="s">
        <v>3325</v>
      </c>
      <c r="N1122" s="56" t="s">
        <v>3468</v>
      </c>
      <c r="O1122" t="str">
        <f>_xlfn.XLOOKUP(N1122,'Error-codes'!$C$2:$C$130,'Error-codes'!$B$2:$B$130, "None")</f>
        <v>no vision heartbeat</v>
      </c>
      <c r="U1122" s="81">
        <f>DATEVALUE(LEFT(F1122,10))</f>
        <v>44972</v>
      </c>
    </row>
    <row r="1123" spans="1:21">
      <c r="A1123" s="56"/>
      <c r="B1123" s="56" t="s">
        <v>295</v>
      </c>
      <c r="C1123" s="56" t="s">
        <v>5903</v>
      </c>
      <c r="D1123" s="56" t="s">
        <v>37</v>
      </c>
      <c r="E1123" s="56" t="s">
        <v>2939</v>
      </c>
      <c r="F1123" s="56" t="s">
        <v>5905</v>
      </c>
      <c r="G1123" s="56">
        <v>69</v>
      </c>
      <c r="H1123" s="56">
        <v>1</v>
      </c>
      <c r="I1123" s="56">
        <v>1.4492753623188406E-2</v>
      </c>
      <c r="J1123" s="56" t="s">
        <v>5902</v>
      </c>
      <c r="K1123" s="56" t="s">
        <v>5612</v>
      </c>
      <c r="L1123" s="56" t="s">
        <v>3325</v>
      </c>
      <c r="N1123" s="56" t="s">
        <v>3468</v>
      </c>
      <c r="O1123" t="str">
        <f>_xlfn.XLOOKUP(N1123,'Error-codes'!$C$2:$C$130,'Error-codes'!$B$2:$B$130, "None")</f>
        <v>no vision heartbeat</v>
      </c>
      <c r="U1123" s="81">
        <f>DATEVALUE(LEFT(F1123,10))</f>
        <v>44972</v>
      </c>
    </row>
    <row r="1124" spans="1:21">
      <c r="A1124" s="56"/>
      <c r="B1124" s="56" t="s">
        <v>295</v>
      </c>
      <c r="C1124" s="56" t="s">
        <v>5903</v>
      </c>
      <c r="D1124" s="56" t="s">
        <v>37</v>
      </c>
      <c r="E1124" s="56" t="s">
        <v>3242</v>
      </c>
      <c r="F1124" s="56" t="s">
        <v>5906</v>
      </c>
      <c r="G1124" s="56">
        <v>69</v>
      </c>
      <c r="H1124" s="56">
        <v>2</v>
      </c>
      <c r="I1124" s="56">
        <v>2.8985507246376812E-2</v>
      </c>
      <c r="J1124" s="56" t="s">
        <v>5902</v>
      </c>
      <c r="K1124" s="56" t="s">
        <v>5612</v>
      </c>
      <c r="L1124" s="56" t="s">
        <v>3325</v>
      </c>
      <c r="N1124" s="56" t="s">
        <v>3468</v>
      </c>
      <c r="O1124" t="str">
        <f>_xlfn.XLOOKUP(N1124,'Error-codes'!$C$2:$C$130,'Error-codes'!$B$2:$B$130, "None")</f>
        <v>no vision heartbeat</v>
      </c>
      <c r="U1124" s="81">
        <f>DATEVALUE(LEFT(F1124,10))</f>
        <v>44972</v>
      </c>
    </row>
    <row r="1125" spans="1:21">
      <c r="A1125" s="56"/>
      <c r="B1125" s="56" t="s">
        <v>295</v>
      </c>
      <c r="C1125" s="56" t="s">
        <v>5907</v>
      </c>
      <c r="D1125" s="56" t="s">
        <v>37</v>
      </c>
      <c r="E1125" s="56" t="s">
        <v>3242</v>
      </c>
      <c r="F1125" s="56" t="s">
        <v>5908</v>
      </c>
      <c r="G1125" s="56">
        <v>67</v>
      </c>
      <c r="H1125" s="56">
        <v>0</v>
      </c>
      <c r="I1125" s="56">
        <v>0</v>
      </c>
      <c r="J1125" s="56" t="s">
        <v>5902</v>
      </c>
      <c r="K1125" s="56" t="s">
        <v>5612</v>
      </c>
      <c r="L1125" s="56" t="s">
        <v>3325</v>
      </c>
      <c r="N1125" s="56" t="s">
        <v>3468</v>
      </c>
      <c r="O1125" t="str">
        <f>_xlfn.XLOOKUP(N1125,'Error-codes'!$C$2:$C$130,'Error-codes'!$B$2:$B$130, "None")</f>
        <v>no vision heartbeat</v>
      </c>
      <c r="U1125" s="81">
        <f>DATEVALUE(LEFT(F1125,10))</f>
        <v>44972</v>
      </c>
    </row>
    <row r="1126" spans="1:21">
      <c r="A1126" s="56"/>
      <c r="B1126" s="56" t="s">
        <v>295</v>
      </c>
      <c r="C1126" s="56" t="s">
        <v>5909</v>
      </c>
      <c r="D1126" s="56" t="s">
        <v>37</v>
      </c>
      <c r="E1126" s="56" t="s">
        <v>2939</v>
      </c>
      <c r="F1126" s="56" t="s">
        <v>5910</v>
      </c>
      <c r="G1126" s="56">
        <v>69</v>
      </c>
      <c r="H1126" s="56">
        <v>0</v>
      </c>
      <c r="I1126" s="56">
        <v>0</v>
      </c>
      <c r="J1126" s="56" t="s">
        <v>5911</v>
      </c>
      <c r="K1126" s="56" t="s">
        <v>5612</v>
      </c>
      <c r="L1126" s="56" t="s">
        <v>3325</v>
      </c>
      <c r="N1126" s="56" t="s">
        <v>3468</v>
      </c>
      <c r="O1126" t="str">
        <f>_xlfn.XLOOKUP(N1126,'Error-codes'!$C$2:$C$130,'Error-codes'!$B$2:$B$130, "None")</f>
        <v>no vision heartbeat</v>
      </c>
      <c r="U1126" s="81">
        <f>DATEVALUE(LEFT(F1126,10))</f>
        <v>44972</v>
      </c>
    </row>
    <row r="1127" spans="1:21">
      <c r="A1127" s="56"/>
      <c r="B1127" s="56" t="s">
        <v>295</v>
      </c>
      <c r="C1127" s="56" t="s">
        <v>5909</v>
      </c>
      <c r="D1127" s="56" t="s">
        <v>37</v>
      </c>
      <c r="E1127" s="56" t="s">
        <v>2939</v>
      </c>
      <c r="F1127" s="56" t="s">
        <v>5912</v>
      </c>
      <c r="G1127" s="56">
        <v>69</v>
      </c>
      <c r="H1127" s="56">
        <v>1</v>
      </c>
      <c r="I1127" s="56">
        <v>1.4492753623188406E-2</v>
      </c>
      <c r="J1127" s="56" t="s">
        <v>5911</v>
      </c>
      <c r="K1127" s="56" t="s">
        <v>5612</v>
      </c>
      <c r="L1127" s="56" t="s">
        <v>3325</v>
      </c>
      <c r="N1127" s="56" t="s">
        <v>3468</v>
      </c>
      <c r="O1127" t="str">
        <f>_xlfn.XLOOKUP(N1127,'Error-codes'!$C$2:$C$130,'Error-codes'!$B$2:$B$130, "None")</f>
        <v>no vision heartbeat</v>
      </c>
      <c r="U1127" s="81">
        <f>DATEVALUE(LEFT(F1127,10))</f>
        <v>44972</v>
      </c>
    </row>
    <row r="1128" spans="1:21">
      <c r="A1128" s="56"/>
      <c r="B1128" s="56" t="s">
        <v>295</v>
      </c>
      <c r="C1128" s="56" t="s">
        <v>5909</v>
      </c>
      <c r="D1128" s="56" t="s">
        <v>37</v>
      </c>
      <c r="E1128" s="56" t="s">
        <v>2939</v>
      </c>
      <c r="F1128" s="56" t="s">
        <v>5913</v>
      </c>
      <c r="G1128" s="56">
        <v>69</v>
      </c>
      <c r="H1128" s="56">
        <v>2</v>
      </c>
      <c r="I1128" s="56">
        <v>2.8985507246376812E-2</v>
      </c>
      <c r="J1128" s="56" t="s">
        <v>5911</v>
      </c>
      <c r="K1128" s="56" t="s">
        <v>5612</v>
      </c>
      <c r="L1128" s="56" t="s">
        <v>3325</v>
      </c>
      <c r="N1128" s="56" t="s">
        <v>3468</v>
      </c>
      <c r="O1128" t="str">
        <f>_xlfn.XLOOKUP(N1128,'Error-codes'!$C$2:$C$130,'Error-codes'!$B$2:$B$130, "None")</f>
        <v>no vision heartbeat</v>
      </c>
      <c r="U1128" s="81">
        <f>DATEVALUE(LEFT(F1128,10))</f>
        <v>44972</v>
      </c>
    </row>
    <row r="1129" spans="1:21">
      <c r="A1129" s="56"/>
      <c r="B1129" s="56" t="s">
        <v>295</v>
      </c>
      <c r="C1129" s="56" t="s">
        <v>5909</v>
      </c>
      <c r="D1129" s="56" t="s">
        <v>37</v>
      </c>
      <c r="E1129" s="56" t="s">
        <v>3242</v>
      </c>
      <c r="F1129" s="56" t="s">
        <v>5914</v>
      </c>
      <c r="G1129" s="56">
        <v>69</v>
      </c>
      <c r="H1129" s="56">
        <v>3</v>
      </c>
      <c r="I1129" s="56">
        <v>4.3478260869565216E-2</v>
      </c>
      <c r="J1129" s="56" t="s">
        <v>5911</v>
      </c>
      <c r="K1129" s="56" t="s">
        <v>5612</v>
      </c>
      <c r="L1129" s="56" t="s">
        <v>3325</v>
      </c>
      <c r="N1129" s="56" t="s">
        <v>3468</v>
      </c>
      <c r="O1129" t="str">
        <f>_xlfn.XLOOKUP(N1129,'Error-codes'!$C$2:$C$130,'Error-codes'!$B$2:$B$130, "None")</f>
        <v>no vision heartbeat</v>
      </c>
      <c r="U1129" s="81">
        <f>DATEVALUE(LEFT(F1129,10))</f>
        <v>44972</v>
      </c>
    </row>
    <row r="1130" spans="1:21">
      <c r="A1130" s="56"/>
      <c r="B1130" s="56" t="s">
        <v>29</v>
      </c>
      <c r="C1130" s="56" t="s">
        <v>5915</v>
      </c>
      <c r="D1130" s="56" t="s">
        <v>37</v>
      </c>
      <c r="E1130" s="56" t="s">
        <v>5773</v>
      </c>
      <c r="F1130" s="56" t="s">
        <v>5916</v>
      </c>
      <c r="G1130" s="56">
        <v>154</v>
      </c>
      <c r="H1130" s="56">
        <v>30</v>
      </c>
      <c r="I1130" s="56">
        <v>0.19480519480519481</v>
      </c>
      <c r="J1130" s="56" t="s">
        <v>5760</v>
      </c>
      <c r="K1130" s="56" t="s">
        <v>5593</v>
      </c>
      <c r="L1130" s="56" t="s">
        <v>3358</v>
      </c>
      <c r="N1130" s="56" t="s">
        <v>3456</v>
      </c>
      <c r="O1130" t="str">
        <f>_xlfn.XLOOKUP(N1130,'Error-codes'!$C$2:$C$130,'Error-codes'!$B$2:$B$130, "None")</f>
        <v>motor drive: OVER VOLTAGE</v>
      </c>
      <c r="U1130" s="81">
        <f>DATEVALUE(LEFT(F1130,10))</f>
        <v>44972</v>
      </c>
    </row>
    <row r="1131" spans="1:21">
      <c r="A1131" s="56"/>
      <c r="B1131" s="56" t="s">
        <v>228</v>
      </c>
      <c r="C1131" s="56" t="s">
        <v>5917</v>
      </c>
      <c r="D1131" s="56" t="s">
        <v>37</v>
      </c>
      <c r="E1131" s="56" t="s">
        <v>2939</v>
      </c>
      <c r="F1131" s="56" t="s">
        <v>5918</v>
      </c>
      <c r="G1131" s="56">
        <v>105</v>
      </c>
      <c r="H1131" s="56">
        <v>2</v>
      </c>
      <c r="I1131" s="56">
        <v>1.9047619047619049E-2</v>
      </c>
      <c r="J1131" s="56" t="s">
        <v>5919</v>
      </c>
      <c r="K1131" s="56" t="s">
        <v>2171</v>
      </c>
      <c r="L1131" s="56" t="s">
        <v>2932</v>
      </c>
      <c r="N1131" s="56" t="s">
        <v>2933</v>
      </c>
      <c r="O1131" t="str">
        <f>_xlfn.XLOOKUP(N1131,'Error-codes'!$C$2:$C$130,'Error-codes'!$B$2:$B$130, "None")</f>
        <v>inductive sensor error</v>
      </c>
      <c r="U1131" s="81">
        <f>DATEVALUE(LEFT(F1131,10))</f>
        <v>44972</v>
      </c>
    </row>
    <row r="1132" spans="1:21">
      <c r="B1132" s="56" t="s">
        <v>3293</v>
      </c>
      <c r="C1132" s="56" t="s">
        <v>5920</v>
      </c>
      <c r="D1132" s="56" t="s">
        <v>388</v>
      </c>
      <c r="F1132" s="56" t="s">
        <v>5921</v>
      </c>
      <c r="G1132" s="56">
        <v>23</v>
      </c>
      <c r="H1132" s="56">
        <v>23</v>
      </c>
      <c r="I1132" s="56">
        <v>1</v>
      </c>
      <c r="K1132" s="56" t="s">
        <v>3207</v>
      </c>
      <c r="L1132" s="56" t="s">
        <v>3297</v>
      </c>
      <c r="O1132">
        <f>_xlfn.XLOOKUP(N1132,'Error-codes'!$C$2:$C$130,'Error-codes'!$B$2:$B$130, "None")</f>
        <v>0</v>
      </c>
      <c r="U1132" s="81">
        <f>DATEVALUE(LEFT(F1132,10))</f>
        <v>44972</v>
      </c>
    </row>
    <row r="1133" spans="1:21">
      <c r="A1133" s="56"/>
      <c r="B1133" s="56" t="s">
        <v>228</v>
      </c>
      <c r="C1133" s="56" t="s">
        <v>5917</v>
      </c>
      <c r="D1133" s="56" t="s">
        <v>37</v>
      </c>
      <c r="E1133" s="56" t="s">
        <v>2939</v>
      </c>
      <c r="F1133" s="56" t="s">
        <v>5922</v>
      </c>
      <c r="G1133" s="56">
        <v>105</v>
      </c>
      <c r="H1133" s="56">
        <v>4</v>
      </c>
      <c r="I1133" s="56">
        <v>3.8095238095238099E-2</v>
      </c>
      <c r="J1133" s="56" t="s">
        <v>2172</v>
      </c>
      <c r="K1133" s="56" t="s">
        <v>2171</v>
      </c>
      <c r="L1133" s="56" t="s">
        <v>2932</v>
      </c>
      <c r="N1133" s="56" t="s">
        <v>2933</v>
      </c>
      <c r="O1133" t="str">
        <f>_xlfn.XLOOKUP(N1133,'Error-codes'!$C$2:$C$130,'Error-codes'!$B$2:$B$130, "None")</f>
        <v>inductive sensor error</v>
      </c>
      <c r="U1133" s="81">
        <f>DATEVALUE(LEFT(F1133,10))</f>
        <v>44972</v>
      </c>
    </row>
    <row r="1134" spans="1:21">
      <c r="A1134" s="56"/>
      <c r="B1134" s="56" t="s">
        <v>2886</v>
      </c>
      <c r="C1134" s="56" t="s">
        <v>5923</v>
      </c>
      <c r="D1134" s="56" t="s">
        <v>37</v>
      </c>
      <c r="E1134" s="56" t="s">
        <v>3204</v>
      </c>
      <c r="F1134" s="56" t="s">
        <v>5924</v>
      </c>
      <c r="G1134" s="56">
        <v>103</v>
      </c>
      <c r="H1134" s="56">
        <v>9</v>
      </c>
      <c r="I1134" s="56">
        <v>8.7378640776699032E-2</v>
      </c>
      <c r="J1134" s="56" t="s">
        <v>4709</v>
      </c>
      <c r="K1134" s="56" t="s">
        <v>2171</v>
      </c>
      <c r="L1134" s="56" t="s">
        <v>2932</v>
      </c>
      <c r="N1134" s="56" t="s">
        <v>2933</v>
      </c>
      <c r="O1134" t="str">
        <f>_xlfn.XLOOKUP(N1134,'Error-codes'!$C$2:$C$130,'Error-codes'!$B$2:$B$130, "None")</f>
        <v>inductive sensor error</v>
      </c>
      <c r="U1134" s="81">
        <f>DATEVALUE(LEFT(F1134,10))</f>
        <v>44972</v>
      </c>
    </row>
    <row r="1135" spans="1:21">
      <c r="A1135" s="56"/>
      <c r="B1135" s="56" t="s">
        <v>2886</v>
      </c>
      <c r="C1135" s="56" t="s">
        <v>5923</v>
      </c>
      <c r="D1135" s="56" t="s">
        <v>37</v>
      </c>
      <c r="E1135" s="56" t="s">
        <v>2939</v>
      </c>
      <c r="F1135" s="56" t="s">
        <v>5925</v>
      </c>
      <c r="G1135" s="56">
        <v>103</v>
      </c>
      <c r="H1135" s="56">
        <v>7</v>
      </c>
      <c r="I1135" s="56">
        <v>6.7961165048543687E-2</v>
      </c>
      <c r="J1135" s="56" t="s">
        <v>5926</v>
      </c>
      <c r="K1135" s="56" t="s">
        <v>2171</v>
      </c>
      <c r="L1135" s="56" t="s">
        <v>2932</v>
      </c>
      <c r="N1135" s="56" t="s">
        <v>3446</v>
      </c>
      <c r="O1135" t="str">
        <f>_xlfn.XLOOKUP(N1135,'Error-codes'!$C$2:$C$130,'Error-codes'!$B$2:$B$130, "None")</f>
        <v>end of lane wall sensor error</v>
      </c>
      <c r="U1135" s="81">
        <f>DATEVALUE(LEFT(F1135,10))</f>
        <v>44972</v>
      </c>
    </row>
    <row r="1136" spans="1:21">
      <c r="A1136" s="56"/>
      <c r="B1136" s="56" t="s">
        <v>228</v>
      </c>
      <c r="C1136" s="56" t="s">
        <v>5917</v>
      </c>
      <c r="D1136" s="56" t="s">
        <v>37</v>
      </c>
      <c r="E1136" s="56" t="s">
        <v>2939</v>
      </c>
      <c r="F1136" s="56" t="s">
        <v>5927</v>
      </c>
      <c r="G1136" s="56">
        <v>105</v>
      </c>
      <c r="H1136" s="56">
        <v>16</v>
      </c>
      <c r="I1136" s="56">
        <v>0.15238095238095239</v>
      </c>
      <c r="J1136" s="56" t="s">
        <v>5928</v>
      </c>
      <c r="K1136" s="56" t="s">
        <v>2171</v>
      </c>
      <c r="L1136" s="56" t="s">
        <v>2932</v>
      </c>
      <c r="N1136" s="56" t="s">
        <v>2933</v>
      </c>
      <c r="O1136" t="str">
        <f>_xlfn.XLOOKUP(N1136,'Error-codes'!$C$2:$C$130,'Error-codes'!$B$2:$B$130, "None")</f>
        <v>inductive sensor error</v>
      </c>
      <c r="U1136" s="81">
        <f>DATEVALUE(LEFT(F1136,10))</f>
        <v>44972</v>
      </c>
    </row>
    <row r="1137" spans="1:21">
      <c r="A1137" s="56"/>
      <c r="B1137" s="56" t="s">
        <v>228</v>
      </c>
      <c r="C1137" s="56" t="s">
        <v>5917</v>
      </c>
      <c r="D1137" s="56" t="s">
        <v>37</v>
      </c>
      <c r="E1137" s="56" t="s">
        <v>3288</v>
      </c>
      <c r="F1137" s="56" t="s">
        <v>5929</v>
      </c>
      <c r="G1137" s="56">
        <v>105</v>
      </c>
      <c r="H1137" s="56">
        <v>47</v>
      </c>
      <c r="I1137" s="56">
        <v>0.44761904761904764</v>
      </c>
      <c r="J1137" s="56" t="s">
        <v>5930</v>
      </c>
      <c r="K1137" s="56" t="s">
        <v>2171</v>
      </c>
      <c r="L1137" s="56" t="s">
        <v>2932</v>
      </c>
      <c r="N1137" s="56" t="s">
        <v>3472</v>
      </c>
      <c r="O1137" t="str">
        <f>_xlfn.XLOOKUP(N1137,'Error-codes'!$C$2:$C$130,'Error-codes'!$B$2:$B$130, "None")</f>
        <v>Excessive slip detected</v>
      </c>
      <c r="U1137" s="81">
        <f>DATEVALUE(LEFT(F1137,10))</f>
        <v>44972</v>
      </c>
    </row>
    <row r="1138" spans="1:21">
      <c r="A1138" s="56" t="s">
        <v>5931</v>
      </c>
      <c r="B1138" s="56" t="s">
        <v>295</v>
      </c>
      <c r="C1138" s="56" t="s">
        <v>5932</v>
      </c>
      <c r="D1138" s="56" t="s">
        <v>37</v>
      </c>
      <c r="E1138" s="56" t="s">
        <v>4228</v>
      </c>
      <c r="F1138" s="56" t="s">
        <v>5933</v>
      </c>
      <c r="G1138" s="56">
        <v>66</v>
      </c>
      <c r="H1138" s="56">
        <v>23</v>
      </c>
      <c r="I1138" s="56">
        <v>0.34848484848484851</v>
      </c>
      <c r="J1138" s="56" t="s">
        <v>5934</v>
      </c>
      <c r="K1138" s="56" t="s">
        <v>5612</v>
      </c>
      <c r="L1138" s="56" t="s">
        <v>3325</v>
      </c>
      <c r="M1138" s="56" t="str">
        <f>HYPERLINK("https://dribble.octin.io/?mode=Single+log&amp;log_id=dc5e9a8d-f77e-4766-be8d-8cf3c5c513b5","URL")</f>
        <v>URL</v>
      </c>
      <c r="N1138" s="56" t="s">
        <v>3454</v>
      </c>
      <c r="O1138" t="str">
        <f>_xlfn.XLOOKUP(N1138,'Error-codes'!$C$2:$C$130,'Error-codes'!$B$2:$B$130, "None")</f>
        <v>Veh low level FSM: safety was triggered</v>
      </c>
      <c r="P1138" t="s">
        <v>5935</v>
      </c>
      <c r="R1138" t="s">
        <v>2892</v>
      </c>
      <c r="U1138" s="81">
        <f>DATEVALUE(LEFT(F1138,10))</f>
        <v>44973</v>
      </c>
    </row>
    <row r="1139" spans="1:21">
      <c r="A1139" s="56"/>
      <c r="B1139" s="56" t="s">
        <v>295</v>
      </c>
      <c r="C1139" s="56" t="s">
        <v>5936</v>
      </c>
      <c r="D1139" s="56" t="s">
        <v>37</v>
      </c>
      <c r="E1139" s="56" t="s">
        <v>2939</v>
      </c>
      <c r="F1139" s="56" t="s">
        <v>5937</v>
      </c>
      <c r="G1139" s="56">
        <v>44</v>
      </c>
      <c r="H1139" s="56">
        <v>0</v>
      </c>
      <c r="I1139" s="56">
        <v>0</v>
      </c>
      <c r="J1139" s="56" t="s">
        <v>5934</v>
      </c>
      <c r="K1139" s="56" t="s">
        <v>5612</v>
      </c>
      <c r="L1139" s="56" t="s">
        <v>3325</v>
      </c>
      <c r="N1139" s="56" t="s">
        <v>3468</v>
      </c>
      <c r="O1139" t="str">
        <f>_xlfn.XLOOKUP(N1139,'Error-codes'!$C$2:$C$130,'Error-codes'!$B$2:$B$130, "None")</f>
        <v>no vision heartbeat</v>
      </c>
      <c r="U1139" s="81">
        <f>DATEVALUE(LEFT(F1139,10))</f>
        <v>44973</v>
      </c>
    </row>
    <row r="1140" spans="1:21">
      <c r="A1140" s="56"/>
      <c r="B1140" s="56" t="s">
        <v>295</v>
      </c>
      <c r="C1140" s="56" t="s">
        <v>5936</v>
      </c>
      <c r="D1140" s="56" t="s">
        <v>37</v>
      </c>
      <c r="E1140" s="56" t="s">
        <v>3242</v>
      </c>
      <c r="F1140" s="56" t="s">
        <v>5938</v>
      </c>
      <c r="G1140" s="56">
        <v>44</v>
      </c>
      <c r="H1140" s="56">
        <v>1</v>
      </c>
      <c r="I1140" s="56">
        <v>2.2727272727272728E-2</v>
      </c>
      <c r="J1140" s="56" t="s">
        <v>5934</v>
      </c>
      <c r="K1140" s="56" t="s">
        <v>5612</v>
      </c>
      <c r="L1140" s="56" t="s">
        <v>3325</v>
      </c>
      <c r="N1140" s="56" t="s">
        <v>3468</v>
      </c>
      <c r="O1140" t="str">
        <f>_xlfn.XLOOKUP(N1140,'Error-codes'!$C$2:$C$130,'Error-codes'!$B$2:$B$130, "None")</f>
        <v>no vision heartbeat</v>
      </c>
      <c r="U1140" s="81">
        <f>DATEVALUE(LEFT(F1140,10))</f>
        <v>44973</v>
      </c>
    </row>
    <row r="1141" spans="1:21">
      <c r="A1141" s="56" t="s">
        <v>5939</v>
      </c>
      <c r="B1141" s="56" t="s">
        <v>3202</v>
      </c>
      <c r="C1141" s="56" t="s">
        <v>5940</v>
      </c>
      <c r="D1141" s="56" t="s">
        <v>37</v>
      </c>
      <c r="E1141" s="56" t="s">
        <v>2939</v>
      </c>
      <c r="F1141" s="56" t="s">
        <v>5941</v>
      </c>
      <c r="G1141" s="56">
        <v>44</v>
      </c>
      <c r="H1141" s="56">
        <v>1</v>
      </c>
      <c r="I1141" s="56">
        <v>2.2727272727272728E-2</v>
      </c>
      <c r="J1141" s="56" t="s">
        <v>3229</v>
      </c>
      <c r="K1141" s="56" t="s">
        <v>3207</v>
      </c>
      <c r="L1141" s="56" t="s">
        <v>3237</v>
      </c>
      <c r="M1141" s="56" t="str">
        <f>HYPERLINK("https://dribble.octin.io/?mode=Single+log&amp;log_id=98b0dfde-6332-468a-a44b-16f53a17b7de","URL")</f>
        <v>URL</v>
      </c>
      <c r="N1141" s="56" t="s">
        <v>2933</v>
      </c>
      <c r="O1141" t="str">
        <f>_xlfn.XLOOKUP(N1141,'Error-codes'!$C$2:$C$130,'Error-codes'!$B$2:$B$130, "None")</f>
        <v>inductive sensor error</v>
      </c>
      <c r="R1141" t="s">
        <v>2901</v>
      </c>
      <c r="U1141" s="81">
        <f>DATEVALUE(LEFT(F1141,10))</f>
        <v>44973</v>
      </c>
    </row>
    <row r="1142" spans="1:21">
      <c r="A1142" s="56" t="s">
        <v>5942</v>
      </c>
      <c r="B1142" s="56" t="s">
        <v>3202</v>
      </c>
      <c r="C1142" s="56" t="s">
        <v>5940</v>
      </c>
      <c r="D1142" s="56" t="s">
        <v>37</v>
      </c>
      <c r="E1142" s="56" t="s">
        <v>2939</v>
      </c>
      <c r="F1142" s="56" t="s">
        <v>5943</v>
      </c>
      <c r="G1142" s="56">
        <v>44</v>
      </c>
      <c r="H1142" s="56">
        <v>2</v>
      </c>
      <c r="I1142" s="56">
        <v>4.5454545454545456E-2</v>
      </c>
      <c r="J1142" s="56" t="s">
        <v>3226</v>
      </c>
      <c r="K1142" s="56" t="s">
        <v>3207</v>
      </c>
      <c r="L1142" s="56" t="s">
        <v>3237</v>
      </c>
      <c r="M1142" s="56" t="str">
        <f>HYPERLINK("https://dribble.octin.io/?mode=Single+log&amp;log_id=2e598b84-2f49-474a-9aeb-7dc7466515fb","URL")</f>
        <v>URL</v>
      </c>
      <c r="N1142" s="56" t="s">
        <v>3450</v>
      </c>
      <c r="O1142" t="str">
        <f>_xlfn.XLOOKUP(N1142,'Error-codes'!$C$2:$C$130,'Error-codes'!$B$2:$B$130, "None")</f>
        <v>xtheta sensor error</v>
      </c>
      <c r="R1142" t="s">
        <v>2908</v>
      </c>
      <c r="U1142" s="81">
        <f>DATEVALUE(LEFT(F1142,10))</f>
        <v>44973</v>
      </c>
    </row>
    <row r="1143" spans="1:21">
      <c r="A1143" s="56" t="s">
        <v>5944</v>
      </c>
      <c r="B1143" s="56" t="s">
        <v>3202</v>
      </c>
      <c r="C1143" s="56" t="s">
        <v>5940</v>
      </c>
      <c r="D1143" s="56" t="s">
        <v>37</v>
      </c>
      <c r="E1143" s="56" t="s">
        <v>3253</v>
      </c>
      <c r="F1143" s="56" t="s">
        <v>5945</v>
      </c>
      <c r="G1143" s="56">
        <v>44</v>
      </c>
      <c r="H1143" s="56">
        <v>6</v>
      </c>
      <c r="I1143" s="56">
        <v>0.13636363636363635</v>
      </c>
      <c r="J1143" s="56" t="s">
        <v>5358</v>
      </c>
      <c r="K1143" s="56" t="s">
        <v>3207</v>
      </c>
      <c r="L1143" s="56" t="s">
        <v>3237</v>
      </c>
      <c r="M1143" s="56" t="str">
        <f>HYPERLINK("https://dribble.octin.io/?mode=Single+log&amp;log_id=26b38174-063a-4bb5-a0b1-92916398c18e","URL")</f>
        <v>URL</v>
      </c>
      <c r="N1143" s="56" t="s">
        <v>3454</v>
      </c>
      <c r="O1143" t="str">
        <f>_xlfn.XLOOKUP(N1143,'Error-codes'!$C$2:$C$130,'Error-codes'!$B$2:$B$130, "None")</f>
        <v>Veh low level FSM: safety was triggered</v>
      </c>
      <c r="R1143" t="s">
        <v>2893</v>
      </c>
      <c r="U1143" s="81">
        <f>DATEVALUE(LEFT(F1143,10))</f>
        <v>44973</v>
      </c>
    </row>
    <row r="1144" spans="1:21">
      <c r="A1144" s="56"/>
      <c r="B1144" s="56" t="s">
        <v>295</v>
      </c>
      <c r="C1144" s="56" t="s">
        <v>5946</v>
      </c>
      <c r="D1144" s="56" t="s">
        <v>388</v>
      </c>
      <c r="E1144" s="56" t="s">
        <v>2939</v>
      </c>
      <c r="F1144" s="56" t="s">
        <v>5947</v>
      </c>
      <c r="G1144" s="56">
        <v>43</v>
      </c>
      <c r="H1144" s="56">
        <v>35</v>
      </c>
      <c r="I1144" s="56">
        <v>0.81395348837209303</v>
      </c>
      <c r="J1144" s="56" t="s">
        <v>5782</v>
      </c>
      <c r="K1144" s="56" t="s">
        <v>5612</v>
      </c>
      <c r="L1144" s="56" t="s">
        <v>3325</v>
      </c>
      <c r="N1144" s="56" t="s">
        <v>3446</v>
      </c>
      <c r="O1144" t="str">
        <f>_xlfn.XLOOKUP(N1144,'Error-codes'!$C$2:$C$130,'Error-codes'!$B$2:$B$130, "None")</f>
        <v>end of lane wall sensor error</v>
      </c>
      <c r="U1144" s="81">
        <f>DATEVALUE(LEFT(F1144,10))</f>
        <v>44973</v>
      </c>
    </row>
    <row r="1145" spans="1:21">
      <c r="B1145" s="56" t="s">
        <v>295</v>
      </c>
      <c r="C1145" s="56" t="s">
        <v>5946</v>
      </c>
      <c r="D1145" s="56" t="s">
        <v>388</v>
      </c>
      <c r="F1145" s="56" t="s">
        <v>5948</v>
      </c>
      <c r="G1145" s="56">
        <v>43</v>
      </c>
      <c r="H1145" s="56">
        <v>42</v>
      </c>
      <c r="I1145" s="56">
        <v>0.97674418604651159</v>
      </c>
      <c r="K1145" s="56" t="s">
        <v>5612</v>
      </c>
      <c r="L1145" s="56" t="s">
        <v>3325</v>
      </c>
      <c r="O1145">
        <f>_xlfn.XLOOKUP(N1145,'Error-codes'!$C$2:$C$130,'Error-codes'!$B$2:$B$130, "None")</f>
        <v>0</v>
      </c>
      <c r="U1145" s="81">
        <f>DATEVALUE(LEFT(F1145,10))</f>
        <v>44973</v>
      </c>
    </row>
    <row r="1146" spans="1:21">
      <c r="A1146" s="56" t="s">
        <v>5949</v>
      </c>
      <c r="B1146" s="56" t="s">
        <v>3293</v>
      </c>
      <c r="C1146" s="56" t="s">
        <v>5950</v>
      </c>
      <c r="D1146" s="56" t="s">
        <v>388</v>
      </c>
      <c r="E1146" s="56" t="s">
        <v>2939</v>
      </c>
      <c r="F1146" s="56" t="s">
        <v>5951</v>
      </c>
      <c r="G1146" s="56">
        <v>22</v>
      </c>
      <c r="H1146" s="56">
        <v>18</v>
      </c>
      <c r="I1146" s="56">
        <v>0.81818181818181823</v>
      </c>
      <c r="J1146" s="56" t="s">
        <v>3296</v>
      </c>
      <c r="K1146" s="56" t="s">
        <v>3207</v>
      </c>
      <c r="L1146" s="56" t="s">
        <v>3297</v>
      </c>
      <c r="M1146" s="56" t="str">
        <f>HYPERLINK("https://dribble.octin.io/?mode=Single+log&amp;log_id=f4efd564-e25c-43fd-96b8-9e85bba06c59","URL")</f>
        <v>URL</v>
      </c>
      <c r="N1146" s="56" t="s">
        <v>2933</v>
      </c>
      <c r="O1146" t="str">
        <f>_xlfn.XLOOKUP(N1146,'Error-codes'!$C$2:$C$130,'Error-codes'!$B$2:$B$130, "None")</f>
        <v>inductive sensor error</v>
      </c>
      <c r="P1146" t="s">
        <v>5952</v>
      </c>
      <c r="R1146" t="s">
        <v>2896</v>
      </c>
      <c r="U1146" s="81">
        <f>DATEVALUE(LEFT(F1146,10))</f>
        <v>44973</v>
      </c>
    </row>
    <row r="1147" spans="1:21">
      <c r="B1147" s="56" t="s">
        <v>3293</v>
      </c>
      <c r="C1147" s="56" t="s">
        <v>5950</v>
      </c>
      <c r="D1147" s="56" t="s">
        <v>388</v>
      </c>
      <c r="F1147" s="56" t="s">
        <v>5953</v>
      </c>
      <c r="G1147" s="56">
        <v>22</v>
      </c>
      <c r="H1147" s="56">
        <v>21</v>
      </c>
      <c r="I1147" s="56">
        <v>0.95454545454545459</v>
      </c>
      <c r="K1147" s="56" t="s">
        <v>3207</v>
      </c>
      <c r="L1147" s="56" t="s">
        <v>3297</v>
      </c>
      <c r="O1147">
        <f>_xlfn.XLOOKUP(N1147,'Error-codes'!$C$2:$C$130,'Error-codes'!$B$2:$B$130, "None")</f>
        <v>0</v>
      </c>
      <c r="U1147" s="81">
        <f>DATEVALUE(LEFT(F1147,10))</f>
        <v>44973</v>
      </c>
    </row>
    <row r="1148" spans="1:21">
      <c r="A1148" s="56"/>
      <c r="B1148" s="56" t="s">
        <v>29</v>
      </c>
      <c r="C1148" s="56" t="s">
        <v>5954</v>
      </c>
      <c r="D1148" s="56" t="s">
        <v>388</v>
      </c>
      <c r="E1148" s="56" t="s">
        <v>2939</v>
      </c>
      <c r="F1148" s="56" t="s">
        <v>5955</v>
      </c>
      <c r="G1148" s="56">
        <v>78</v>
      </c>
      <c r="H1148" s="56">
        <v>73</v>
      </c>
      <c r="I1148" s="56">
        <v>0.9358974358974359</v>
      </c>
      <c r="J1148" s="56" t="s">
        <v>5218</v>
      </c>
      <c r="K1148" s="56" t="s">
        <v>5593</v>
      </c>
      <c r="L1148" s="56" t="s">
        <v>3358</v>
      </c>
      <c r="N1148" s="56" t="s">
        <v>3472</v>
      </c>
      <c r="O1148" t="str">
        <f>_xlfn.XLOOKUP(N1148,'Error-codes'!$C$2:$C$130,'Error-codes'!$B$2:$B$130, "None")</f>
        <v>Excessive slip detected</v>
      </c>
      <c r="U1148" s="81">
        <f>DATEVALUE(LEFT(F1148,10))</f>
        <v>44973</v>
      </c>
    </row>
    <row r="1149" spans="1:21">
      <c r="B1149" s="56" t="s">
        <v>29</v>
      </c>
      <c r="C1149" s="56" t="s">
        <v>5954</v>
      </c>
      <c r="D1149" s="56" t="s">
        <v>388</v>
      </c>
      <c r="F1149" s="56" t="s">
        <v>5956</v>
      </c>
      <c r="G1149" s="56">
        <v>78</v>
      </c>
      <c r="H1149" s="56">
        <v>77</v>
      </c>
      <c r="I1149" s="56">
        <v>0.98717948717948723</v>
      </c>
      <c r="K1149" s="56" t="s">
        <v>5593</v>
      </c>
      <c r="L1149" s="56" t="s">
        <v>3358</v>
      </c>
      <c r="O1149">
        <f>_xlfn.XLOOKUP(N1149,'Error-codes'!$C$2:$C$130,'Error-codes'!$B$2:$B$130, "None")</f>
        <v>0</v>
      </c>
      <c r="U1149" s="81">
        <f>DATEVALUE(LEFT(F1149,10))</f>
        <v>44973</v>
      </c>
    </row>
    <row r="1150" spans="1:21">
      <c r="B1150" s="56" t="s">
        <v>2886</v>
      </c>
      <c r="C1150" s="56" t="s">
        <v>5957</v>
      </c>
      <c r="D1150" s="56" t="s">
        <v>22</v>
      </c>
      <c r="F1150" s="56" t="s">
        <v>5958</v>
      </c>
      <c r="G1150" s="56">
        <v>101</v>
      </c>
      <c r="H1150" s="56">
        <v>1</v>
      </c>
      <c r="I1150" s="56">
        <v>9.9009900990099011E-3</v>
      </c>
      <c r="K1150" s="56" t="s">
        <v>2171</v>
      </c>
      <c r="L1150" s="56" t="s">
        <v>2932</v>
      </c>
      <c r="O1150">
        <f>_xlfn.XLOOKUP(N1150,'Error-codes'!$C$2:$C$130,'Error-codes'!$B$2:$B$130, "None")</f>
        <v>0</v>
      </c>
      <c r="U1150" s="81">
        <f>DATEVALUE(LEFT(F1150,10))</f>
        <v>44973</v>
      </c>
    </row>
    <row r="1151" spans="1:21">
      <c r="A1151" s="56" t="s">
        <v>5959</v>
      </c>
      <c r="B1151" s="56" t="s">
        <v>2886</v>
      </c>
      <c r="C1151" s="56" t="s">
        <v>5960</v>
      </c>
      <c r="D1151" s="56" t="s">
        <v>37</v>
      </c>
      <c r="E1151" s="56" t="s">
        <v>4222</v>
      </c>
      <c r="F1151" s="56" t="s">
        <v>5961</v>
      </c>
      <c r="G1151" s="56">
        <v>102</v>
      </c>
      <c r="H1151" s="56">
        <v>1</v>
      </c>
      <c r="I1151" s="56">
        <v>9.8039215686274508E-3</v>
      </c>
      <c r="J1151" s="56" t="s">
        <v>2186</v>
      </c>
      <c r="K1151" s="56" t="s">
        <v>2171</v>
      </c>
      <c r="L1151" s="56" t="s">
        <v>2932</v>
      </c>
      <c r="M1151" s="56" t="str">
        <f>HYPERLINK("https://dribble.octin.io/?mode=Single+log&amp;log_id=b8d7a7da-9f50-4295-871f-0f0d3cae55db","URL")</f>
        <v>URL</v>
      </c>
      <c r="N1151" s="56" t="s">
        <v>3458</v>
      </c>
      <c r="O1151" t="str">
        <f>_xlfn.XLOOKUP(N1151,'Error-codes'!$C$2:$C$130,'Error-codes'!$B$2:$B$130, "None")</f>
        <v>motor drive: UNDER VOLTAGE</v>
      </c>
      <c r="U1151" s="81">
        <f>DATEVALUE(LEFT(F1151,10))</f>
        <v>44973</v>
      </c>
    </row>
    <row r="1152" spans="1:21">
      <c r="A1152" s="56"/>
      <c r="B1152" s="56" t="s">
        <v>2886</v>
      </c>
      <c r="C1152" s="56" t="s">
        <v>5962</v>
      </c>
      <c r="D1152" s="56" t="s">
        <v>37</v>
      </c>
      <c r="E1152" s="56" t="s">
        <v>2939</v>
      </c>
      <c r="F1152" s="56" t="s">
        <v>5963</v>
      </c>
      <c r="G1152" s="56">
        <v>102</v>
      </c>
      <c r="H1152" s="56">
        <v>1</v>
      </c>
      <c r="I1152" s="56">
        <v>9.8039215686274508E-3</v>
      </c>
      <c r="J1152" s="56" t="s">
        <v>5919</v>
      </c>
      <c r="K1152" s="56" t="s">
        <v>2171</v>
      </c>
      <c r="L1152" s="56" t="s">
        <v>2932</v>
      </c>
      <c r="N1152" s="56" t="s">
        <v>2933</v>
      </c>
      <c r="O1152" t="str">
        <f>_xlfn.XLOOKUP(N1152,'Error-codes'!$C$2:$C$130,'Error-codes'!$B$2:$B$130, "None")</f>
        <v>inductive sensor error</v>
      </c>
      <c r="U1152" s="81">
        <f>DATEVALUE(LEFT(F1152,10))</f>
        <v>44973</v>
      </c>
    </row>
    <row r="1153" spans="1:21">
      <c r="A1153" s="56"/>
      <c r="B1153" s="56" t="s">
        <v>2886</v>
      </c>
      <c r="C1153" s="56" t="s">
        <v>5962</v>
      </c>
      <c r="D1153" s="56" t="s">
        <v>37</v>
      </c>
      <c r="E1153" s="56" t="s">
        <v>3204</v>
      </c>
      <c r="F1153" s="56" t="s">
        <v>5964</v>
      </c>
      <c r="G1153" s="56">
        <v>102</v>
      </c>
      <c r="H1153" s="56">
        <v>8</v>
      </c>
      <c r="I1153" s="56">
        <v>7.8431372549019607E-2</v>
      </c>
      <c r="J1153" s="56" t="s">
        <v>5965</v>
      </c>
      <c r="K1153" s="56" t="s">
        <v>2171</v>
      </c>
      <c r="L1153" s="56" t="s">
        <v>2932</v>
      </c>
      <c r="N1153" s="56" t="s">
        <v>2933</v>
      </c>
      <c r="O1153" t="str">
        <f>_xlfn.XLOOKUP(N1153,'Error-codes'!$C$2:$C$130,'Error-codes'!$B$2:$B$130, "None")</f>
        <v>inductive sensor error</v>
      </c>
      <c r="U1153" s="81">
        <f>DATEVALUE(LEFT(F1153,10))</f>
        <v>44973</v>
      </c>
    </row>
    <row r="1154" spans="1:21">
      <c r="A1154" s="56"/>
      <c r="B1154" s="56" t="s">
        <v>228</v>
      </c>
      <c r="C1154" s="56" t="s">
        <v>5966</v>
      </c>
      <c r="D1154" s="56" t="s">
        <v>37</v>
      </c>
      <c r="E1154" s="56" t="s">
        <v>5244</v>
      </c>
      <c r="F1154" s="56" t="s">
        <v>5967</v>
      </c>
      <c r="G1154" s="56">
        <v>102</v>
      </c>
      <c r="H1154" s="56">
        <v>20</v>
      </c>
      <c r="I1154" s="56">
        <v>0.19607843137254902</v>
      </c>
      <c r="J1154" s="56" t="s">
        <v>4238</v>
      </c>
      <c r="K1154" s="56" t="s">
        <v>2171</v>
      </c>
      <c r="L1154" s="56" t="s">
        <v>2932</v>
      </c>
      <c r="N1154" s="56" t="s">
        <v>3426</v>
      </c>
      <c r="O1154" t="str">
        <f>_xlfn.XLOOKUP(N1154,'Error-codes'!$C$2:$C$130,'Error-codes'!$B$2:$B$130, "None")</f>
        <v>low level fsm is no longer executing the given command</v>
      </c>
      <c r="U1154" s="81">
        <f>DATEVALUE(LEFT(F1154,10))</f>
        <v>44973</v>
      </c>
    </row>
    <row r="1155" spans="1:21">
      <c r="B1155" s="56" t="s">
        <v>3263</v>
      </c>
      <c r="C1155" s="56" t="s">
        <v>5968</v>
      </c>
      <c r="D1155" s="56" t="s">
        <v>388</v>
      </c>
      <c r="F1155" s="56" t="s">
        <v>5969</v>
      </c>
      <c r="G1155" s="56">
        <v>82</v>
      </c>
      <c r="H1155" s="56">
        <v>82</v>
      </c>
      <c r="I1155" s="56">
        <v>1</v>
      </c>
      <c r="K1155" s="56" t="s">
        <v>3280</v>
      </c>
      <c r="L1155" s="56" t="s">
        <v>3269</v>
      </c>
      <c r="O1155">
        <f>_xlfn.XLOOKUP(N1155,'Error-codes'!$C$2:$C$130,'Error-codes'!$B$2:$B$130, "None")</f>
        <v>0</v>
      </c>
      <c r="U1155" s="81">
        <f>DATEVALUE(LEFT(F1155,10))</f>
        <v>44974</v>
      </c>
    </row>
    <row r="1156" spans="1:21">
      <c r="B1156" s="56" t="s">
        <v>3293</v>
      </c>
      <c r="C1156" s="56" t="s">
        <v>5970</v>
      </c>
      <c r="D1156" s="56"/>
      <c r="F1156" s="56" t="s">
        <v>5971</v>
      </c>
      <c r="G1156" s="56">
        <v>19</v>
      </c>
      <c r="H1156" s="56">
        <v>2</v>
      </c>
      <c r="I1156" s="56">
        <v>0.10526315789473684</v>
      </c>
      <c r="K1156" s="56" t="s">
        <v>3207</v>
      </c>
      <c r="L1156" s="56" t="s">
        <v>5286</v>
      </c>
      <c r="O1156">
        <f>_xlfn.XLOOKUP(N1156,'Error-codes'!$C$2:$C$130,'Error-codes'!$B$2:$B$130, "None")</f>
        <v>0</v>
      </c>
      <c r="U1156" s="81">
        <f>DATEVALUE(LEFT(F1156,10))</f>
        <v>44974</v>
      </c>
    </row>
    <row r="1157" spans="1:21">
      <c r="A1157" s="56"/>
      <c r="B1157" s="56" t="s">
        <v>29</v>
      </c>
      <c r="C1157" s="56" t="s">
        <v>5972</v>
      </c>
      <c r="D1157" s="56" t="s">
        <v>37</v>
      </c>
      <c r="E1157" s="56" t="s">
        <v>2939</v>
      </c>
      <c r="F1157" s="56" t="s">
        <v>5973</v>
      </c>
      <c r="G1157" s="56">
        <v>154</v>
      </c>
      <c r="H1157" s="56">
        <v>0</v>
      </c>
      <c r="I1157" s="56">
        <v>0</v>
      </c>
      <c r="J1157" s="56" t="s">
        <v>5246</v>
      </c>
      <c r="K1157" s="56" t="s">
        <v>5612</v>
      </c>
      <c r="L1157" s="56" t="s">
        <v>3358</v>
      </c>
      <c r="N1157" s="56" t="s">
        <v>3476</v>
      </c>
      <c r="O1157" t="str">
        <f>_xlfn.XLOOKUP(N1157,'Error-codes'!$C$2:$C$130,'Error-codes'!$B$2:$B$130, "None")</f>
        <v>failed to switch uv lamp state</v>
      </c>
      <c r="U1157" s="81">
        <f>DATEVALUE(LEFT(F1157,10))</f>
        <v>44974</v>
      </c>
    </row>
    <row r="1158" spans="1:21">
      <c r="A1158" s="56"/>
      <c r="B1158" s="56" t="s">
        <v>29</v>
      </c>
      <c r="C1158" s="56" t="s">
        <v>5972</v>
      </c>
      <c r="D1158" s="56" t="s">
        <v>37</v>
      </c>
      <c r="E1158" s="56" t="s">
        <v>2939</v>
      </c>
      <c r="F1158" s="56" t="s">
        <v>5974</v>
      </c>
      <c r="G1158" s="56">
        <v>154</v>
      </c>
      <c r="H1158" s="56">
        <v>1</v>
      </c>
      <c r="I1158" s="56">
        <v>6.4935064935064939E-3</v>
      </c>
      <c r="J1158" s="56" t="s">
        <v>5246</v>
      </c>
      <c r="K1158" s="56" t="s">
        <v>5612</v>
      </c>
      <c r="L1158" s="56" t="s">
        <v>3358</v>
      </c>
      <c r="N1158" s="56" t="s">
        <v>3476</v>
      </c>
      <c r="O1158" t="str">
        <f>_xlfn.XLOOKUP(N1158,'Error-codes'!$C$2:$C$130,'Error-codes'!$B$2:$B$130, "None")</f>
        <v>failed to switch uv lamp state</v>
      </c>
      <c r="U1158" s="81">
        <f>DATEVALUE(LEFT(F1158,10))</f>
        <v>44974</v>
      </c>
    </row>
    <row r="1159" spans="1:21">
      <c r="A1159" s="56"/>
      <c r="B1159" s="56" t="s">
        <v>29</v>
      </c>
      <c r="C1159" s="56" t="s">
        <v>5972</v>
      </c>
      <c r="D1159" s="56" t="s">
        <v>37</v>
      </c>
      <c r="E1159" s="56" t="s">
        <v>3242</v>
      </c>
      <c r="F1159" s="56" t="s">
        <v>5975</v>
      </c>
      <c r="G1159" s="56">
        <v>154</v>
      </c>
      <c r="H1159" s="56">
        <v>2</v>
      </c>
      <c r="I1159" s="56">
        <v>1.2987012987012988E-2</v>
      </c>
      <c r="J1159" s="56" t="s">
        <v>5976</v>
      </c>
      <c r="K1159" s="56" t="s">
        <v>5612</v>
      </c>
      <c r="L1159" s="56" t="s">
        <v>3358</v>
      </c>
      <c r="N1159" s="56" t="s">
        <v>3476</v>
      </c>
      <c r="O1159" t="str">
        <f>_xlfn.XLOOKUP(N1159,'Error-codes'!$C$2:$C$130,'Error-codes'!$B$2:$B$130, "None")</f>
        <v>failed to switch uv lamp state</v>
      </c>
      <c r="U1159" s="81">
        <f>DATEVALUE(LEFT(F1159,10))</f>
        <v>44974</v>
      </c>
    </row>
    <row r="1160" spans="1:21">
      <c r="A1160" s="56"/>
      <c r="B1160" s="56" t="s">
        <v>295</v>
      </c>
      <c r="C1160" s="56" t="s">
        <v>5977</v>
      </c>
      <c r="D1160" s="56" t="s">
        <v>37</v>
      </c>
      <c r="E1160" s="56" t="s">
        <v>4351</v>
      </c>
      <c r="F1160" s="56" t="s">
        <v>5978</v>
      </c>
      <c r="G1160" s="56">
        <v>210</v>
      </c>
      <c r="H1160" s="56">
        <v>8</v>
      </c>
      <c r="I1160" s="56">
        <v>3.8095238095238099E-2</v>
      </c>
      <c r="J1160" s="56" t="s">
        <v>5979</v>
      </c>
      <c r="K1160" s="56" t="s">
        <v>5593</v>
      </c>
      <c r="L1160" s="56" t="s">
        <v>3325</v>
      </c>
      <c r="N1160" s="56" t="s">
        <v>3472</v>
      </c>
      <c r="O1160" t="str">
        <f>_xlfn.XLOOKUP(N1160,'Error-codes'!$C$2:$C$130,'Error-codes'!$B$2:$B$130, "None")</f>
        <v>Excessive slip detected</v>
      </c>
      <c r="U1160" s="81">
        <f>DATEVALUE(LEFT(F1160,10))</f>
        <v>44974</v>
      </c>
    </row>
    <row r="1161" spans="1:21">
      <c r="A1161" s="56" t="s">
        <v>5980</v>
      </c>
      <c r="B1161" s="56" t="s">
        <v>3202</v>
      </c>
      <c r="C1161" s="56" t="s">
        <v>5981</v>
      </c>
      <c r="D1161" s="56" t="s">
        <v>388</v>
      </c>
      <c r="E1161" s="56" t="s">
        <v>2939</v>
      </c>
      <c r="F1161" s="56" t="s">
        <v>5982</v>
      </c>
      <c r="G1161" s="56">
        <v>38</v>
      </c>
      <c r="H1161" s="56">
        <v>15</v>
      </c>
      <c r="I1161" s="56">
        <v>0.39473684210526316</v>
      </c>
      <c r="J1161" s="56" t="s">
        <v>5408</v>
      </c>
      <c r="K1161" s="56" t="s">
        <v>3207</v>
      </c>
      <c r="L1161" s="56" t="s">
        <v>5214</v>
      </c>
      <c r="M1161" s="56" t="str">
        <f>HYPERLINK("https://dribble.octin.io/?mode=Single+log&amp;log_id=2a0f1b50-104f-422c-a0d2-46d98fddf1e7","URL")</f>
        <v>URL</v>
      </c>
      <c r="N1161" s="56" t="s">
        <v>2933</v>
      </c>
      <c r="O1161" t="str">
        <f>_xlfn.XLOOKUP(N1161,'Error-codes'!$C$2:$C$130,'Error-codes'!$B$2:$B$130, "None")</f>
        <v>inductive sensor error</v>
      </c>
      <c r="P1161" t="s">
        <v>5983</v>
      </c>
      <c r="R1161" t="s">
        <v>2901</v>
      </c>
      <c r="U1161" s="81">
        <f>DATEVALUE(LEFT(F1161,10))</f>
        <v>44974</v>
      </c>
    </row>
    <row r="1162" spans="1:21">
      <c r="A1162" s="56" t="s">
        <v>5984</v>
      </c>
      <c r="B1162" s="56" t="s">
        <v>3202</v>
      </c>
      <c r="C1162" s="56" t="s">
        <v>5981</v>
      </c>
      <c r="D1162" s="56" t="s">
        <v>388</v>
      </c>
      <c r="E1162" s="56" t="s">
        <v>2939</v>
      </c>
      <c r="F1162" s="56" t="s">
        <v>5985</v>
      </c>
      <c r="G1162" s="56">
        <v>38</v>
      </c>
      <c r="H1162" s="56">
        <v>24</v>
      </c>
      <c r="I1162" s="56">
        <v>0.63157894736842102</v>
      </c>
      <c r="J1162" s="56" t="s">
        <v>5986</v>
      </c>
      <c r="K1162" s="56" t="s">
        <v>3207</v>
      </c>
      <c r="L1162" s="56" t="s">
        <v>5214</v>
      </c>
      <c r="M1162" s="56" t="str">
        <f>HYPERLINK("https://dribble.octin.io/?mode=Single+log&amp;log_id=74347b74-0720-4192-82a9-bba433e5b95d","URL")</f>
        <v>URL</v>
      </c>
      <c r="N1162" s="56" t="s">
        <v>2933</v>
      </c>
      <c r="O1162" t="str">
        <f>_xlfn.XLOOKUP(N1162,'Error-codes'!$C$2:$C$130,'Error-codes'!$B$2:$B$130, "None")</f>
        <v>inductive sensor error</v>
      </c>
      <c r="P1162" t="s">
        <v>5983</v>
      </c>
      <c r="R1162" t="s">
        <v>2901</v>
      </c>
      <c r="U1162" s="81">
        <f>DATEVALUE(LEFT(F1162,10))</f>
        <v>44974</v>
      </c>
    </row>
    <row r="1163" spans="1:21">
      <c r="A1163" s="56" t="s">
        <v>5987</v>
      </c>
      <c r="B1163" s="56" t="s">
        <v>3202</v>
      </c>
      <c r="C1163" s="56" t="s">
        <v>5981</v>
      </c>
      <c r="D1163" s="56" t="s">
        <v>388</v>
      </c>
      <c r="E1163" s="56" t="s">
        <v>2939</v>
      </c>
      <c r="F1163" s="56" t="s">
        <v>5988</v>
      </c>
      <c r="G1163" s="56">
        <v>38</v>
      </c>
      <c r="H1163" s="56">
        <v>25</v>
      </c>
      <c r="I1163" s="56">
        <v>0.65789473684210531</v>
      </c>
      <c r="J1163" s="56" t="s">
        <v>3341</v>
      </c>
      <c r="K1163" s="56" t="s">
        <v>3207</v>
      </c>
      <c r="L1163" s="56" t="s">
        <v>5214</v>
      </c>
      <c r="M1163" s="56" t="str">
        <f>HYPERLINK("https://dribble.octin.io/?mode=Single+log&amp;log_id=68d6be02-6ca5-481e-ae83-f00003fae97a","URL")</f>
        <v>URL</v>
      </c>
      <c r="N1163" s="56" t="s">
        <v>3450</v>
      </c>
      <c r="O1163" t="str">
        <f>_xlfn.XLOOKUP(N1163,'Error-codes'!$C$2:$C$130,'Error-codes'!$B$2:$B$130, "None")</f>
        <v>xtheta sensor error</v>
      </c>
      <c r="P1163" t="s">
        <v>5989</v>
      </c>
      <c r="R1163" t="s">
        <v>2908</v>
      </c>
      <c r="U1163" s="81">
        <f>DATEVALUE(LEFT(F1163,10))</f>
        <v>44974</v>
      </c>
    </row>
    <row r="1164" spans="1:21">
      <c r="A1164" s="56"/>
      <c r="B1164" s="56" t="s">
        <v>295</v>
      </c>
      <c r="C1164" s="56" t="s">
        <v>5990</v>
      </c>
      <c r="D1164" s="56" t="s">
        <v>37</v>
      </c>
      <c r="E1164" s="56" t="s">
        <v>2939</v>
      </c>
      <c r="F1164" s="56" t="s">
        <v>5991</v>
      </c>
      <c r="G1164" s="56">
        <v>199</v>
      </c>
      <c r="H1164" s="56">
        <v>44</v>
      </c>
      <c r="I1164" s="56">
        <v>0.22110552763819097</v>
      </c>
      <c r="J1164" s="56" t="s">
        <v>5992</v>
      </c>
      <c r="K1164" s="56" t="s">
        <v>5593</v>
      </c>
      <c r="L1164" s="56" t="s">
        <v>3325</v>
      </c>
      <c r="N1164" s="56" t="s">
        <v>2933</v>
      </c>
      <c r="O1164" t="str">
        <f>_xlfn.XLOOKUP(N1164,'Error-codes'!$C$2:$C$130,'Error-codes'!$B$2:$B$130, "None")</f>
        <v>inductive sensor error</v>
      </c>
      <c r="U1164" s="81">
        <f>DATEVALUE(LEFT(F1164,10))</f>
        <v>44974</v>
      </c>
    </row>
    <row r="1165" spans="1:21">
      <c r="A1165" s="56" t="s">
        <v>5993</v>
      </c>
      <c r="B1165" s="56" t="s">
        <v>3293</v>
      </c>
      <c r="C1165" s="56" t="s">
        <v>5994</v>
      </c>
      <c r="D1165" s="56" t="s">
        <v>388</v>
      </c>
      <c r="E1165" s="56" t="s">
        <v>2939</v>
      </c>
      <c r="F1165" s="56" t="s">
        <v>5995</v>
      </c>
      <c r="G1165" s="56">
        <v>20</v>
      </c>
      <c r="H1165" s="56">
        <v>4</v>
      </c>
      <c r="I1165" s="56">
        <v>0.2</v>
      </c>
      <c r="J1165" s="56" t="s">
        <v>5491</v>
      </c>
      <c r="K1165" s="56" t="s">
        <v>3207</v>
      </c>
      <c r="L1165" s="56" t="s">
        <v>5286</v>
      </c>
      <c r="M1165" s="56" t="str">
        <f>HYPERLINK("https://dribble.octin.io/?mode=Single+log&amp;log_id=518c9553-a5d0-40fb-aec2-e3222dc4bad7","URL")</f>
        <v>URL</v>
      </c>
      <c r="N1165" s="56" t="s">
        <v>3440</v>
      </c>
      <c r="O1165" t="str">
        <f>_xlfn.XLOOKUP(N1165,'Error-codes'!$C$2:$C$130,'Error-codes'!$B$2:$B$130, "None")</f>
        <v>Trajectory generation timeout</v>
      </c>
      <c r="R1165" t="s">
        <v>2897</v>
      </c>
      <c r="U1165" s="81">
        <f>DATEVALUE(LEFT(F1165,10))</f>
        <v>44974</v>
      </c>
    </row>
    <row r="1166" spans="1:21">
      <c r="A1166" s="56" t="s">
        <v>5996</v>
      </c>
      <c r="B1166" s="56" t="s">
        <v>3293</v>
      </c>
      <c r="C1166" s="56" t="s">
        <v>5994</v>
      </c>
      <c r="D1166" s="56" t="s">
        <v>388</v>
      </c>
      <c r="E1166" s="56" t="s">
        <v>2939</v>
      </c>
      <c r="F1166" s="56" t="s">
        <v>5997</v>
      </c>
      <c r="G1166" s="56">
        <v>20</v>
      </c>
      <c r="H1166" s="56">
        <v>14</v>
      </c>
      <c r="I1166" s="56">
        <v>0.7</v>
      </c>
      <c r="J1166" s="56" t="s">
        <v>3357</v>
      </c>
      <c r="K1166" s="56" t="s">
        <v>3207</v>
      </c>
      <c r="L1166" s="56" t="s">
        <v>5286</v>
      </c>
      <c r="M1166" s="56" t="str">
        <f>HYPERLINK("https://dribble.octin.io/?mode=Single+log&amp;log_id=dc19f74c-910e-41c1-ab81-64590016b25a","URL")</f>
        <v>URL</v>
      </c>
      <c r="N1166" s="56" t="s">
        <v>3444</v>
      </c>
      <c r="O1166" t="str">
        <f>_xlfn.XLOOKUP(N1166,'Error-codes'!$C$2:$C$130,'Error-codes'!$B$2:$B$130, "None")</f>
        <v>collision detected in operational state for the 4th time in a row</v>
      </c>
      <c r="P1166" t="s">
        <v>5998</v>
      </c>
      <c r="R1166" t="s">
        <v>2900</v>
      </c>
      <c r="U1166" s="81">
        <f>DATEVALUE(LEFT(F1166,10))</f>
        <v>44974</v>
      </c>
    </row>
    <row r="1167" spans="1:21">
      <c r="B1167" s="56" t="s">
        <v>3202</v>
      </c>
      <c r="C1167" s="56" t="s">
        <v>5981</v>
      </c>
      <c r="D1167" s="56" t="s">
        <v>388</v>
      </c>
      <c r="F1167" s="56" t="s">
        <v>5999</v>
      </c>
      <c r="G1167" s="56">
        <v>38</v>
      </c>
      <c r="H1167" s="56">
        <v>35</v>
      </c>
      <c r="I1167" s="56">
        <v>0.92105263157894735</v>
      </c>
      <c r="K1167" s="56" t="s">
        <v>3207</v>
      </c>
      <c r="L1167" s="56" t="s">
        <v>5214</v>
      </c>
      <c r="O1167">
        <f>_xlfn.XLOOKUP(N1167,'Error-codes'!$C$2:$C$130,'Error-codes'!$B$2:$B$130, "None")</f>
        <v>0</v>
      </c>
      <c r="U1167" s="81">
        <f>DATEVALUE(LEFT(F1167,10))</f>
        <v>44974</v>
      </c>
    </row>
    <row r="1168" spans="1:21">
      <c r="B1168" s="56" t="s">
        <v>3293</v>
      </c>
      <c r="C1168" s="56" t="s">
        <v>5994</v>
      </c>
      <c r="D1168" s="56" t="s">
        <v>388</v>
      </c>
      <c r="F1168" s="56" t="s">
        <v>6000</v>
      </c>
      <c r="G1168" s="56">
        <v>20</v>
      </c>
      <c r="H1168" s="56">
        <v>18</v>
      </c>
      <c r="I1168" s="56">
        <v>0.9</v>
      </c>
      <c r="K1168" s="56" t="s">
        <v>3207</v>
      </c>
      <c r="L1168" s="56" t="s">
        <v>5286</v>
      </c>
      <c r="O1168">
        <f>_xlfn.XLOOKUP(N1168,'Error-codes'!$C$2:$C$130,'Error-codes'!$B$2:$B$130, "None")</f>
        <v>0</v>
      </c>
      <c r="U1168" s="81">
        <f>DATEVALUE(LEFT(F1168,10))</f>
        <v>44974</v>
      </c>
    </row>
    <row r="1169" spans="1:21">
      <c r="A1169" s="56" t="s">
        <v>6001</v>
      </c>
      <c r="B1169" s="56" t="s">
        <v>29</v>
      </c>
      <c r="C1169" s="56" t="s">
        <v>6002</v>
      </c>
      <c r="D1169" s="56" t="s">
        <v>37</v>
      </c>
      <c r="E1169" s="56" t="s">
        <v>2939</v>
      </c>
      <c r="F1169" s="56" t="s">
        <v>6003</v>
      </c>
      <c r="G1169" s="56">
        <v>146</v>
      </c>
      <c r="H1169" s="56">
        <v>73</v>
      </c>
      <c r="I1169" s="56">
        <v>0.5</v>
      </c>
      <c r="J1169" s="56" t="s">
        <v>6004</v>
      </c>
      <c r="K1169" s="56" t="s">
        <v>5612</v>
      </c>
      <c r="L1169" s="56" t="s">
        <v>3358</v>
      </c>
      <c r="M1169" s="56" t="str">
        <f>HYPERLINK("https://dribble.octin.io/?mode=Single+log&amp;log_id=1be98333-9442-41fe-9d4b-9314cb285a80","URL")</f>
        <v>URL</v>
      </c>
      <c r="N1169" s="56" t="s">
        <v>3472</v>
      </c>
      <c r="O1169" t="str">
        <f>_xlfn.XLOOKUP(N1169,'Error-codes'!$C$2:$C$130,'Error-codes'!$B$2:$B$130, "None")</f>
        <v>Excessive slip detected</v>
      </c>
      <c r="R1169" t="s">
        <v>2895</v>
      </c>
      <c r="U1169" s="81">
        <f>DATEVALUE(LEFT(F1169,10))</f>
        <v>44974</v>
      </c>
    </row>
    <row r="1170" spans="1:21">
      <c r="A1170" s="56"/>
      <c r="B1170" s="56" t="s">
        <v>295</v>
      </c>
      <c r="C1170" s="56" t="s">
        <v>5990</v>
      </c>
      <c r="D1170" s="56" t="s">
        <v>37</v>
      </c>
      <c r="E1170" s="56" t="s">
        <v>2939</v>
      </c>
      <c r="F1170" s="56" t="s">
        <v>6005</v>
      </c>
      <c r="G1170" s="56">
        <v>199</v>
      </c>
      <c r="H1170" s="56">
        <v>70</v>
      </c>
      <c r="I1170" s="56">
        <v>0.35175879396984927</v>
      </c>
      <c r="J1170" s="56" t="s">
        <v>6006</v>
      </c>
      <c r="K1170" s="56" t="s">
        <v>5593</v>
      </c>
      <c r="L1170" s="56" t="s">
        <v>3325</v>
      </c>
      <c r="N1170" s="56" t="s">
        <v>3472</v>
      </c>
      <c r="O1170" t="str">
        <f>_xlfn.XLOOKUP(N1170,'Error-codes'!$C$2:$C$130,'Error-codes'!$B$2:$B$130, "None")</f>
        <v>Excessive slip detected</v>
      </c>
      <c r="U1170" s="81">
        <f>DATEVALUE(LEFT(F1170,10))</f>
        <v>44974</v>
      </c>
    </row>
    <row r="1171" spans="1:21">
      <c r="A1171" s="56"/>
      <c r="B1171" s="56" t="s">
        <v>295</v>
      </c>
      <c r="C1171" s="56" t="s">
        <v>5990</v>
      </c>
      <c r="D1171" s="56" t="s">
        <v>37</v>
      </c>
      <c r="E1171" s="56" t="s">
        <v>4351</v>
      </c>
      <c r="F1171" s="56" t="s">
        <v>6007</v>
      </c>
      <c r="G1171" s="56">
        <v>199</v>
      </c>
      <c r="H1171" s="56">
        <v>77</v>
      </c>
      <c r="I1171" s="56">
        <v>0.38693467336683418</v>
      </c>
      <c r="J1171" s="56" t="s">
        <v>5760</v>
      </c>
      <c r="K1171" s="56" t="s">
        <v>5593</v>
      </c>
      <c r="L1171" s="56" t="s">
        <v>3325</v>
      </c>
      <c r="N1171" s="56" t="s">
        <v>3472</v>
      </c>
      <c r="O1171" t="str">
        <f>_xlfn.XLOOKUP(N1171,'Error-codes'!$C$2:$C$130,'Error-codes'!$B$2:$B$130, "None")</f>
        <v>Excessive slip detected</v>
      </c>
      <c r="U1171" s="81">
        <f>DATEVALUE(LEFT(F1171,10))</f>
        <v>44974</v>
      </c>
    </row>
    <row r="1172" spans="1:21">
      <c r="A1172" s="56" t="s">
        <v>6008</v>
      </c>
      <c r="B1172" s="56" t="s">
        <v>29</v>
      </c>
      <c r="C1172" s="56" t="s">
        <v>6002</v>
      </c>
      <c r="D1172" s="56" t="s">
        <v>37</v>
      </c>
      <c r="E1172" s="56" t="s">
        <v>4253</v>
      </c>
      <c r="F1172" s="56" t="s">
        <v>6009</v>
      </c>
      <c r="G1172" s="56">
        <v>146</v>
      </c>
      <c r="H1172" s="56">
        <v>144</v>
      </c>
      <c r="I1172" s="56">
        <v>0.98630136986301364</v>
      </c>
      <c r="J1172" s="56" t="s">
        <v>5897</v>
      </c>
      <c r="K1172" s="56" t="s">
        <v>5612</v>
      </c>
      <c r="L1172" s="56" t="s">
        <v>3358</v>
      </c>
      <c r="M1172" s="56" t="str">
        <f>HYPERLINK("https://dribble.octin.io/?mode=Single+log&amp;log_id=e9ddd419-1d89-42f6-86de-200ea911e795","URL")</f>
        <v>URL</v>
      </c>
      <c r="N1172" s="56" t="s">
        <v>3460</v>
      </c>
      <c r="O1172" t="str">
        <f>_xlfn.XLOOKUP(N1172,'Error-codes'!$C$2:$C$130,'Error-codes'!$B$2:$B$130, "None")</f>
        <v>motor drive: DRV8353 FAULT</v>
      </c>
      <c r="R1172" t="s">
        <v>2894</v>
      </c>
      <c r="U1172" s="81">
        <f>DATEVALUE(LEFT(F1172,10))</f>
        <v>44975</v>
      </c>
    </row>
    <row r="1173" spans="1:21">
      <c r="B1173" s="56" t="s">
        <v>29</v>
      </c>
      <c r="C1173" s="56" t="s">
        <v>6010</v>
      </c>
      <c r="D1173" s="56" t="s">
        <v>388</v>
      </c>
      <c r="F1173" s="56" t="s">
        <v>6011</v>
      </c>
      <c r="G1173" s="56">
        <v>15</v>
      </c>
      <c r="H1173" s="56">
        <v>15</v>
      </c>
      <c r="I1173" s="56">
        <v>1</v>
      </c>
      <c r="K1173" s="56" t="s">
        <v>5593</v>
      </c>
      <c r="L1173" s="56" t="s">
        <v>3358</v>
      </c>
      <c r="O1173">
        <f>_xlfn.XLOOKUP(N1173,'Error-codes'!$C$2:$C$130,'Error-codes'!$B$2:$B$130, "None")</f>
        <v>0</v>
      </c>
      <c r="U1173" s="81">
        <f>DATEVALUE(LEFT(F1173,10))</f>
        <v>44975</v>
      </c>
    </row>
    <row r="1174" spans="1:21">
      <c r="B1174" s="56" t="s">
        <v>3263</v>
      </c>
      <c r="C1174" s="56" t="s">
        <v>6012</v>
      </c>
      <c r="D1174" s="56" t="s">
        <v>388</v>
      </c>
      <c r="F1174" s="56" t="s">
        <v>6013</v>
      </c>
      <c r="G1174" s="56">
        <v>81</v>
      </c>
      <c r="H1174" s="56">
        <v>81</v>
      </c>
      <c r="I1174" s="56">
        <v>1</v>
      </c>
      <c r="K1174" s="56" t="s">
        <v>3268</v>
      </c>
      <c r="L1174" s="56" t="s">
        <v>3269</v>
      </c>
      <c r="O1174">
        <f>_xlfn.XLOOKUP(N1174,'Error-codes'!$C$2:$C$130,'Error-codes'!$B$2:$B$130, "None")</f>
        <v>0</v>
      </c>
      <c r="U1174" s="81">
        <f>DATEVALUE(LEFT(F1174,10))</f>
        <v>44975</v>
      </c>
    </row>
    <row r="1175" spans="1:21">
      <c r="A1175" s="56"/>
      <c r="B1175" s="56" t="s">
        <v>295</v>
      </c>
      <c r="C1175" s="56" t="s">
        <v>6014</v>
      </c>
      <c r="D1175" s="56" t="s">
        <v>37</v>
      </c>
      <c r="E1175" s="56" t="s">
        <v>2939</v>
      </c>
      <c r="F1175" s="56" t="s">
        <v>6015</v>
      </c>
      <c r="G1175" s="56">
        <v>122</v>
      </c>
      <c r="H1175" s="56">
        <v>0</v>
      </c>
      <c r="I1175" s="56">
        <v>0</v>
      </c>
      <c r="J1175" s="56" t="s">
        <v>6016</v>
      </c>
      <c r="K1175" s="56" t="s">
        <v>5593</v>
      </c>
      <c r="L1175" s="56" t="s">
        <v>3325</v>
      </c>
      <c r="N1175" s="56" t="s">
        <v>3468</v>
      </c>
      <c r="O1175" t="str">
        <f>_xlfn.XLOOKUP(N1175,'Error-codes'!$C$2:$C$130,'Error-codes'!$B$2:$B$130, "None")</f>
        <v>no vision heartbeat</v>
      </c>
      <c r="U1175" s="81">
        <f>DATEVALUE(LEFT(F1175,10))</f>
        <v>44975</v>
      </c>
    </row>
    <row r="1176" spans="1:21">
      <c r="A1176" s="56"/>
      <c r="B1176" s="56" t="s">
        <v>295</v>
      </c>
      <c r="C1176" s="56" t="s">
        <v>6014</v>
      </c>
      <c r="D1176" s="56" t="s">
        <v>37</v>
      </c>
      <c r="E1176" s="56" t="s">
        <v>3242</v>
      </c>
      <c r="F1176" s="56" t="s">
        <v>6017</v>
      </c>
      <c r="G1176" s="56">
        <v>122</v>
      </c>
      <c r="H1176" s="56">
        <v>1</v>
      </c>
      <c r="I1176" s="56">
        <v>8.1967213114754103E-3</v>
      </c>
      <c r="J1176" s="56" t="s">
        <v>6016</v>
      </c>
      <c r="K1176" s="56" t="s">
        <v>5593</v>
      </c>
      <c r="L1176" s="56" t="s">
        <v>3325</v>
      </c>
      <c r="N1176" s="56" t="s">
        <v>3468</v>
      </c>
      <c r="O1176" t="str">
        <f>_xlfn.XLOOKUP(N1176,'Error-codes'!$C$2:$C$130,'Error-codes'!$B$2:$B$130, "None")</f>
        <v>no vision heartbeat</v>
      </c>
      <c r="U1176" s="81">
        <f>DATEVALUE(LEFT(F1176,10))</f>
        <v>44975</v>
      </c>
    </row>
    <row r="1177" spans="1:21">
      <c r="A1177" s="56"/>
      <c r="B1177" s="56" t="s">
        <v>295</v>
      </c>
      <c r="C1177" s="56" t="s">
        <v>6018</v>
      </c>
      <c r="D1177" s="56" t="s">
        <v>37</v>
      </c>
      <c r="E1177" s="56" t="s">
        <v>2939</v>
      </c>
      <c r="F1177" s="56" t="s">
        <v>6019</v>
      </c>
      <c r="G1177" s="56">
        <v>124</v>
      </c>
      <c r="H1177" s="56">
        <v>0</v>
      </c>
      <c r="I1177" s="56">
        <v>0</v>
      </c>
      <c r="J1177" s="56" t="s">
        <v>6016</v>
      </c>
      <c r="K1177" s="56" t="s">
        <v>5593</v>
      </c>
      <c r="L1177" s="56" t="s">
        <v>3325</v>
      </c>
      <c r="N1177" s="56" t="s">
        <v>3468</v>
      </c>
      <c r="O1177" t="str">
        <f>_xlfn.XLOOKUP(N1177,'Error-codes'!$C$2:$C$130,'Error-codes'!$B$2:$B$130, "None")</f>
        <v>no vision heartbeat</v>
      </c>
      <c r="U1177" s="81">
        <f>DATEVALUE(LEFT(F1177,10))</f>
        <v>44975</v>
      </c>
    </row>
    <row r="1178" spans="1:21">
      <c r="A1178" s="56"/>
      <c r="B1178" s="56" t="s">
        <v>295</v>
      </c>
      <c r="C1178" s="56" t="s">
        <v>6018</v>
      </c>
      <c r="D1178" s="56" t="s">
        <v>37</v>
      </c>
      <c r="E1178" s="56" t="s">
        <v>2939</v>
      </c>
      <c r="F1178" s="56" t="s">
        <v>6020</v>
      </c>
      <c r="G1178" s="56">
        <v>124</v>
      </c>
      <c r="H1178" s="56">
        <v>1</v>
      </c>
      <c r="I1178" s="56">
        <v>8.0645161290322578E-3</v>
      </c>
      <c r="J1178" s="56" t="s">
        <v>6016</v>
      </c>
      <c r="K1178" s="56" t="s">
        <v>5593</v>
      </c>
      <c r="L1178" s="56" t="s">
        <v>3325</v>
      </c>
      <c r="N1178" s="56" t="s">
        <v>3468</v>
      </c>
      <c r="O1178" t="str">
        <f>_xlfn.XLOOKUP(N1178,'Error-codes'!$C$2:$C$130,'Error-codes'!$B$2:$B$130, "None")</f>
        <v>no vision heartbeat</v>
      </c>
      <c r="U1178" s="81">
        <f>DATEVALUE(LEFT(F1178,10))</f>
        <v>44975</v>
      </c>
    </row>
    <row r="1179" spans="1:21">
      <c r="A1179" s="56"/>
      <c r="B1179" s="56" t="s">
        <v>295</v>
      </c>
      <c r="C1179" s="56" t="s">
        <v>6018</v>
      </c>
      <c r="D1179" s="56" t="s">
        <v>37</v>
      </c>
      <c r="E1179" s="56" t="s">
        <v>2939</v>
      </c>
      <c r="F1179" s="56" t="s">
        <v>6021</v>
      </c>
      <c r="G1179" s="56">
        <v>124</v>
      </c>
      <c r="H1179" s="56">
        <v>2</v>
      </c>
      <c r="I1179" s="56">
        <v>1.6129032258064516E-2</v>
      </c>
      <c r="J1179" s="56" t="s">
        <v>6016</v>
      </c>
      <c r="K1179" s="56" t="s">
        <v>5593</v>
      </c>
      <c r="L1179" s="56" t="s">
        <v>3325</v>
      </c>
      <c r="N1179" s="56" t="s">
        <v>3468</v>
      </c>
      <c r="O1179" t="str">
        <f>_xlfn.XLOOKUP(N1179,'Error-codes'!$C$2:$C$130,'Error-codes'!$B$2:$B$130, "None")</f>
        <v>no vision heartbeat</v>
      </c>
      <c r="U1179" s="81">
        <f>DATEVALUE(LEFT(F1179,10))</f>
        <v>44975</v>
      </c>
    </row>
    <row r="1180" spans="1:21">
      <c r="A1180" s="56"/>
      <c r="B1180" s="56" t="s">
        <v>295</v>
      </c>
      <c r="C1180" s="56" t="s">
        <v>6018</v>
      </c>
      <c r="D1180" s="56" t="s">
        <v>37</v>
      </c>
      <c r="E1180" s="56" t="s">
        <v>3242</v>
      </c>
      <c r="F1180" s="56" t="s">
        <v>6022</v>
      </c>
      <c r="G1180" s="56">
        <v>124</v>
      </c>
      <c r="H1180" s="56">
        <v>3</v>
      </c>
      <c r="I1180" s="56">
        <v>2.4193548387096774E-2</v>
      </c>
      <c r="J1180" s="56" t="s">
        <v>6016</v>
      </c>
      <c r="K1180" s="56" t="s">
        <v>5593</v>
      </c>
      <c r="L1180" s="56" t="s">
        <v>3325</v>
      </c>
      <c r="N1180" s="56" t="s">
        <v>3468</v>
      </c>
      <c r="O1180" t="str">
        <f>_xlfn.XLOOKUP(N1180,'Error-codes'!$C$2:$C$130,'Error-codes'!$B$2:$B$130, "None")</f>
        <v>no vision heartbeat</v>
      </c>
      <c r="U1180" s="81">
        <f>DATEVALUE(LEFT(F1180,10))</f>
        <v>44975</v>
      </c>
    </row>
    <row r="1181" spans="1:21">
      <c r="A1181" s="56" t="s">
        <v>6023</v>
      </c>
      <c r="B1181" s="56" t="s">
        <v>295</v>
      </c>
      <c r="C1181" s="56" t="s">
        <v>6024</v>
      </c>
      <c r="D1181" s="56" t="s">
        <v>37</v>
      </c>
      <c r="E1181" s="56" t="s">
        <v>6025</v>
      </c>
      <c r="F1181" s="56" t="s">
        <v>6026</v>
      </c>
      <c r="G1181" s="56">
        <v>121</v>
      </c>
      <c r="H1181" s="56">
        <v>85</v>
      </c>
      <c r="I1181" s="56">
        <v>0.7024793388429752</v>
      </c>
      <c r="J1181" s="56" t="s">
        <v>5775</v>
      </c>
      <c r="K1181" s="56" t="s">
        <v>5593</v>
      </c>
      <c r="L1181" s="56" t="s">
        <v>3325</v>
      </c>
      <c r="M1181" s="56" t="str">
        <f>HYPERLINK("https://dribble.octin.io/?mode=Single+log&amp;log_id=5f931528-a66c-45e6-abe5-96f4a377e844","URL")</f>
        <v>URL</v>
      </c>
      <c r="N1181" s="56" t="s">
        <v>3464</v>
      </c>
      <c r="O1181" t="str">
        <f>_xlfn.XLOOKUP(N1181,'Error-codes'!$C$2:$C$130,'Error-codes'!$B$2:$B$130, "None")</f>
        <v>motor drive connection: NO FEEDBACK ERROR</v>
      </c>
      <c r="P1181" t="s">
        <v>6027</v>
      </c>
      <c r="R1181" t="s">
        <v>2904</v>
      </c>
      <c r="U1181" s="81">
        <f>DATEVALUE(LEFT(F1181,10))</f>
        <v>44975</v>
      </c>
    </row>
    <row r="1182" spans="1:21">
      <c r="B1182" s="56" t="s">
        <v>29</v>
      </c>
      <c r="C1182" s="56" t="s">
        <v>6028</v>
      </c>
      <c r="D1182" s="56" t="s">
        <v>388</v>
      </c>
      <c r="F1182" s="56" t="s">
        <v>6029</v>
      </c>
      <c r="G1182" s="56">
        <v>140</v>
      </c>
      <c r="H1182" s="56">
        <v>140</v>
      </c>
      <c r="I1182" s="56">
        <v>1</v>
      </c>
      <c r="K1182" s="56" t="s">
        <v>5593</v>
      </c>
      <c r="L1182" s="56" t="s">
        <v>3358</v>
      </c>
      <c r="O1182">
        <f>_xlfn.XLOOKUP(N1182,'Error-codes'!$C$2:$C$130,'Error-codes'!$B$2:$B$130, "None")</f>
        <v>0</v>
      </c>
      <c r="U1182" s="81">
        <f>DATEVALUE(LEFT(F1182,10))</f>
        <v>44975</v>
      </c>
    </row>
    <row r="1183" spans="1:21">
      <c r="A1183" s="56" t="s">
        <v>6030</v>
      </c>
      <c r="B1183" s="56" t="s">
        <v>29</v>
      </c>
      <c r="C1183" s="56" t="s">
        <v>6031</v>
      </c>
      <c r="D1183" s="56" t="s">
        <v>388</v>
      </c>
      <c r="E1183" s="56" t="s">
        <v>2939</v>
      </c>
      <c r="F1183" s="56" t="s">
        <v>6032</v>
      </c>
      <c r="G1183" s="56">
        <v>11</v>
      </c>
      <c r="H1183" s="56">
        <v>2</v>
      </c>
      <c r="I1183" s="56">
        <v>0.18181818181818182</v>
      </c>
      <c r="J1183" s="56" t="s">
        <v>5521</v>
      </c>
      <c r="K1183" s="56" t="s">
        <v>5612</v>
      </c>
      <c r="L1183" s="56" t="s">
        <v>3358</v>
      </c>
      <c r="M1183" s="56" t="str">
        <f>HYPERLINK("https://dribble.octin.io/?mode=Single+log&amp;log_id=0c92223d-7641-4da0-919c-df9dd92ed5aa","URL")</f>
        <v>URL</v>
      </c>
      <c r="N1183" s="56" t="s">
        <v>3444</v>
      </c>
      <c r="O1183" t="str">
        <f>_xlfn.XLOOKUP(N1183,'Error-codes'!$C$2:$C$130,'Error-codes'!$B$2:$B$130, "None")</f>
        <v>collision detected in operational state for the 4th time in a row</v>
      </c>
      <c r="P1183" t="s">
        <v>6033</v>
      </c>
      <c r="R1183" t="s">
        <v>2908</v>
      </c>
      <c r="S1183" t="s">
        <v>6034</v>
      </c>
      <c r="U1183" s="81">
        <f>DATEVALUE(LEFT(F1183,10))</f>
        <v>44976</v>
      </c>
    </row>
    <row r="1184" spans="1:21">
      <c r="B1184" s="56" t="s">
        <v>29</v>
      </c>
      <c r="C1184" s="56" t="s">
        <v>6031</v>
      </c>
      <c r="D1184" s="56" t="s">
        <v>388</v>
      </c>
      <c r="F1184" s="56" t="s">
        <v>6035</v>
      </c>
      <c r="G1184" s="56">
        <v>11</v>
      </c>
      <c r="H1184" s="56">
        <v>10</v>
      </c>
      <c r="I1184" s="56">
        <v>0.90909090909090906</v>
      </c>
      <c r="K1184" s="56" t="s">
        <v>5612</v>
      </c>
      <c r="L1184" s="56" t="s">
        <v>3358</v>
      </c>
      <c r="O1184">
        <f>_xlfn.XLOOKUP(N1184,'Error-codes'!$C$2:$C$130,'Error-codes'!$B$2:$B$130, "None")</f>
        <v>0</v>
      </c>
      <c r="U1184" s="81">
        <f>DATEVALUE(LEFT(F1184,10))</f>
        <v>44976</v>
      </c>
    </row>
    <row r="1185" spans="1:21">
      <c r="A1185" s="56"/>
      <c r="B1185" s="56" t="s">
        <v>3202</v>
      </c>
      <c r="C1185" s="56" t="s">
        <v>6036</v>
      </c>
      <c r="D1185" s="56" t="s">
        <v>37</v>
      </c>
      <c r="E1185" s="56" t="s">
        <v>2939</v>
      </c>
      <c r="F1185" s="56" t="s">
        <v>6037</v>
      </c>
      <c r="G1185" s="56">
        <v>39</v>
      </c>
      <c r="H1185" s="56">
        <v>1</v>
      </c>
      <c r="I1185" s="56">
        <v>2.564102564102564E-2</v>
      </c>
      <c r="J1185" s="56" t="s">
        <v>3229</v>
      </c>
      <c r="K1185" s="56" t="s">
        <v>3207</v>
      </c>
      <c r="L1185" s="56" t="s">
        <v>3302</v>
      </c>
      <c r="N1185" s="56" t="s">
        <v>3466</v>
      </c>
      <c r="O1185" t="str">
        <f>_xlfn.XLOOKUP(N1185,'Error-codes'!$C$2:$C$130,'Error-codes'!$B$2:$B$130, "None")</f>
        <v>vision error</v>
      </c>
      <c r="U1185" s="81">
        <f>DATEVALUE(LEFT(F1185,10))</f>
        <v>44976</v>
      </c>
    </row>
    <row r="1186" spans="1:21">
      <c r="A1186" s="56"/>
      <c r="B1186" s="56" t="s">
        <v>3202</v>
      </c>
      <c r="C1186" s="56" t="s">
        <v>6036</v>
      </c>
      <c r="D1186" s="56" t="s">
        <v>37</v>
      </c>
      <c r="E1186" s="56" t="s">
        <v>2939</v>
      </c>
      <c r="F1186" s="56" t="s">
        <v>6038</v>
      </c>
      <c r="G1186" s="56">
        <v>39</v>
      </c>
      <c r="H1186" s="56">
        <v>2</v>
      </c>
      <c r="I1186" s="56">
        <v>5.128205128205128E-2</v>
      </c>
      <c r="J1186" s="56" t="s">
        <v>3226</v>
      </c>
      <c r="K1186" s="56" t="s">
        <v>3207</v>
      </c>
      <c r="L1186" s="56" t="s">
        <v>3302</v>
      </c>
      <c r="N1186" s="56" t="s">
        <v>3466</v>
      </c>
      <c r="O1186" t="str">
        <f>_xlfn.XLOOKUP(N1186,'Error-codes'!$C$2:$C$130,'Error-codes'!$B$2:$B$130, "None")</f>
        <v>vision error</v>
      </c>
      <c r="U1186" s="81">
        <f>DATEVALUE(LEFT(F1186,10))</f>
        <v>44976</v>
      </c>
    </row>
    <row r="1187" spans="1:21">
      <c r="A1187" s="56"/>
      <c r="B1187" s="56" t="s">
        <v>3202</v>
      </c>
      <c r="C1187" s="56" t="s">
        <v>6036</v>
      </c>
      <c r="D1187" s="56" t="s">
        <v>37</v>
      </c>
      <c r="E1187" s="56" t="s">
        <v>2939</v>
      </c>
      <c r="F1187" s="56" t="s">
        <v>6039</v>
      </c>
      <c r="G1187" s="56">
        <v>39</v>
      </c>
      <c r="H1187" s="56">
        <v>3</v>
      </c>
      <c r="I1187" s="56">
        <v>7.6923076923076927E-2</v>
      </c>
      <c r="J1187" s="56" t="s">
        <v>3226</v>
      </c>
      <c r="K1187" s="56" t="s">
        <v>3207</v>
      </c>
      <c r="L1187" s="56" t="s">
        <v>3302</v>
      </c>
      <c r="N1187" s="56" t="s">
        <v>3466</v>
      </c>
      <c r="O1187" t="str">
        <f>_xlfn.XLOOKUP(N1187,'Error-codes'!$C$2:$C$130,'Error-codes'!$B$2:$B$130, "None")</f>
        <v>vision error</v>
      </c>
      <c r="U1187" s="81">
        <f>DATEVALUE(LEFT(F1187,10))</f>
        <v>44976</v>
      </c>
    </row>
    <row r="1188" spans="1:21">
      <c r="A1188" s="56"/>
      <c r="B1188" s="56" t="s">
        <v>3202</v>
      </c>
      <c r="C1188" s="56" t="s">
        <v>6036</v>
      </c>
      <c r="D1188" s="56" t="s">
        <v>37</v>
      </c>
      <c r="E1188" s="56" t="s">
        <v>2939</v>
      </c>
      <c r="F1188" s="56" t="s">
        <v>6040</v>
      </c>
      <c r="G1188" s="56">
        <v>39</v>
      </c>
      <c r="H1188" s="56">
        <v>4</v>
      </c>
      <c r="I1188" s="56">
        <v>0.10256410256410256</v>
      </c>
      <c r="J1188" s="56" t="s">
        <v>3304</v>
      </c>
      <c r="K1188" s="56" t="s">
        <v>3207</v>
      </c>
      <c r="L1188" s="56" t="s">
        <v>3302</v>
      </c>
      <c r="N1188" s="56" t="s">
        <v>3466</v>
      </c>
      <c r="O1188" t="str">
        <f>_xlfn.XLOOKUP(N1188,'Error-codes'!$C$2:$C$130,'Error-codes'!$B$2:$B$130, "None")</f>
        <v>vision error</v>
      </c>
      <c r="U1188" s="81">
        <f>DATEVALUE(LEFT(F1188,10))</f>
        <v>44976</v>
      </c>
    </row>
    <row r="1189" spans="1:21">
      <c r="A1189" s="56"/>
      <c r="B1189" s="56" t="s">
        <v>3202</v>
      </c>
      <c r="C1189" s="56" t="s">
        <v>6036</v>
      </c>
      <c r="D1189" s="56" t="s">
        <v>37</v>
      </c>
      <c r="E1189" s="56" t="s">
        <v>2939</v>
      </c>
      <c r="F1189" s="56" t="s">
        <v>6041</v>
      </c>
      <c r="G1189" s="56">
        <v>39</v>
      </c>
      <c r="H1189" s="56">
        <v>5</v>
      </c>
      <c r="I1189" s="56">
        <v>0.12820512820512819</v>
      </c>
      <c r="J1189" s="56" t="s">
        <v>3304</v>
      </c>
      <c r="K1189" s="56" t="s">
        <v>3207</v>
      </c>
      <c r="L1189" s="56" t="s">
        <v>3302</v>
      </c>
      <c r="N1189" s="56" t="s">
        <v>3466</v>
      </c>
      <c r="O1189" t="str">
        <f>_xlfn.XLOOKUP(N1189,'Error-codes'!$C$2:$C$130,'Error-codes'!$B$2:$B$130, "None")</f>
        <v>vision error</v>
      </c>
      <c r="U1189" s="81">
        <f>DATEVALUE(LEFT(F1189,10))</f>
        <v>44976</v>
      </c>
    </row>
    <row r="1190" spans="1:21">
      <c r="A1190" s="56"/>
      <c r="B1190" s="56" t="s">
        <v>3202</v>
      </c>
      <c r="C1190" s="56" t="s">
        <v>6036</v>
      </c>
      <c r="D1190" s="56" t="s">
        <v>37</v>
      </c>
      <c r="E1190" s="56" t="s">
        <v>3242</v>
      </c>
      <c r="F1190" s="56" t="s">
        <v>6042</v>
      </c>
      <c r="G1190" s="56">
        <v>39</v>
      </c>
      <c r="H1190" s="56">
        <v>6</v>
      </c>
      <c r="I1190" s="56">
        <v>0.15384615384615385</v>
      </c>
      <c r="J1190" s="56" t="s">
        <v>3353</v>
      </c>
      <c r="K1190" s="56" t="s">
        <v>3207</v>
      </c>
      <c r="L1190" s="56" t="s">
        <v>3302</v>
      </c>
      <c r="N1190" s="56" t="s">
        <v>3466</v>
      </c>
      <c r="O1190" t="str">
        <f>_xlfn.XLOOKUP(N1190,'Error-codes'!$C$2:$C$130,'Error-codes'!$B$2:$B$130, "None")</f>
        <v>vision error</v>
      </c>
      <c r="U1190" s="81">
        <f>DATEVALUE(LEFT(F1190,10))</f>
        <v>44976</v>
      </c>
    </row>
    <row r="1191" spans="1:21">
      <c r="A1191" s="56"/>
      <c r="B1191" s="56" t="s">
        <v>3202</v>
      </c>
      <c r="C1191" s="56" t="s">
        <v>6043</v>
      </c>
      <c r="D1191" s="56" t="s">
        <v>388</v>
      </c>
      <c r="E1191" s="56" t="s">
        <v>2939</v>
      </c>
      <c r="F1191" s="56" t="s">
        <v>6044</v>
      </c>
      <c r="G1191" s="56">
        <v>33</v>
      </c>
      <c r="H1191" s="56">
        <v>11</v>
      </c>
      <c r="I1191" s="56">
        <v>0.33333333333333331</v>
      </c>
      <c r="J1191" s="56" t="s">
        <v>5408</v>
      </c>
      <c r="K1191" s="56" t="s">
        <v>3207</v>
      </c>
      <c r="L1191" s="56" t="s">
        <v>3302</v>
      </c>
      <c r="N1191" s="56" t="s">
        <v>3446</v>
      </c>
      <c r="O1191" t="str">
        <f>_xlfn.XLOOKUP(N1191,'Error-codes'!$C$2:$C$130,'Error-codes'!$B$2:$B$130, "None")</f>
        <v>end of lane wall sensor error</v>
      </c>
      <c r="U1191" s="81">
        <f>DATEVALUE(LEFT(F1191,10))</f>
        <v>44976</v>
      </c>
    </row>
    <row r="1192" spans="1:21">
      <c r="A1192" s="56"/>
      <c r="B1192" s="56" t="s">
        <v>3202</v>
      </c>
      <c r="C1192" s="56" t="s">
        <v>6043</v>
      </c>
      <c r="D1192" s="56" t="s">
        <v>388</v>
      </c>
      <c r="E1192" s="56" t="s">
        <v>2939</v>
      </c>
      <c r="F1192" s="56" t="s">
        <v>6045</v>
      </c>
      <c r="G1192" s="56">
        <v>33</v>
      </c>
      <c r="H1192" s="56">
        <v>14</v>
      </c>
      <c r="I1192" s="56">
        <v>0.42424242424242425</v>
      </c>
      <c r="J1192" s="56" t="s">
        <v>6046</v>
      </c>
      <c r="K1192" s="56" t="s">
        <v>3207</v>
      </c>
      <c r="L1192" s="56" t="s">
        <v>3302</v>
      </c>
      <c r="N1192" s="56" t="s">
        <v>2933</v>
      </c>
      <c r="O1192" t="str">
        <f>_xlfn.XLOOKUP(N1192,'Error-codes'!$C$2:$C$130,'Error-codes'!$B$2:$B$130, "None")</f>
        <v>inductive sensor error</v>
      </c>
      <c r="U1192" s="81">
        <f>DATEVALUE(LEFT(F1192,10))</f>
        <v>44976</v>
      </c>
    </row>
    <row r="1193" spans="1:21">
      <c r="A1193" s="56" t="s">
        <v>6047</v>
      </c>
      <c r="B1193" s="56" t="s">
        <v>3293</v>
      </c>
      <c r="C1193" s="56" t="s">
        <v>6048</v>
      </c>
      <c r="D1193" s="56" t="s">
        <v>388</v>
      </c>
      <c r="E1193" s="56" t="s">
        <v>2939</v>
      </c>
      <c r="F1193" s="56" t="s">
        <v>6049</v>
      </c>
      <c r="G1193" s="56">
        <v>20</v>
      </c>
      <c r="H1193" s="56">
        <v>1</v>
      </c>
      <c r="I1193" s="56">
        <v>0.05</v>
      </c>
      <c r="J1193" s="56" t="s">
        <v>5285</v>
      </c>
      <c r="K1193" s="56" t="s">
        <v>3207</v>
      </c>
      <c r="L1193" s="56" t="s">
        <v>5286</v>
      </c>
      <c r="M1193" s="56" t="str">
        <f>HYPERLINK("https://dribble.octin.io/?mode=Single+log&amp;log_id=9c6a55d7-c184-4a15-af62-b9e16bea9d19","URL")</f>
        <v>URL</v>
      </c>
      <c r="N1193" s="56" t="s">
        <v>3446</v>
      </c>
      <c r="O1193" t="str">
        <f>_xlfn.XLOOKUP(N1193,'Error-codes'!$C$2:$C$130,'Error-codes'!$B$2:$B$130, "None")</f>
        <v>end of lane wall sensor error</v>
      </c>
      <c r="P1193" t="s">
        <v>5998</v>
      </c>
      <c r="R1193" t="s">
        <v>2897</v>
      </c>
      <c r="U1193" s="81">
        <f>DATEVALUE(LEFT(F1193,10))</f>
        <v>44976</v>
      </c>
    </row>
    <row r="1194" spans="1:21">
      <c r="A1194" s="56"/>
      <c r="B1194" s="56" t="s">
        <v>3202</v>
      </c>
      <c r="C1194" s="56" t="s">
        <v>6043</v>
      </c>
      <c r="D1194" s="56" t="s">
        <v>388</v>
      </c>
      <c r="E1194" s="56" t="s">
        <v>2939</v>
      </c>
      <c r="F1194" s="56" t="s">
        <v>6050</v>
      </c>
      <c r="G1194" s="56">
        <v>33</v>
      </c>
      <c r="H1194" s="56">
        <v>26</v>
      </c>
      <c r="I1194" s="56">
        <v>0.78787878787878785</v>
      </c>
      <c r="J1194" s="56" t="s">
        <v>5280</v>
      </c>
      <c r="K1194" s="56" t="s">
        <v>3207</v>
      </c>
      <c r="L1194" s="56" t="s">
        <v>3302</v>
      </c>
      <c r="N1194" s="56" t="s">
        <v>2933</v>
      </c>
      <c r="O1194" t="str">
        <f>_xlfn.XLOOKUP(N1194,'Error-codes'!$C$2:$C$130,'Error-codes'!$B$2:$B$130, "None")</f>
        <v>inductive sensor error</v>
      </c>
      <c r="U1194" s="81">
        <f>DATEVALUE(LEFT(F1194,10))</f>
        <v>44976</v>
      </c>
    </row>
    <row r="1195" spans="1:21">
      <c r="A1195" s="56"/>
      <c r="B1195" s="56" t="s">
        <v>3202</v>
      </c>
      <c r="C1195" s="56" t="s">
        <v>6043</v>
      </c>
      <c r="D1195" s="56" t="s">
        <v>388</v>
      </c>
      <c r="E1195" s="56" t="s">
        <v>2939</v>
      </c>
      <c r="F1195" s="56" t="s">
        <v>6051</v>
      </c>
      <c r="G1195" s="56">
        <v>33</v>
      </c>
      <c r="H1195" s="56">
        <v>27</v>
      </c>
      <c r="I1195" s="56">
        <v>0.81818181818181823</v>
      </c>
      <c r="J1195" s="56" t="s">
        <v>5516</v>
      </c>
      <c r="K1195" s="56" t="s">
        <v>3207</v>
      </c>
      <c r="L1195" s="56" t="s">
        <v>3302</v>
      </c>
      <c r="N1195" s="56" t="s">
        <v>2933</v>
      </c>
      <c r="O1195" t="str">
        <f>_xlfn.XLOOKUP(N1195,'Error-codes'!$C$2:$C$130,'Error-codes'!$B$2:$B$130, "None")</f>
        <v>inductive sensor error</v>
      </c>
      <c r="U1195" s="81">
        <f>DATEVALUE(LEFT(F1195,10))</f>
        <v>44976</v>
      </c>
    </row>
    <row r="1196" spans="1:21">
      <c r="A1196" s="56"/>
      <c r="B1196" s="56" t="s">
        <v>3202</v>
      </c>
      <c r="C1196" s="56" t="s">
        <v>6043</v>
      </c>
      <c r="D1196" s="56" t="s">
        <v>388</v>
      </c>
      <c r="E1196" s="56" t="s">
        <v>2939</v>
      </c>
      <c r="F1196" s="56" t="s">
        <v>6052</v>
      </c>
      <c r="G1196" s="56">
        <v>33</v>
      </c>
      <c r="H1196" s="56">
        <v>29</v>
      </c>
      <c r="I1196" s="56">
        <v>0.87878787878787878</v>
      </c>
      <c r="J1196" s="56" t="s">
        <v>5563</v>
      </c>
      <c r="K1196" s="56" t="s">
        <v>3207</v>
      </c>
      <c r="L1196" s="56" t="s">
        <v>3302</v>
      </c>
      <c r="N1196" s="56" t="s">
        <v>3472</v>
      </c>
      <c r="O1196" t="str">
        <f>_xlfn.XLOOKUP(N1196,'Error-codes'!$C$2:$C$130,'Error-codes'!$B$2:$B$130, "None")</f>
        <v>Excessive slip detected</v>
      </c>
      <c r="U1196" s="81">
        <f>DATEVALUE(LEFT(F1196,10))</f>
        <v>44976</v>
      </c>
    </row>
    <row r="1197" spans="1:21">
      <c r="B1197" s="56" t="s">
        <v>3202</v>
      </c>
      <c r="C1197" s="56" t="s">
        <v>6043</v>
      </c>
      <c r="D1197" s="56" t="s">
        <v>388</v>
      </c>
      <c r="F1197" s="56" t="s">
        <v>6053</v>
      </c>
      <c r="G1197" s="56">
        <v>33</v>
      </c>
      <c r="H1197" s="56">
        <v>28</v>
      </c>
      <c r="I1197" s="56">
        <v>0.84848484848484851</v>
      </c>
      <c r="K1197" s="56" t="s">
        <v>3207</v>
      </c>
      <c r="L1197" s="56" t="s">
        <v>3302</v>
      </c>
      <c r="O1197">
        <f>_xlfn.XLOOKUP(N1197,'Error-codes'!$C$2:$C$130,'Error-codes'!$B$2:$B$130, "None")</f>
        <v>0</v>
      </c>
      <c r="U1197" s="81">
        <f>DATEVALUE(LEFT(F1197,10))</f>
        <v>44976</v>
      </c>
    </row>
    <row r="1198" spans="1:21">
      <c r="B1198" s="56" t="s">
        <v>3293</v>
      </c>
      <c r="C1198" s="56" t="s">
        <v>6048</v>
      </c>
      <c r="D1198" s="56" t="s">
        <v>388</v>
      </c>
      <c r="F1198" s="56" t="s">
        <v>6054</v>
      </c>
      <c r="G1198" s="56">
        <v>20</v>
      </c>
      <c r="H1198" s="56">
        <v>19</v>
      </c>
      <c r="I1198" s="56">
        <v>0.95</v>
      </c>
      <c r="K1198" s="56" t="s">
        <v>3207</v>
      </c>
      <c r="L1198" s="56" t="s">
        <v>5286</v>
      </c>
      <c r="O1198">
        <f>_xlfn.XLOOKUP(N1198,'Error-codes'!$C$2:$C$130,'Error-codes'!$B$2:$B$130, "None")</f>
        <v>0</v>
      </c>
      <c r="U1198" s="81">
        <f>DATEVALUE(LEFT(F1198,10))</f>
        <v>44976</v>
      </c>
    </row>
    <row r="1199" spans="1:21">
      <c r="A1199" s="56"/>
      <c r="B1199" s="56" t="s">
        <v>29</v>
      </c>
      <c r="C1199" s="56" t="s">
        <v>6055</v>
      </c>
      <c r="D1199" s="56" t="s">
        <v>37</v>
      </c>
      <c r="E1199" s="56" t="s">
        <v>3242</v>
      </c>
      <c r="F1199" s="56" t="s">
        <v>6056</v>
      </c>
      <c r="G1199" s="56">
        <v>223</v>
      </c>
      <c r="H1199" s="56">
        <v>0</v>
      </c>
      <c r="I1199" s="56">
        <v>0</v>
      </c>
      <c r="J1199" s="56" t="s">
        <v>5976</v>
      </c>
      <c r="K1199" s="56" t="s">
        <v>5612</v>
      </c>
      <c r="L1199" s="56" t="s">
        <v>3325</v>
      </c>
      <c r="N1199" s="56" t="s">
        <v>3468</v>
      </c>
      <c r="O1199" t="str">
        <f>_xlfn.XLOOKUP(N1199,'Error-codes'!$C$2:$C$130,'Error-codes'!$B$2:$B$130, "None")</f>
        <v>no vision heartbeat</v>
      </c>
      <c r="U1199" s="81">
        <f>DATEVALUE(LEFT(F1199,10))</f>
        <v>44978</v>
      </c>
    </row>
    <row r="1200" spans="1:21">
      <c r="B1200" s="56" t="s">
        <v>5394</v>
      </c>
      <c r="C1200" s="56" t="s">
        <v>6057</v>
      </c>
      <c r="D1200" s="56" t="s">
        <v>388</v>
      </c>
      <c r="F1200" s="56" t="s">
        <v>6058</v>
      </c>
      <c r="G1200" s="56">
        <v>120</v>
      </c>
      <c r="H1200" s="56">
        <v>120</v>
      </c>
      <c r="I1200" s="56">
        <v>1</v>
      </c>
      <c r="K1200" s="56" t="s">
        <v>1893</v>
      </c>
      <c r="L1200" s="56" t="s">
        <v>6059</v>
      </c>
      <c r="O1200">
        <f>_xlfn.XLOOKUP(N1200,'Error-codes'!$C$2:$C$130,'Error-codes'!$B$2:$B$130, "None")</f>
        <v>0</v>
      </c>
      <c r="U1200" s="81">
        <f>DATEVALUE(LEFT(F1200,10))</f>
        <v>44979</v>
      </c>
    </row>
    <row r="1201" spans="1:21">
      <c r="A1201" s="56" t="s">
        <v>6060</v>
      </c>
      <c r="B1201" s="56" t="s">
        <v>29</v>
      </c>
      <c r="C1201" s="56" t="s">
        <v>6061</v>
      </c>
      <c r="D1201" s="56" t="s">
        <v>37</v>
      </c>
      <c r="E1201" s="56" t="s">
        <v>4774</v>
      </c>
      <c r="F1201" s="56" t="s">
        <v>6062</v>
      </c>
      <c r="G1201" s="56">
        <v>223</v>
      </c>
      <c r="H1201" s="56">
        <v>180</v>
      </c>
      <c r="I1201" s="56">
        <v>0.80717488789237668</v>
      </c>
      <c r="J1201" s="56" t="s">
        <v>5934</v>
      </c>
      <c r="K1201" s="56" t="s">
        <v>5612</v>
      </c>
      <c r="L1201" s="56" t="s">
        <v>3325</v>
      </c>
      <c r="M1201" s="56" t="str">
        <f>HYPERLINK("https://dribble.octin.io/?mode=Single+log&amp;log_id=c020cb6c-582f-4946-be6c-349dfb393e29","URL")</f>
        <v>URL</v>
      </c>
      <c r="N1201" s="56" t="s">
        <v>3450</v>
      </c>
      <c r="O1201" t="str">
        <f>_xlfn.XLOOKUP(N1201,'Error-codes'!$C$2:$C$130,'Error-codes'!$B$2:$B$130, "None")</f>
        <v>xtheta sensor error</v>
      </c>
      <c r="P1201" t="s">
        <v>6063</v>
      </c>
      <c r="U1201" s="81">
        <f>DATEVALUE(LEFT(F1201,10))</f>
        <v>44979</v>
      </c>
    </row>
    <row r="1202" spans="1:21">
      <c r="B1202" s="56" t="s">
        <v>3293</v>
      </c>
      <c r="C1202" s="56" t="s">
        <v>6064</v>
      </c>
      <c r="D1202" s="56" t="s">
        <v>22</v>
      </c>
      <c r="F1202" s="56" t="s">
        <v>6065</v>
      </c>
      <c r="G1202" s="56">
        <v>21</v>
      </c>
      <c r="H1202" s="56">
        <v>0</v>
      </c>
      <c r="I1202" s="56">
        <v>0</v>
      </c>
      <c r="K1202" s="56" t="s">
        <v>3207</v>
      </c>
      <c r="L1202" s="56" t="s">
        <v>3297</v>
      </c>
      <c r="O1202">
        <f>_xlfn.XLOOKUP(N1202,'Error-codes'!$C$2:$C$130,'Error-codes'!$B$2:$B$130, "None")</f>
        <v>0</v>
      </c>
      <c r="U1202" s="81">
        <f>DATEVALUE(LEFT(F1202,10))</f>
        <v>44979</v>
      </c>
    </row>
    <row r="1203" spans="1:21">
      <c r="B1203" s="56" t="s">
        <v>295</v>
      </c>
      <c r="C1203" s="56" t="s">
        <v>6066</v>
      </c>
      <c r="D1203" s="56" t="s">
        <v>22</v>
      </c>
      <c r="F1203" s="56" t="s">
        <v>6067</v>
      </c>
      <c r="G1203" s="56">
        <v>31</v>
      </c>
      <c r="H1203" s="56">
        <v>2</v>
      </c>
      <c r="I1203" s="56">
        <v>6.4516129032258063E-2</v>
      </c>
      <c r="K1203" s="56" t="s">
        <v>5612</v>
      </c>
      <c r="L1203" s="56" t="s">
        <v>3325</v>
      </c>
      <c r="O1203">
        <f>_xlfn.XLOOKUP(N1203,'Error-codes'!$C$2:$C$130,'Error-codes'!$B$2:$B$130, "None")</f>
        <v>0</v>
      </c>
      <c r="U1203" s="81">
        <f>DATEVALUE(LEFT(F1203,10))</f>
        <v>44979</v>
      </c>
    </row>
    <row r="1204" spans="1:21">
      <c r="A1204" s="56" t="s">
        <v>6068</v>
      </c>
      <c r="B1204" s="56" t="s">
        <v>29</v>
      </c>
      <c r="C1204" s="56" t="s">
        <v>6069</v>
      </c>
      <c r="D1204" s="56" t="s">
        <v>388</v>
      </c>
      <c r="E1204" s="56" t="s">
        <v>2939</v>
      </c>
      <c r="F1204" s="56" t="s">
        <v>6070</v>
      </c>
      <c r="G1204" s="56">
        <v>43</v>
      </c>
      <c r="H1204" s="56">
        <v>35</v>
      </c>
      <c r="I1204" s="56">
        <v>0.81395348837209303</v>
      </c>
      <c r="J1204" s="56" t="s">
        <v>5782</v>
      </c>
      <c r="K1204" s="56" t="s">
        <v>5612</v>
      </c>
      <c r="L1204" s="56" t="s">
        <v>3325</v>
      </c>
      <c r="M1204" s="56" t="str">
        <f>HYPERLINK("https://dribble.octin.io/?mode=Single+log&amp;log_id=aad1aede-7b14-4bb8-9c45-a0e88d0efd50","URL")</f>
        <v>URL</v>
      </c>
      <c r="N1204" s="56" t="s">
        <v>3446</v>
      </c>
      <c r="O1204" t="str">
        <f>_xlfn.XLOOKUP(N1204,'Error-codes'!$C$2:$C$130,'Error-codes'!$B$2:$B$130, "None")</f>
        <v>end of lane wall sensor error</v>
      </c>
      <c r="U1204" s="81">
        <f>DATEVALUE(LEFT(F1204,10))</f>
        <v>44979</v>
      </c>
    </row>
    <row r="1205" spans="1:21">
      <c r="B1205" s="56" t="s">
        <v>29</v>
      </c>
      <c r="C1205" s="56" t="s">
        <v>6069</v>
      </c>
      <c r="D1205" s="56" t="s">
        <v>388</v>
      </c>
      <c r="F1205" s="56" t="s">
        <v>6071</v>
      </c>
      <c r="G1205" s="56">
        <v>43</v>
      </c>
      <c r="H1205" s="56">
        <v>42</v>
      </c>
      <c r="I1205" s="56">
        <v>0.97674418604651159</v>
      </c>
      <c r="K1205" s="56" t="s">
        <v>5612</v>
      </c>
      <c r="L1205" s="56" t="s">
        <v>3325</v>
      </c>
      <c r="O1205">
        <f>_xlfn.XLOOKUP(N1205,'Error-codes'!$C$2:$C$130,'Error-codes'!$B$2:$B$130, "None")</f>
        <v>0</v>
      </c>
      <c r="U1205" s="81">
        <f>DATEVALUE(LEFT(F1205,10))</f>
        <v>44979</v>
      </c>
    </row>
    <row r="1206" spans="1:21">
      <c r="A1206" s="56"/>
      <c r="B1206" s="56" t="s">
        <v>295</v>
      </c>
      <c r="C1206" s="56" t="s">
        <v>6072</v>
      </c>
      <c r="D1206" s="56" t="s">
        <v>37</v>
      </c>
      <c r="E1206" s="56" t="s">
        <v>2939</v>
      </c>
      <c r="F1206" s="56" t="s">
        <v>6073</v>
      </c>
      <c r="G1206" s="56">
        <v>155</v>
      </c>
      <c r="H1206" s="56">
        <v>0</v>
      </c>
      <c r="I1206" s="56">
        <v>0</v>
      </c>
      <c r="J1206" s="56" t="s">
        <v>6074</v>
      </c>
      <c r="K1206" s="56" t="s">
        <v>5593</v>
      </c>
      <c r="L1206" s="56" t="s">
        <v>3358</v>
      </c>
      <c r="N1206" s="56" t="s">
        <v>3468</v>
      </c>
      <c r="O1206" t="str">
        <f>_xlfn.XLOOKUP(N1206,'Error-codes'!$C$2:$C$130,'Error-codes'!$B$2:$B$130, "None")</f>
        <v>no vision heartbeat</v>
      </c>
      <c r="U1206" s="81">
        <f>DATEVALUE(LEFT(F1206,10))</f>
        <v>44979</v>
      </c>
    </row>
    <row r="1207" spans="1:21">
      <c r="A1207" s="56"/>
      <c r="B1207" s="56" t="s">
        <v>295</v>
      </c>
      <c r="C1207" s="56" t="s">
        <v>6072</v>
      </c>
      <c r="D1207" s="56" t="s">
        <v>37</v>
      </c>
      <c r="E1207" s="56" t="s">
        <v>3242</v>
      </c>
      <c r="F1207" s="56" t="s">
        <v>6075</v>
      </c>
      <c r="G1207" s="56">
        <v>155</v>
      </c>
      <c r="H1207" s="56">
        <v>1</v>
      </c>
      <c r="I1207" s="56">
        <v>6.4516129032258064E-3</v>
      </c>
      <c r="J1207" s="56" t="s">
        <v>6074</v>
      </c>
      <c r="K1207" s="56" t="s">
        <v>5593</v>
      </c>
      <c r="L1207" s="56" t="s">
        <v>3358</v>
      </c>
      <c r="N1207" s="56" t="s">
        <v>3468</v>
      </c>
      <c r="O1207" t="str">
        <f>_xlfn.XLOOKUP(N1207,'Error-codes'!$C$2:$C$130,'Error-codes'!$B$2:$B$130, "None")</f>
        <v>no vision heartbeat</v>
      </c>
      <c r="U1207" s="81">
        <f>DATEVALUE(LEFT(F1207,10))</f>
        <v>44979</v>
      </c>
    </row>
    <row r="1208" spans="1:21">
      <c r="A1208" s="56" t="s">
        <v>6076</v>
      </c>
      <c r="B1208" s="56" t="s">
        <v>3293</v>
      </c>
      <c r="C1208" s="56" t="s">
        <v>6077</v>
      </c>
      <c r="D1208" s="56" t="s">
        <v>37</v>
      </c>
      <c r="E1208" s="56" t="s">
        <v>4351</v>
      </c>
      <c r="F1208" s="56" t="s">
        <v>6078</v>
      </c>
      <c r="G1208" s="56">
        <v>22</v>
      </c>
      <c r="H1208" s="56">
        <v>8</v>
      </c>
      <c r="I1208" s="56">
        <v>0.36363636363636365</v>
      </c>
      <c r="J1208" s="56" t="s">
        <v>5319</v>
      </c>
      <c r="K1208" s="56" t="s">
        <v>3207</v>
      </c>
      <c r="L1208" s="56" t="s">
        <v>3297</v>
      </c>
      <c r="M1208" s="56" t="str">
        <f>HYPERLINK("https://dribble.octin.io/?mode=Single+log&amp;log_id=3bc73a43-dc17-4b27-a904-3c434ccc712f","URL")</f>
        <v>URL</v>
      </c>
      <c r="N1208" s="56" t="s">
        <v>3472</v>
      </c>
      <c r="O1208" t="str">
        <f>_xlfn.XLOOKUP(N1208,'Error-codes'!$C$2:$C$130,'Error-codes'!$B$2:$B$130, "None")</f>
        <v>Excessive slip detected</v>
      </c>
      <c r="R1208" t="s">
        <v>2899</v>
      </c>
      <c r="U1208" s="81">
        <f>DATEVALUE(LEFT(F1208,10))</f>
        <v>44979</v>
      </c>
    </row>
    <row r="1209" spans="1:21">
      <c r="B1209" s="56" t="s">
        <v>3263</v>
      </c>
      <c r="C1209" s="56" t="s">
        <v>6079</v>
      </c>
      <c r="D1209" s="56" t="s">
        <v>22</v>
      </c>
      <c r="F1209" s="56" t="s">
        <v>6080</v>
      </c>
      <c r="G1209" s="56">
        <v>81</v>
      </c>
      <c r="H1209" s="56">
        <v>1</v>
      </c>
      <c r="I1209" s="56">
        <v>1.2345679012345678E-2</v>
      </c>
      <c r="K1209" s="56" t="s">
        <v>3268</v>
      </c>
      <c r="L1209" s="56" t="s">
        <v>3269</v>
      </c>
      <c r="O1209">
        <f>_xlfn.XLOOKUP(N1209,'Error-codes'!$C$2:$C$130,'Error-codes'!$B$2:$B$130, "None")</f>
        <v>0</v>
      </c>
      <c r="U1209" s="81">
        <f>DATEVALUE(LEFT(F1209,10))</f>
        <v>44979</v>
      </c>
    </row>
    <row r="1210" spans="1:21">
      <c r="A1210" s="56"/>
      <c r="B1210" s="56" t="s">
        <v>29</v>
      </c>
      <c r="C1210" s="56" t="s">
        <v>6081</v>
      </c>
      <c r="D1210" s="56" t="s">
        <v>37</v>
      </c>
      <c r="E1210" s="56" t="s">
        <v>2939</v>
      </c>
      <c r="F1210" s="56" t="s">
        <v>6082</v>
      </c>
      <c r="G1210" s="56">
        <v>209</v>
      </c>
      <c r="H1210" s="56">
        <v>10</v>
      </c>
      <c r="I1210" s="56">
        <v>4.784688995215311E-2</v>
      </c>
      <c r="J1210" s="56" t="s">
        <v>6083</v>
      </c>
      <c r="K1210" s="56" t="s">
        <v>5593</v>
      </c>
      <c r="L1210" s="56" t="s">
        <v>3325</v>
      </c>
      <c r="N1210" s="56" t="s">
        <v>3444</v>
      </c>
      <c r="O1210" t="str">
        <f>_xlfn.XLOOKUP(N1210,'Error-codes'!$C$2:$C$130,'Error-codes'!$B$2:$B$130, "None")</f>
        <v>collision detected in operational state for the 4th time in a row</v>
      </c>
      <c r="U1210" s="81">
        <f>DATEVALUE(LEFT(F1210,10))</f>
        <v>44979</v>
      </c>
    </row>
    <row r="1211" spans="1:21">
      <c r="A1211" s="56"/>
      <c r="B1211" s="56" t="s">
        <v>29</v>
      </c>
      <c r="C1211" s="56" t="s">
        <v>6081</v>
      </c>
      <c r="D1211" s="56" t="s">
        <v>37</v>
      </c>
      <c r="E1211" s="56" t="s">
        <v>2939</v>
      </c>
      <c r="F1211" s="56" t="s">
        <v>6084</v>
      </c>
      <c r="G1211" s="56">
        <v>209</v>
      </c>
      <c r="H1211" s="56">
        <v>80</v>
      </c>
      <c r="I1211" s="56">
        <v>0.38277511961722488</v>
      </c>
      <c r="J1211" s="56" t="s">
        <v>6006</v>
      </c>
      <c r="K1211" s="56" t="s">
        <v>5593</v>
      </c>
      <c r="L1211" s="56" t="s">
        <v>3325</v>
      </c>
      <c r="N1211" s="56" t="s">
        <v>3472</v>
      </c>
      <c r="O1211" t="str">
        <f>_xlfn.XLOOKUP(N1211,'Error-codes'!$C$2:$C$130,'Error-codes'!$B$2:$B$130, "None")</f>
        <v>Excessive slip detected</v>
      </c>
      <c r="U1211" s="81">
        <f>DATEVALUE(LEFT(F1211,10))</f>
        <v>44980</v>
      </c>
    </row>
    <row r="1212" spans="1:21">
      <c r="A1212" s="56"/>
      <c r="B1212" s="56" t="s">
        <v>29</v>
      </c>
      <c r="C1212" s="56" t="s">
        <v>6081</v>
      </c>
      <c r="D1212" s="56" t="s">
        <v>37</v>
      </c>
      <c r="E1212" s="56" t="s">
        <v>2939</v>
      </c>
      <c r="F1212" s="56" t="s">
        <v>6085</v>
      </c>
      <c r="G1212" s="56">
        <v>209</v>
      </c>
      <c r="H1212" s="56">
        <v>87</v>
      </c>
      <c r="I1212" s="56">
        <v>0.41626794258373206</v>
      </c>
      <c r="J1212" s="56" t="s">
        <v>5760</v>
      </c>
      <c r="K1212" s="56" t="s">
        <v>5593</v>
      </c>
      <c r="L1212" s="56" t="s">
        <v>3325</v>
      </c>
      <c r="N1212" s="56" t="s">
        <v>3444</v>
      </c>
      <c r="O1212" t="str">
        <f>_xlfn.XLOOKUP(N1212,'Error-codes'!$C$2:$C$130,'Error-codes'!$B$2:$B$130, "None")</f>
        <v>collision detected in operational state for the 4th time in a row</v>
      </c>
      <c r="U1212" s="81">
        <f>DATEVALUE(LEFT(F1212,10))</f>
        <v>44980</v>
      </c>
    </row>
    <row r="1213" spans="1:21">
      <c r="B1213" s="56" t="s">
        <v>5394</v>
      </c>
      <c r="C1213" s="56" t="s">
        <v>6086</v>
      </c>
      <c r="D1213" s="56" t="s">
        <v>388</v>
      </c>
      <c r="F1213" s="56" t="s">
        <v>6087</v>
      </c>
      <c r="G1213" s="56">
        <v>120</v>
      </c>
      <c r="H1213" s="56">
        <v>120</v>
      </c>
      <c r="I1213" s="56">
        <v>1</v>
      </c>
      <c r="K1213" s="56" t="s">
        <v>1873</v>
      </c>
      <c r="L1213" s="56" t="s">
        <v>6059</v>
      </c>
      <c r="O1213">
        <f>_xlfn.XLOOKUP(N1213,'Error-codes'!$C$2:$C$130,'Error-codes'!$B$2:$B$130, "None")</f>
        <v>0</v>
      </c>
      <c r="U1213" s="81">
        <f>DATEVALUE(LEFT(F1213,10))</f>
        <v>44980</v>
      </c>
    </row>
    <row r="1214" spans="1:21" ht="14.25" customHeight="1">
      <c r="A1214" s="56" t="s">
        <v>6088</v>
      </c>
      <c r="B1214" s="56" t="s">
        <v>295</v>
      </c>
      <c r="C1214" s="56" t="s">
        <v>6089</v>
      </c>
      <c r="D1214" s="56" t="s">
        <v>37</v>
      </c>
      <c r="E1214" s="56" t="s">
        <v>4371</v>
      </c>
      <c r="F1214" s="56" t="s">
        <v>6090</v>
      </c>
      <c r="G1214" s="56">
        <v>154</v>
      </c>
      <c r="H1214" s="56">
        <v>120</v>
      </c>
      <c r="I1214" s="56">
        <v>0.77922077922077926</v>
      </c>
      <c r="J1214" s="56" t="s">
        <v>6091</v>
      </c>
      <c r="K1214" s="56" t="s">
        <v>5593</v>
      </c>
      <c r="L1214" s="56" t="s">
        <v>3358</v>
      </c>
      <c r="M1214" s="56" t="str">
        <f>HYPERLINK("https://dribble.octin.io/?mode=Single+log&amp;log_id=31304feb-f4cf-4527-8bb3-c5a9dac25dbf","URL")</f>
        <v>URL</v>
      </c>
      <c r="N1214" s="56" t="s">
        <v>3470</v>
      </c>
      <c r="O1214" t="str">
        <f>_xlfn.XLOOKUP(N1214,'Error-codes'!$C$2:$C$130,'Error-codes'!$B$2:$B$130, "None")</f>
        <v>battery level critical low</v>
      </c>
      <c r="U1214" s="81">
        <f>DATEVALUE(LEFT(F1214,10))</f>
        <v>44980</v>
      </c>
    </row>
    <row r="1215" spans="1:21">
      <c r="A1215" s="56"/>
      <c r="B1215" s="56" t="s">
        <v>29</v>
      </c>
      <c r="C1215" s="56" t="s">
        <v>6081</v>
      </c>
      <c r="D1215" s="56" t="s">
        <v>37</v>
      </c>
      <c r="E1215" s="56" t="s">
        <v>4371</v>
      </c>
      <c r="F1215" s="56" t="s">
        <v>6092</v>
      </c>
      <c r="G1215" s="56">
        <v>209</v>
      </c>
      <c r="H1215" s="56">
        <v>141</v>
      </c>
      <c r="I1215" s="56">
        <v>0.67464114832535882</v>
      </c>
      <c r="J1215" s="56" t="s">
        <v>6093</v>
      </c>
      <c r="K1215" s="56" t="s">
        <v>5593</v>
      </c>
      <c r="L1215" s="56" t="s">
        <v>3325</v>
      </c>
      <c r="N1215" s="56" t="s">
        <v>3470</v>
      </c>
      <c r="O1215" t="str">
        <f>_xlfn.XLOOKUP(N1215,'Error-codes'!$C$2:$C$130,'Error-codes'!$B$2:$B$130, "None")</f>
        <v>battery level critical low</v>
      </c>
      <c r="U1215" s="81">
        <f>DATEVALUE(LEFT(F1215,10))</f>
        <v>44980</v>
      </c>
    </row>
    <row r="1216" spans="1:21">
      <c r="B1216" s="56" t="s">
        <v>3293</v>
      </c>
      <c r="C1216" s="56" t="s">
        <v>6094</v>
      </c>
      <c r="D1216" s="56" t="s">
        <v>388</v>
      </c>
      <c r="F1216" s="56" t="s">
        <v>6095</v>
      </c>
      <c r="G1216" s="56">
        <v>14</v>
      </c>
      <c r="H1216" s="56">
        <v>14</v>
      </c>
      <c r="I1216" s="56">
        <v>1</v>
      </c>
      <c r="K1216" s="56" t="s">
        <v>3207</v>
      </c>
      <c r="L1216" s="56" t="s">
        <v>3297</v>
      </c>
      <c r="O1216">
        <f>_xlfn.XLOOKUP(N1216,'Error-codes'!$C$2:$C$130,'Error-codes'!$B$2:$B$130, "None")</f>
        <v>0</v>
      </c>
      <c r="U1216" s="81">
        <f>DATEVALUE(LEFT(F1216,10))</f>
        <v>44980</v>
      </c>
    </row>
    <row r="1217" spans="1:21">
      <c r="A1217" s="56" t="s">
        <v>6096</v>
      </c>
      <c r="B1217" s="56" t="s">
        <v>3293</v>
      </c>
      <c r="C1217" s="56" t="s">
        <v>6097</v>
      </c>
      <c r="D1217" s="56" t="s">
        <v>37</v>
      </c>
      <c r="E1217" s="56" t="s">
        <v>2939</v>
      </c>
      <c r="F1217" s="56" t="s">
        <v>6098</v>
      </c>
      <c r="G1217" s="56">
        <v>12</v>
      </c>
      <c r="H1217" s="56">
        <v>1</v>
      </c>
      <c r="I1217" s="56">
        <v>8.3333333333333329E-2</v>
      </c>
      <c r="J1217" s="56" t="s">
        <v>3315</v>
      </c>
      <c r="K1217" s="56" t="s">
        <v>3207</v>
      </c>
      <c r="L1217" s="56" t="s">
        <v>6099</v>
      </c>
      <c r="M1217" s="56" t="str">
        <f>HYPERLINK("https://dribble.octin.io/?mode=Single+log&amp;log_id=22455bd0-d7b3-402e-8cdc-34e3c23f58bc","URL")</f>
        <v>URL</v>
      </c>
      <c r="N1217" s="56" t="s">
        <v>3444</v>
      </c>
      <c r="O1217" t="str">
        <f>_xlfn.XLOOKUP(N1217,'Error-codes'!$C$2:$C$130,'Error-codes'!$B$2:$B$130, "None")</f>
        <v>collision detected in operational state for the 4th time in a row</v>
      </c>
      <c r="U1217" s="81">
        <f>DATEVALUE(LEFT(F1217,10))</f>
        <v>44980</v>
      </c>
    </row>
    <row r="1218" spans="1:21">
      <c r="A1218" s="56" t="s">
        <v>6100</v>
      </c>
      <c r="B1218" s="56" t="s">
        <v>3293</v>
      </c>
      <c r="C1218" s="56" t="s">
        <v>6097</v>
      </c>
      <c r="D1218" s="56" t="s">
        <v>37</v>
      </c>
      <c r="E1218" s="56" t="s">
        <v>4253</v>
      </c>
      <c r="F1218" s="56" t="s">
        <v>6101</v>
      </c>
      <c r="G1218" s="56">
        <v>12</v>
      </c>
      <c r="H1218" s="56">
        <v>3</v>
      </c>
      <c r="I1218" s="56">
        <v>0.25</v>
      </c>
      <c r="J1218" s="56" t="s">
        <v>6102</v>
      </c>
      <c r="K1218" s="56" t="s">
        <v>3207</v>
      </c>
      <c r="L1218" s="56" t="s">
        <v>6099</v>
      </c>
      <c r="M1218" s="56" t="str">
        <f>HYPERLINK("https://dribble.octin.io/?mode=Single+log&amp;log_id=b82424d8-d42d-4362-a4db-e4dd29b07b0c","URL")</f>
        <v>URL</v>
      </c>
      <c r="N1218" s="56" t="s">
        <v>3460</v>
      </c>
      <c r="O1218" t="str">
        <f>_xlfn.XLOOKUP(N1218,'Error-codes'!$C$2:$C$130,'Error-codes'!$B$2:$B$130, "None")</f>
        <v>motor drive: DRV8353 FAULT</v>
      </c>
      <c r="U1218" s="81">
        <f>DATEVALUE(LEFT(F1218,10))</f>
        <v>44980</v>
      </c>
    </row>
    <row r="1219" spans="1:21">
      <c r="A1219" s="56" t="s">
        <v>6103</v>
      </c>
      <c r="B1219" s="56" t="s">
        <v>3293</v>
      </c>
      <c r="C1219" s="56" t="s">
        <v>6104</v>
      </c>
      <c r="D1219" s="56" t="s">
        <v>37</v>
      </c>
      <c r="E1219" s="56" t="s">
        <v>4222</v>
      </c>
      <c r="F1219" s="56" t="s">
        <v>6105</v>
      </c>
      <c r="G1219" s="56">
        <v>9</v>
      </c>
      <c r="H1219" s="56">
        <v>1</v>
      </c>
      <c r="I1219" s="56">
        <v>0.1111111111111111</v>
      </c>
      <c r="J1219" s="56" t="s">
        <v>3315</v>
      </c>
      <c r="K1219" s="56" t="s">
        <v>3207</v>
      </c>
      <c r="L1219" s="56" t="s">
        <v>6099</v>
      </c>
      <c r="M1219" s="56" t="str">
        <f>HYPERLINK("https://dribble.octin.io/?mode=Single+log&amp;log_id=56d08952-6157-4499-b0a6-1f6aa96cff22","URL")</f>
        <v>URL</v>
      </c>
      <c r="N1219" s="56" t="s">
        <v>3444</v>
      </c>
      <c r="O1219" t="str">
        <f>_xlfn.XLOOKUP(N1219,'Error-codes'!$C$2:$C$130,'Error-codes'!$B$2:$B$130, "None")</f>
        <v>collision detected in operational state for the 4th time in a row</v>
      </c>
      <c r="U1219" s="81">
        <f>DATEVALUE(LEFT(F1219,10))</f>
        <v>44980</v>
      </c>
    </row>
    <row r="1220" spans="1:21">
      <c r="B1220" s="56" t="s">
        <v>3263</v>
      </c>
      <c r="C1220" s="56" t="s">
        <v>6106</v>
      </c>
      <c r="D1220" s="56" t="s">
        <v>388</v>
      </c>
      <c r="F1220" s="56" t="s">
        <v>6107</v>
      </c>
      <c r="G1220" s="56">
        <v>81</v>
      </c>
      <c r="H1220" s="56">
        <v>81</v>
      </c>
      <c r="I1220" s="56">
        <v>1</v>
      </c>
      <c r="K1220" s="56" t="s">
        <v>3268</v>
      </c>
      <c r="L1220" s="56" t="s">
        <v>3269</v>
      </c>
      <c r="O1220">
        <f>_xlfn.XLOOKUP(N1220,'Error-codes'!$C$2:$C$130,'Error-codes'!$B$2:$B$130, "None")</f>
        <v>0</v>
      </c>
      <c r="U1220" s="81">
        <f>DATEVALUE(LEFT(F1220,10))</f>
        <v>44980</v>
      </c>
    </row>
    <row r="1221" spans="1:21">
      <c r="B1221" s="56" t="s">
        <v>3293</v>
      </c>
      <c r="C1221" s="56" t="s">
        <v>6108</v>
      </c>
      <c r="D1221" s="56" t="s">
        <v>388</v>
      </c>
      <c r="F1221" s="56" t="s">
        <v>6109</v>
      </c>
      <c r="G1221" s="56">
        <v>10</v>
      </c>
      <c r="H1221" s="56">
        <v>10</v>
      </c>
      <c r="I1221" s="56">
        <v>1</v>
      </c>
      <c r="K1221" s="56" t="s">
        <v>3207</v>
      </c>
      <c r="L1221" s="56" t="s">
        <v>6110</v>
      </c>
      <c r="O1221">
        <f>_xlfn.XLOOKUP(N1221,'Error-codes'!$C$2:$C$130,'Error-codes'!$B$2:$B$130, "None")</f>
        <v>0</v>
      </c>
      <c r="U1221" s="81">
        <f>DATEVALUE(LEFT(F1221,10))</f>
        <v>44980</v>
      </c>
    </row>
    <row r="1222" spans="1:21">
      <c r="B1222" s="56" t="s">
        <v>29</v>
      </c>
      <c r="C1222" s="56" t="s">
        <v>6111</v>
      </c>
      <c r="D1222" s="56" t="s">
        <v>22</v>
      </c>
      <c r="F1222" s="56" t="s">
        <v>6112</v>
      </c>
      <c r="G1222" s="56">
        <v>7</v>
      </c>
      <c r="H1222" s="56">
        <v>0</v>
      </c>
      <c r="I1222" s="56">
        <v>0</v>
      </c>
      <c r="K1222" s="56" t="s">
        <v>5612</v>
      </c>
      <c r="L1222" s="56">
        <v>59</v>
      </c>
      <c r="O1222">
        <f>_xlfn.XLOOKUP(N1222,'Error-codes'!$C$2:$C$130,'Error-codes'!$B$2:$B$130, "None")</f>
        <v>0</v>
      </c>
      <c r="U1222" s="81">
        <f>DATEVALUE(LEFT(F1222,10))</f>
        <v>44980</v>
      </c>
    </row>
    <row r="1223" spans="1:21">
      <c r="B1223" s="56" t="s">
        <v>29</v>
      </c>
      <c r="C1223" s="56" t="s">
        <v>6113</v>
      </c>
      <c r="D1223" s="56" t="s">
        <v>388</v>
      </c>
      <c r="F1223" s="56" t="s">
        <v>6114</v>
      </c>
      <c r="G1223" s="56">
        <v>4</v>
      </c>
      <c r="H1223" s="56">
        <v>4</v>
      </c>
      <c r="I1223" s="56">
        <v>1</v>
      </c>
      <c r="K1223" s="56" t="s">
        <v>5612</v>
      </c>
      <c r="L1223" s="56">
        <v>59</v>
      </c>
      <c r="O1223">
        <f>_xlfn.XLOOKUP(N1223,'Error-codes'!$C$2:$C$130,'Error-codes'!$B$2:$B$130, "None")</f>
        <v>0</v>
      </c>
      <c r="U1223" s="81">
        <f>DATEVALUE(LEFT(F1223,10))</f>
        <v>44980</v>
      </c>
    </row>
    <row r="1224" spans="1:21">
      <c r="B1224" s="56" t="s">
        <v>29</v>
      </c>
      <c r="C1224" s="56" t="s">
        <v>6115</v>
      </c>
      <c r="D1224" s="56" t="s">
        <v>388</v>
      </c>
      <c r="F1224" s="56" t="s">
        <v>6116</v>
      </c>
      <c r="G1224" s="56">
        <v>7</v>
      </c>
      <c r="H1224" s="56">
        <v>7</v>
      </c>
      <c r="I1224" s="56">
        <v>1</v>
      </c>
      <c r="K1224" s="56" t="s">
        <v>5612</v>
      </c>
      <c r="L1224" s="56">
        <v>58</v>
      </c>
      <c r="O1224">
        <f>_xlfn.XLOOKUP(N1224,'Error-codes'!$C$2:$C$130,'Error-codes'!$B$2:$B$130, "None")</f>
        <v>0</v>
      </c>
      <c r="U1224" s="81">
        <f>DATEVALUE(LEFT(F1224,10))</f>
        <v>44980</v>
      </c>
    </row>
    <row r="1225" spans="1:21">
      <c r="B1225" s="56" t="s">
        <v>295</v>
      </c>
      <c r="C1225" s="56" t="s">
        <v>6117</v>
      </c>
      <c r="D1225" s="56" t="s">
        <v>37</v>
      </c>
      <c r="E1225" t="s">
        <v>3242</v>
      </c>
      <c r="F1225" s="56" t="s">
        <v>6118</v>
      </c>
      <c r="G1225" s="56">
        <v>36</v>
      </c>
      <c r="H1225" s="56">
        <v>0</v>
      </c>
      <c r="I1225" s="56">
        <v>0</v>
      </c>
      <c r="J1225" t="s">
        <v>6119</v>
      </c>
      <c r="K1225" s="56" t="s">
        <v>5593</v>
      </c>
      <c r="L1225" s="56">
        <v>59</v>
      </c>
      <c r="N1225" t="s">
        <v>3468</v>
      </c>
      <c r="O1225" t="str">
        <f>_xlfn.XLOOKUP(N1225,'Error-codes'!$C$2:$C$130,'Error-codes'!$B$2:$B$130, "None")</f>
        <v>no vision heartbeat</v>
      </c>
      <c r="R1225" t="s">
        <v>2905</v>
      </c>
      <c r="U1225" s="81">
        <f>DATEVALUE(LEFT(F1225,10))</f>
        <v>44980</v>
      </c>
    </row>
    <row r="1226" spans="1:21">
      <c r="B1226" s="56" t="s">
        <v>3202</v>
      </c>
      <c r="C1226" s="56" t="s">
        <v>6120</v>
      </c>
      <c r="D1226" s="56" t="s">
        <v>388</v>
      </c>
      <c r="E1226" t="s">
        <v>2939</v>
      </c>
      <c r="F1226" s="56" t="s">
        <v>6121</v>
      </c>
      <c r="G1226" s="56">
        <v>37</v>
      </c>
      <c r="H1226" s="56">
        <v>24</v>
      </c>
      <c r="I1226" s="56">
        <v>0.64864864864864868</v>
      </c>
      <c r="J1226" t="s">
        <v>5986</v>
      </c>
      <c r="K1226" s="56" t="s">
        <v>3207</v>
      </c>
      <c r="L1226" s="56">
        <v>63</v>
      </c>
      <c r="N1226" t="s">
        <v>2933</v>
      </c>
      <c r="O1226" t="str">
        <f>_xlfn.XLOOKUP(N1226,'Error-codes'!$C$2:$C$130,'Error-codes'!$B$2:$B$130, "None")</f>
        <v>inductive sensor error</v>
      </c>
      <c r="U1226" s="81">
        <f>DATEVALUE(LEFT(F1226,10))</f>
        <v>44980</v>
      </c>
    </row>
    <row r="1227" spans="1:21">
      <c r="B1227" s="56" t="s">
        <v>3202</v>
      </c>
      <c r="C1227" s="56" t="s">
        <v>6120</v>
      </c>
      <c r="D1227" s="56" t="s">
        <v>388</v>
      </c>
      <c r="E1227" t="s">
        <v>2939</v>
      </c>
      <c r="F1227" s="56" t="s">
        <v>6122</v>
      </c>
      <c r="G1227" s="56">
        <v>37</v>
      </c>
      <c r="H1227" s="56">
        <v>31</v>
      </c>
      <c r="I1227" s="56">
        <v>0.83783783783783783</v>
      </c>
      <c r="J1227" t="s">
        <v>5516</v>
      </c>
      <c r="K1227" s="56" t="s">
        <v>3207</v>
      </c>
      <c r="L1227" s="56">
        <v>63</v>
      </c>
      <c r="N1227" t="s">
        <v>3446</v>
      </c>
      <c r="O1227" t="str">
        <f>_xlfn.XLOOKUP(N1227,'Error-codes'!$C$2:$C$130,'Error-codes'!$B$2:$B$130, "None")</f>
        <v>end of lane wall sensor error</v>
      </c>
      <c r="U1227" s="81">
        <f>DATEVALUE(LEFT(F1227,10))</f>
        <v>44980</v>
      </c>
    </row>
    <row r="1228" spans="1:21">
      <c r="B1228" s="56" t="s">
        <v>295</v>
      </c>
      <c r="C1228" s="56" t="s">
        <v>6123</v>
      </c>
      <c r="D1228" s="56" t="s">
        <v>388</v>
      </c>
      <c r="F1228" s="56" t="s">
        <v>6124</v>
      </c>
      <c r="G1228" s="56">
        <v>36</v>
      </c>
      <c r="H1228" s="56">
        <v>36</v>
      </c>
      <c r="I1228" s="56">
        <v>1</v>
      </c>
      <c r="K1228" s="56" t="s">
        <v>5593</v>
      </c>
      <c r="L1228" s="56">
        <v>59</v>
      </c>
      <c r="O1228">
        <f>_xlfn.XLOOKUP(N1228,'Error-codes'!$C$2:$C$130,'Error-codes'!$B$2:$B$130, "None")</f>
        <v>0</v>
      </c>
      <c r="U1228" s="81">
        <f>DATEVALUE(LEFT(F1228,10))</f>
        <v>44980</v>
      </c>
    </row>
    <row r="1229" spans="1:21">
      <c r="B1229" s="56" t="s">
        <v>3202</v>
      </c>
      <c r="C1229" s="56" t="s">
        <v>6120</v>
      </c>
      <c r="D1229" s="56" t="s">
        <v>388</v>
      </c>
      <c r="E1229" t="s">
        <v>2939</v>
      </c>
      <c r="F1229" s="56" t="s">
        <v>6125</v>
      </c>
      <c r="G1229" s="56">
        <v>37</v>
      </c>
      <c r="H1229" s="56">
        <v>33</v>
      </c>
      <c r="I1229" s="56">
        <v>0.89189189189189189</v>
      </c>
      <c r="J1229" t="s">
        <v>5563</v>
      </c>
      <c r="K1229" s="56" t="s">
        <v>3207</v>
      </c>
      <c r="L1229" s="56">
        <v>63</v>
      </c>
      <c r="N1229" t="s">
        <v>3472</v>
      </c>
      <c r="O1229" t="str">
        <f>_xlfn.XLOOKUP(N1229,'Error-codes'!$C$2:$C$130,'Error-codes'!$B$2:$B$130, "None")</f>
        <v>Excessive slip detected</v>
      </c>
      <c r="U1229" s="81">
        <f>DATEVALUE(LEFT(F1229,10))</f>
        <v>44980</v>
      </c>
    </row>
    <row r="1230" spans="1:21">
      <c r="B1230" s="56" t="s">
        <v>3202</v>
      </c>
      <c r="C1230" s="56" t="s">
        <v>6120</v>
      </c>
      <c r="D1230" s="56" t="s">
        <v>388</v>
      </c>
      <c r="F1230" s="56" t="s">
        <v>6126</v>
      </c>
      <c r="G1230" s="56">
        <v>37</v>
      </c>
      <c r="H1230" s="56">
        <v>34</v>
      </c>
      <c r="I1230" s="56">
        <v>0.91891891891891897</v>
      </c>
      <c r="K1230" s="56" t="s">
        <v>3207</v>
      </c>
      <c r="L1230" s="56">
        <v>63</v>
      </c>
      <c r="O1230">
        <f>_xlfn.XLOOKUP(N1230,'Error-codes'!$C$2:$C$130,'Error-codes'!$B$2:$B$130, "None")</f>
        <v>0</v>
      </c>
      <c r="U1230" s="81">
        <f>DATEVALUE(LEFT(F1230,10))</f>
        <v>44980</v>
      </c>
    </row>
    <row r="1231" spans="1:21">
      <c r="A1231" t="s">
        <v>6127</v>
      </c>
      <c r="B1231" s="56" t="s">
        <v>29</v>
      </c>
      <c r="C1231" s="56" t="s">
        <v>6128</v>
      </c>
      <c r="D1231" s="56" t="s">
        <v>388</v>
      </c>
      <c r="E1231" t="s">
        <v>2939</v>
      </c>
      <c r="F1231" s="56" t="s">
        <v>6129</v>
      </c>
      <c r="G1231" s="56">
        <v>71</v>
      </c>
      <c r="H1231" s="56">
        <v>40</v>
      </c>
      <c r="I1231" s="56">
        <v>0.56338028169014087</v>
      </c>
      <c r="J1231" t="s">
        <v>6130</v>
      </c>
      <c r="K1231" s="56" t="s">
        <v>5593</v>
      </c>
      <c r="L1231" s="56">
        <v>58</v>
      </c>
      <c r="M1231" s="56" t="str">
        <f>HYPERLINK("https://dribble.octin.io/?mode=Single+log&amp;log_id=af9a0145-3e15-4c2a-863d-53f867e48509","URL")</f>
        <v>URL</v>
      </c>
      <c r="N1231" t="s">
        <v>3456</v>
      </c>
      <c r="O1231" t="str">
        <f>_xlfn.XLOOKUP(N1231,'Error-codes'!$C$2:$C$130,'Error-codes'!$B$2:$B$130, "None")</f>
        <v>motor drive: OVER VOLTAGE</v>
      </c>
      <c r="R1231" t="s">
        <v>2909</v>
      </c>
      <c r="U1231" s="81">
        <f>DATEVALUE(LEFT(F1231,10))</f>
        <v>44980</v>
      </c>
    </row>
    <row r="1232" spans="1:21">
      <c r="A1232" t="s">
        <v>6131</v>
      </c>
      <c r="B1232" s="56" t="s">
        <v>3293</v>
      </c>
      <c r="C1232" s="56" t="s">
        <v>6132</v>
      </c>
      <c r="D1232" s="56" t="s">
        <v>388</v>
      </c>
      <c r="E1232" t="s">
        <v>2939</v>
      </c>
      <c r="F1232" s="56" t="s">
        <v>6133</v>
      </c>
      <c r="G1232" s="56">
        <v>22</v>
      </c>
      <c r="H1232" s="56">
        <v>18</v>
      </c>
      <c r="I1232" s="56">
        <v>0.81818181818181823</v>
      </c>
      <c r="J1232" t="s">
        <v>3296</v>
      </c>
      <c r="K1232" s="56" t="s">
        <v>3207</v>
      </c>
      <c r="L1232" s="56">
        <v>51</v>
      </c>
      <c r="M1232" s="56" t="str">
        <f>HYPERLINK("https://dribble.octin.io/?mode=Single+log&amp;log_id=024e8507-e1f0-4f16-b690-436cf3b1cac7","URL")</f>
        <v>URL</v>
      </c>
      <c r="N1232" t="s">
        <v>3446</v>
      </c>
      <c r="O1232" t="str">
        <f>_xlfn.XLOOKUP(N1232,'Error-codes'!$C$2:$C$130,'Error-codes'!$B$2:$B$130, "None")</f>
        <v>end of lane wall sensor error</v>
      </c>
      <c r="R1232" t="s">
        <v>2897</v>
      </c>
      <c r="U1232" s="81">
        <f>DATEVALUE(LEFT(F1232,10))</f>
        <v>44980</v>
      </c>
    </row>
    <row r="1233" spans="1:21">
      <c r="B1233" s="56" t="s">
        <v>3293</v>
      </c>
      <c r="C1233" s="56" t="s">
        <v>6132</v>
      </c>
      <c r="D1233" s="56" t="s">
        <v>388</v>
      </c>
      <c r="F1233" s="56" t="s">
        <v>6134</v>
      </c>
      <c r="G1233" s="56">
        <v>22</v>
      </c>
      <c r="H1233" s="56">
        <v>21</v>
      </c>
      <c r="I1233" s="56">
        <v>0.95454545454545459</v>
      </c>
      <c r="K1233" s="56" t="s">
        <v>3207</v>
      </c>
      <c r="L1233" s="56">
        <v>51</v>
      </c>
      <c r="O1233">
        <f>_xlfn.XLOOKUP(N1233,'Error-codes'!$C$2:$C$130,'Error-codes'!$B$2:$B$130, "None")</f>
        <v>0</v>
      </c>
      <c r="U1233" s="81">
        <f>DATEVALUE(LEFT(F1233,10))</f>
        <v>44980</v>
      </c>
    </row>
    <row r="1234" spans="1:21">
      <c r="A1234" t="s">
        <v>6135</v>
      </c>
      <c r="B1234" s="56" t="s">
        <v>295</v>
      </c>
      <c r="C1234" s="56" t="s">
        <v>6136</v>
      </c>
      <c r="D1234" s="56" t="s">
        <v>388</v>
      </c>
      <c r="E1234" t="s">
        <v>2939</v>
      </c>
      <c r="F1234" s="56" t="s">
        <v>6137</v>
      </c>
      <c r="G1234" s="56">
        <v>153</v>
      </c>
      <c r="H1234" s="56">
        <v>41</v>
      </c>
      <c r="I1234" s="56">
        <v>0.26797385620915032</v>
      </c>
      <c r="J1234" t="s">
        <v>6138</v>
      </c>
      <c r="K1234" s="56" t="s">
        <v>5612</v>
      </c>
      <c r="L1234" s="56">
        <v>59</v>
      </c>
      <c r="M1234" s="56" t="str">
        <f>HYPERLINK("https://dribble.octin.io/?mode=Single+log&amp;log_id=6d2c8535-34ac-4b56-9f9a-75a85fe88ba4","URL")</f>
        <v>URL</v>
      </c>
      <c r="N1234" t="s">
        <v>2933</v>
      </c>
      <c r="O1234" t="str">
        <f>_xlfn.XLOOKUP(N1234,'Error-codes'!$C$2:$C$130,'Error-codes'!$B$2:$B$130, "None")</f>
        <v>inductive sensor error</v>
      </c>
      <c r="R1234" t="s">
        <v>2901</v>
      </c>
      <c r="U1234" s="81">
        <f>DATEVALUE(LEFT(F1234,10))</f>
        <v>44980</v>
      </c>
    </row>
    <row r="1235" spans="1:21">
      <c r="B1235" s="56" t="s">
        <v>29</v>
      </c>
      <c r="C1235" s="56" t="s">
        <v>6128</v>
      </c>
      <c r="D1235" s="56" t="s">
        <v>388</v>
      </c>
      <c r="F1235" s="56" t="s">
        <v>6139</v>
      </c>
      <c r="G1235" s="56">
        <v>71</v>
      </c>
      <c r="H1235" s="56">
        <v>70</v>
      </c>
      <c r="I1235" s="56">
        <v>0.9859154929577465</v>
      </c>
      <c r="K1235" s="56" t="s">
        <v>5593</v>
      </c>
      <c r="L1235" s="56">
        <v>58</v>
      </c>
      <c r="O1235">
        <f>_xlfn.XLOOKUP(N1235,'Error-codes'!$C$2:$C$130,'Error-codes'!$B$2:$B$130, "None")</f>
        <v>0</v>
      </c>
      <c r="U1235" s="81">
        <f>DATEVALUE(LEFT(F1235,10))</f>
        <v>44980</v>
      </c>
    </row>
    <row r="1236" spans="1:21">
      <c r="B1236" s="56" t="s">
        <v>5394</v>
      </c>
      <c r="C1236" s="56" t="s">
        <v>6140</v>
      </c>
      <c r="D1236" s="56" t="s">
        <v>388</v>
      </c>
      <c r="F1236" s="56" t="s">
        <v>6141</v>
      </c>
      <c r="G1236" s="56">
        <v>120</v>
      </c>
      <c r="H1236" s="56">
        <v>120</v>
      </c>
      <c r="I1236" s="56">
        <v>1</v>
      </c>
      <c r="K1236" s="56" t="s">
        <v>1893</v>
      </c>
      <c r="L1236" s="56">
        <v>10</v>
      </c>
      <c r="O1236">
        <f>_xlfn.XLOOKUP(N1236,'Error-codes'!$C$2:$C$130,'Error-codes'!$B$2:$B$130, "None")</f>
        <v>0</v>
      </c>
      <c r="U1236" s="81">
        <f>DATEVALUE(LEFT(F1236,10))</f>
        <v>44981</v>
      </c>
    </row>
    <row r="1237" spans="1:21">
      <c r="B1237" s="56" t="s">
        <v>295</v>
      </c>
      <c r="C1237" s="56" t="s">
        <v>6136</v>
      </c>
      <c r="D1237" s="56" t="s">
        <v>388</v>
      </c>
      <c r="F1237" s="56" t="s">
        <v>6142</v>
      </c>
      <c r="G1237" s="56">
        <v>153</v>
      </c>
      <c r="H1237" s="56">
        <v>152</v>
      </c>
      <c r="I1237" s="56">
        <v>0.99346405228758172</v>
      </c>
      <c r="K1237" s="56" t="s">
        <v>5612</v>
      </c>
      <c r="L1237" s="56">
        <v>59</v>
      </c>
      <c r="O1237">
        <f>_xlfn.XLOOKUP(N1237,'Error-codes'!$C$2:$C$130,'Error-codes'!$B$2:$B$130, "None")</f>
        <v>0</v>
      </c>
      <c r="U1237" s="81">
        <f>DATEVALUE(LEFT(F1237,10))</f>
        <v>44981</v>
      </c>
    </row>
    <row r="1238" spans="1:21">
      <c r="B1238" s="56" t="s">
        <v>3263</v>
      </c>
      <c r="C1238" s="56" t="s">
        <v>6143</v>
      </c>
      <c r="D1238" s="56" t="s">
        <v>388</v>
      </c>
      <c r="F1238" s="56" t="s">
        <v>6144</v>
      </c>
      <c r="G1238" s="56">
        <v>82</v>
      </c>
      <c r="H1238" s="56">
        <v>82</v>
      </c>
      <c r="I1238" s="56">
        <v>1</v>
      </c>
      <c r="K1238" s="56" t="s">
        <v>3280</v>
      </c>
      <c r="L1238" s="56">
        <v>22</v>
      </c>
      <c r="O1238">
        <f>_xlfn.XLOOKUP(N1238,'Error-codes'!$C$2:$C$130,'Error-codes'!$B$2:$B$130, "None")</f>
        <v>0</v>
      </c>
      <c r="U1238" s="81">
        <f>DATEVALUE(LEFT(F1238,10))</f>
        <v>44981</v>
      </c>
    </row>
    <row r="1239" spans="1:21">
      <c r="B1239" s="56" t="s">
        <v>3202</v>
      </c>
      <c r="C1239" s="56" t="s">
        <v>6145</v>
      </c>
      <c r="D1239" s="56" t="s">
        <v>22</v>
      </c>
      <c r="F1239" s="56" t="s">
        <v>6146</v>
      </c>
      <c r="G1239" s="56">
        <v>43</v>
      </c>
      <c r="H1239" s="56">
        <v>0</v>
      </c>
      <c r="I1239" s="56">
        <v>0</v>
      </c>
      <c r="K1239" s="56" t="s">
        <v>3207</v>
      </c>
      <c r="L1239" s="56">
        <v>64</v>
      </c>
      <c r="O1239">
        <f>_xlfn.XLOOKUP(N1239,'Error-codes'!$C$2:$C$130,'Error-codes'!$B$2:$B$130, "None")</f>
        <v>0</v>
      </c>
      <c r="U1239" s="81">
        <f>DATEVALUE(LEFT(F1239,10))</f>
        <v>44981</v>
      </c>
    </row>
    <row r="1240" spans="1:21">
      <c r="B1240" s="56" t="s">
        <v>3202</v>
      </c>
      <c r="C1240" s="56" t="s">
        <v>6147</v>
      </c>
      <c r="D1240" s="56" t="s">
        <v>37</v>
      </c>
      <c r="E1240" t="s">
        <v>2939</v>
      </c>
      <c r="F1240" s="56" t="s">
        <v>6148</v>
      </c>
      <c r="G1240" s="56">
        <v>42</v>
      </c>
      <c r="H1240" s="56">
        <v>0</v>
      </c>
      <c r="I1240" s="56">
        <v>0</v>
      </c>
      <c r="J1240" t="s">
        <v>3229</v>
      </c>
      <c r="K1240" s="56" t="s">
        <v>3207</v>
      </c>
      <c r="L1240" s="56">
        <v>64</v>
      </c>
      <c r="N1240" t="s">
        <v>2933</v>
      </c>
      <c r="O1240" t="str">
        <f>_xlfn.XLOOKUP(N1240,'Error-codes'!$C$2:$C$130,'Error-codes'!$B$2:$B$130, "None")</f>
        <v>inductive sensor error</v>
      </c>
      <c r="U1240" s="81">
        <f>DATEVALUE(LEFT(F1240,10))</f>
        <v>44981</v>
      </c>
    </row>
    <row r="1241" spans="1:21">
      <c r="B1241" s="56" t="s">
        <v>3202</v>
      </c>
      <c r="C1241" s="56" t="s">
        <v>6147</v>
      </c>
      <c r="D1241" s="56" t="s">
        <v>37</v>
      </c>
      <c r="E1241" t="s">
        <v>3253</v>
      </c>
      <c r="F1241" s="56" t="s">
        <v>6149</v>
      </c>
      <c r="G1241" s="56">
        <v>42</v>
      </c>
      <c r="H1241" s="56">
        <v>4</v>
      </c>
      <c r="I1241" s="56">
        <v>9.5238095238095233E-2</v>
      </c>
      <c r="J1241" t="s">
        <v>5358</v>
      </c>
      <c r="K1241" s="56" t="s">
        <v>3207</v>
      </c>
      <c r="L1241" s="56">
        <v>64</v>
      </c>
      <c r="N1241" t="s">
        <v>3454</v>
      </c>
      <c r="O1241" t="str">
        <f>_xlfn.XLOOKUP(N1241,'Error-codes'!$C$2:$C$130,'Error-codes'!$B$2:$B$130, "None")</f>
        <v>Veh low level FSM: safety was triggered</v>
      </c>
      <c r="U1241" s="81">
        <f>DATEVALUE(LEFT(F1241,10))</f>
        <v>44981</v>
      </c>
    </row>
    <row r="1242" spans="1:21">
      <c r="A1242" t="s">
        <v>6150</v>
      </c>
      <c r="B1242" s="56" t="s">
        <v>3202</v>
      </c>
      <c r="C1242" s="56" t="s">
        <v>6151</v>
      </c>
      <c r="D1242" s="56" t="s">
        <v>37</v>
      </c>
      <c r="E1242" t="s">
        <v>2939</v>
      </c>
      <c r="F1242" s="56" t="s">
        <v>6152</v>
      </c>
      <c r="G1242" s="56">
        <v>39</v>
      </c>
      <c r="H1242" s="56">
        <v>18</v>
      </c>
      <c r="I1242" s="56">
        <v>0.46153846153846162</v>
      </c>
      <c r="J1242" t="s">
        <v>3284</v>
      </c>
      <c r="K1242" s="56" t="s">
        <v>3207</v>
      </c>
      <c r="L1242" s="56">
        <v>64</v>
      </c>
      <c r="M1242" s="56" t="str">
        <f>HYPERLINK("https://dribble.octin.io/?mode=Single+log&amp;log_id=505062a7-15a1-4a2e-b802-2418a5c52083","URL")</f>
        <v>URL</v>
      </c>
      <c r="N1242" t="s">
        <v>3454</v>
      </c>
      <c r="O1242" t="str">
        <f>_xlfn.XLOOKUP(N1242,'Error-codes'!$C$2:$C$130,'Error-codes'!$B$2:$B$130, "None")</f>
        <v>Veh low level FSM: safety was triggered</v>
      </c>
      <c r="P1242" t="s">
        <v>6063</v>
      </c>
      <c r="U1242" s="81">
        <f>DATEVALUE(LEFT(F1242,10))</f>
        <v>44981</v>
      </c>
    </row>
    <row r="1243" spans="1:21">
      <c r="A1243" t="s">
        <v>6153</v>
      </c>
      <c r="B1243" s="56" t="s">
        <v>3202</v>
      </c>
      <c r="C1243" s="56" t="s">
        <v>6151</v>
      </c>
      <c r="D1243" s="56" t="s">
        <v>37</v>
      </c>
      <c r="E1243" t="s">
        <v>2939</v>
      </c>
      <c r="F1243" s="56" t="s">
        <v>6154</v>
      </c>
      <c r="G1243" s="56">
        <v>39</v>
      </c>
      <c r="H1243" s="56">
        <v>37</v>
      </c>
      <c r="I1243" s="56">
        <v>0.94871794871794868</v>
      </c>
      <c r="J1243" t="s">
        <v>6155</v>
      </c>
      <c r="K1243" s="56" t="s">
        <v>3207</v>
      </c>
      <c r="L1243" s="56">
        <v>64</v>
      </c>
      <c r="M1243" s="56" t="str">
        <f>HYPERLINK("https://dribble.octin.io/?mode=Single+log&amp;log_id=a99aa739-adf9-4d0a-a985-bbb320bf1512","URL")</f>
        <v>URL</v>
      </c>
      <c r="N1243" t="s">
        <v>3472</v>
      </c>
      <c r="O1243" t="str">
        <f>_xlfn.XLOOKUP(N1243,'Error-codes'!$C$2:$C$130,'Error-codes'!$B$2:$B$130, "None")</f>
        <v>Excessive slip detected</v>
      </c>
      <c r="P1243" t="s">
        <v>6063</v>
      </c>
      <c r="U1243" s="81">
        <f>DATEVALUE(LEFT(F1243,10))</f>
        <v>44981</v>
      </c>
    </row>
    <row r="1244" spans="1:21">
      <c r="A1244" t="s">
        <v>6156</v>
      </c>
      <c r="B1244" s="56" t="s">
        <v>3202</v>
      </c>
      <c r="C1244" s="56" t="s">
        <v>6151</v>
      </c>
      <c r="D1244" s="56" t="s">
        <v>37</v>
      </c>
      <c r="E1244" t="s">
        <v>3242</v>
      </c>
      <c r="F1244" s="56" t="s">
        <v>6157</v>
      </c>
      <c r="G1244" s="56">
        <v>39</v>
      </c>
      <c r="H1244" s="56">
        <v>38</v>
      </c>
      <c r="I1244" s="56">
        <v>0.97435897435897434</v>
      </c>
      <c r="J1244" t="s">
        <v>3233</v>
      </c>
      <c r="K1244" s="56" t="s">
        <v>3207</v>
      </c>
      <c r="L1244" s="56">
        <v>64</v>
      </c>
      <c r="M1244" s="56" t="str">
        <f>HYPERLINK("https://dribble.octin.io/?mode=Single+log&amp;log_id=cc2d4757-3ef8-43d6-aa0e-cb14dc6e6e46","URL")</f>
        <v>URL</v>
      </c>
      <c r="N1244" t="s">
        <v>3458</v>
      </c>
      <c r="O1244" t="str">
        <f>_xlfn.XLOOKUP(N1244,'Error-codes'!$C$2:$C$130,'Error-codes'!$B$2:$B$130, "None")</f>
        <v>motor drive: UNDER VOLTAGE</v>
      </c>
      <c r="P1244" t="s">
        <v>6063</v>
      </c>
      <c r="U1244" s="81">
        <f>DATEVALUE(LEFT(F1244,10))</f>
        <v>44981</v>
      </c>
    </row>
    <row r="1245" spans="1:21">
      <c r="A1245" t="s">
        <v>6158</v>
      </c>
      <c r="B1245" s="56" t="s">
        <v>3293</v>
      </c>
      <c r="C1245" s="56" t="s">
        <v>6159</v>
      </c>
      <c r="D1245" s="56" t="s">
        <v>37</v>
      </c>
      <c r="E1245" t="s">
        <v>4731</v>
      </c>
      <c r="F1245" s="56" t="s">
        <v>6160</v>
      </c>
      <c r="G1245" s="56">
        <v>22</v>
      </c>
      <c r="H1245" s="56">
        <v>7</v>
      </c>
      <c r="I1245" s="56">
        <v>0.31818181818181818</v>
      </c>
      <c r="J1245" t="s">
        <v>5850</v>
      </c>
      <c r="K1245" s="56" t="s">
        <v>3207</v>
      </c>
      <c r="L1245" s="56">
        <v>51</v>
      </c>
      <c r="M1245" s="56" t="str">
        <f>HYPERLINK("https://dribble.octin.io/?mode=Single+log&amp;log_id=eb7193a3-7824-40ee-97c6-e130765b78fe","URL")</f>
        <v>URL</v>
      </c>
      <c r="N1245" t="s">
        <v>3460</v>
      </c>
      <c r="O1245" t="str">
        <f>_xlfn.XLOOKUP(N1245,'Error-codes'!$C$2:$C$130,'Error-codes'!$B$2:$B$130, "None")</f>
        <v>motor drive: DRV8353 FAULT</v>
      </c>
      <c r="P1245" t="s">
        <v>6161</v>
      </c>
      <c r="R1245" t="s">
        <v>2894</v>
      </c>
      <c r="U1245" s="81">
        <f>DATEVALUE(LEFT(F1245,10))</f>
        <v>44981</v>
      </c>
    </row>
    <row r="1246" spans="1:21">
      <c r="B1246" s="56" t="s">
        <v>5394</v>
      </c>
      <c r="C1246" s="56" t="s">
        <v>6162</v>
      </c>
      <c r="D1246" s="56" t="s">
        <v>388</v>
      </c>
      <c r="F1246" s="56" t="s">
        <v>6163</v>
      </c>
      <c r="G1246" s="56">
        <v>120</v>
      </c>
      <c r="H1246" s="56">
        <v>120</v>
      </c>
      <c r="I1246" s="56">
        <v>1</v>
      </c>
      <c r="K1246" s="56" t="s">
        <v>1873</v>
      </c>
      <c r="L1246" s="56">
        <v>10</v>
      </c>
      <c r="O1246">
        <f>_xlfn.XLOOKUP(N1246,'Error-codes'!$C$2:$C$130,'Error-codes'!$B$2:$B$130, "None")</f>
        <v>0</v>
      </c>
      <c r="U1246" s="81">
        <f>DATEVALUE(LEFT(F1246,10))</f>
        <v>44982</v>
      </c>
    </row>
    <row r="1247" spans="1:21">
      <c r="B1247" s="56" t="s">
        <v>3263</v>
      </c>
      <c r="C1247" s="56" t="s">
        <v>6164</v>
      </c>
      <c r="D1247" s="56" t="s">
        <v>388</v>
      </c>
      <c r="F1247" s="56" t="s">
        <v>6165</v>
      </c>
      <c r="G1247" s="56">
        <v>81</v>
      </c>
      <c r="H1247" s="56">
        <v>81</v>
      </c>
      <c r="I1247" s="56">
        <v>1</v>
      </c>
      <c r="K1247" s="56" t="s">
        <v>3268</v>
      </c>
      <c r="L1247" s="56">
        <v>22</v>
      </c>
      <c r="O1247">
        <f>_xlfn.XLOOKUP(N1247,'Error-codes'!$C$2:$C$130,'Error-codes'!$B$2:$B$130, "None")</f>
        <v>0</v>
      </c>
      <c r="U1247" s="81">
        <f>DATEVALUE(LEFT(F1247,10))</f>
        <v>44982</v>
      </c>
    </row>
    <row r="1248" spans="1:21">
      <c r="B1248" s="56" t="s">
        <v>5394</v>
      </c>
      <c r="C1248" s="56" t="s">
        <v>6166</v>
      </c>
      <c r="D1248" s="56" t="s">
        <v>388</v>
      </c>
      <c r="F1248" s="56" t="s">
        <v>6167</v>
      </c>
      <c r="G1248" s="56">
        <v>120</v>
      </c>
      <c r="H1248" s="56">
        <v>120</v>
      </c>
      <c r="I1248" s="56">
        <v>1</v>
      </c>
      <c r="K1248" s="56" t="s">
        <v>1893</v>
      </c>
      <c r="L1248" s="56">
        <v>10</v>
      </c>
      <c r="O1248">
        <f>_xlfn.XLOOKUP(N1248,'Error-codes'!$C$2:$C$130,'Error-codes'!$B$2:$B$130, "None")</f>
        <v>0</v>
      </c>
      <c r="U1248" s="81">
        <f>DATEVALUE(LEFT(F1248,10))</f>
        <v>44983</v>
      </c>
    </row>
    <row r="1249" spans="1:21">
      <c r="A1249" t="s">
        <v>6168</v>
      </c>
      <c r="B1249" s="56" t="s">
        <v>3293</v>
      </c>
      <c r="C1249" s="56" t="s">
        <v>6169</v>
      </c>
      <c r="D1249" s="56" t="s">
        <v>388</v>
      </c>
      <c r="E1249" t="s">
        <v>2939</v>
      </c>
      <c r="F1249" s="56" t="s">
        <v>6170</v>
      </c>
      <c r="G1249" s="56">
        <v>21</v>
      </c>
      <c r="H1249" s="56">
        <v>4</v>
      </c>
      <c r="I1249" s="56">
        <v>0.19047619047619049</v>
      </c>
      <c r="J1249" t="s">
        <v>3361</v>
      </c>
      <c r="K1249" s="56" t="s">
        <v>3207</v>
      </c>
      <c r="L1249" s="56">
        <v>51</v>
      </c>
      <c r="M1249" s="56" t="str">
        <f>HYPERLINK("https://dribble.octin.io/?mode=Single+log&amp;log_id=736ba98e-301e-4693-a27c-9a3398dca639","URL")</f>
        <v>URL</v>
      </c>
      <c r="N1249" t="s">
        <v>3446</v>
      </c>
      <c r="O1249" t="str">
        <f>_xlfn.XLOOKUP(N1249,'Error-codes'!$C$2:$C$130,'Error-codes'!$B$2:$B$130, "None")</f>
        <v>end of lane wall sensor error</v>
      </c>
      <c r="R1249" t="s">
        <v>2897</v>
      </c>
      <c r="U1249" s="81">
        <f>DATEVALUE(LEFT(F1249,10))</f>
        <v>44983</v>
      </c>
    </row>
    <row r="1250" spans="1:21">
      <c r="B1250" s="56" t="s">
        <v>3293</v>
      </c>
      <c r="C1250" s="56" t="s">
        <v>6169</v>
      </c>
      <c r="D1250" s="56" t="s">
        <v>388</v>
      </c>
      <c r="F1250" s="56" t="s">
        <v>6171</v>
      </c>
      <c r="G1250" s="56">
        <v>21</v>
      </c>
      <c r="H1250" s="56">
        <v>20</v>
      </c>
      <c r="I1250" s="56">
        <v>0.95238095238095233</v>
      </c>
      <c r="K1250" s="56" t="s">
        <v>3207</v>
      </c>
      <c r="L1250" s="56">
        <v>51</v>
      </c>
      <c r="O1250">
        <f>_xlfn.XLOOKUP(N1250,'Error-codes'!$C$2:$C$130,'Error-codes'!$B$2:$B$130, "None")</f>
        <v>0</v>
      </c>
      <c r="U1250" s="81">
        <f>DATEVALUE(LEFT(F1250,10))</f>
        <v>44983</v>
      </c>
    </row>
    <row r="1251" spans="1:21">
      <c r="A1251" t="s">
        <v>6172</v>
      </c>
      <c r="B1251" s="56" t="s">
        <v>3293</v>
      </c>
      <c r="C1251" s="56" t="s">
        <v>6173</v>
      </c>
      <c r="D1251" s="56" t="s">
        <v>37</v>
      </c>
      <c r="E1251" t="s">
        <v>4253</v>
      </c>
      <c r="F1251" s="56" t="s">
        <v>6174</v>
      </c>
      <c r="G1251" s="56">
        <v>23</v>
      </c>
      <c r="H1251" s="56">
        <v>2</v>
      </c>
      <c r="I1251" s="56">
        <v>8.6956521739130432E-2</v>
      </c>
      <c r="J1251" t="s">
        <v>6175</v>
      </c>
      <c r="K1251" s="56" t="s">
        <v>3207</v>
      </c>
      <c r="L1251" s="56">
        <v>51</v>
      </c>
      <c r="M1251" s="56" t="str">
        <f>HYPERLINK("https://dribble.octin.io/?mode=Single+log&amp;log_id=05499f08-273d-43fe-b672-6abc25d96e7a","URL")</f>
        <v>URL</v>
      </c>
      <c r="N1251" t="s">
        <v>3460</v>
      </c>
      <c r="O1251" t="str">
        <f>_xlfn.XLOOKUP(N1251,'Error-codes'!$C$2:$C$130,'Error-codes'!$B$2:$B$130, "None")</f>
        <v>motor drive: DRV8353 FAULT</v>
      </c>
      <c r="R1251" t="s">
        <v>2894</v>
      </c>
      <c r="U1251" s="81">
        <f>DATEVALUE(LEFT(F1251,10))</f>
        <v>44983</v>
      </c>
    </row>
    <row r="1252" spans="1:21">
      <c r="B1252" s="56" t="s">
        <v>5394</v>
      </c>
      <c r="C1252" s="56" t="s">
        <v>6176</v>
      </c>
      <c r="D1252" s="56" t="s">
        <v>388</v>
      </c>
      <c r="F1252" s="56" t="s">
        <v>6177</v>
      </c>
      <c r="G1252" s="56">
        <v>120</v>
      </c>
      <c r="H1252" s="56">
        <v>120</v>
      </c>
      <c r="I1252" s="56">
        <v>1</v>
      </c>
      <c r="K1252" s="56" t="s">
        <v>1873</v>
      </c>
      <c r="L1252" s="56">
        <v>10</v>
      </c>
      <c r="O1252">
        <f>_xlfn.XLOOKUP(N1252,'Error-codes'!$C$2:$C$130,'Error-codes'!$B$2:$B$130, "None")</f>
        <v>0</v>
      </c>
      <c r="U1252" s="81">
        <f>DATEVALUE(LEFT(F1252,10))</f>
        <v>44984</v>
      </c>
    </row>
    <row r="1253" spans="1:21">
      <c r="A1253" s="56" t="s">
        <v>6178</v>
      </c>
      <c r="B1253" s="56" t="s">
        <v>29</v>
      </c>
      <c r="C1253" s="56" t="s">
        <v>6179</v>
      </c>
      <c r="D1253" s="56" t="s">
        <v>388</v>
      </c>
      <c r="E1253" s="56" t="s">
        <v>2939</v>
      </c>
      <c r="F1253" s="56" t="s">
        <v>6180</v>
      </c>
      <c r="G1253" s="56">
        <v>223</v>
      </c>
      <c r="H1253" s="56">
        <v>6</v>
      </c>
      <c r="I1253" s="56">
        <v>2.6905829596412557E-2</v>
      </c>
      <c r="J1253" s="56" t="s">
        <v>5782</v>
      </c>
      <c r="K1253" s="56" t="s">
        <v>5612</v>
      </c>
      <c r="L1253" s="56" t="s">
        <v>3325</v>
      </c>
      <c r="M1253" s="56" t="str">
        <f>HYPERLINK("https://dribble.octin.io/?mode=Single+log&amp;log_id=dab45ece-6230-4774-a75e-49cd2f4157b1","URL")</f>
        <v>URL</v>
      </c>
      <c r="N1253" s="56" t="s">
        <v>3446</v>
      </c>
      <c r="O1253" t="str">
        <f>_xlfn.XLOOKUP(N1253,'Error-codes'!$C$2:$C$130,'Error-codes'!$B$2:$B$130, "None")</f>
        <v>end of lane wall sensor error</v>
      </c>
      <c r="P1253" t="s">
        <v>6063</v>
      </c>
      <c r="U1253" s="81">
        <f>DATEVALUE(LEFT(F1253,10))</f>
        <v>44984</v>
      </c>
    </row>
    <row r="1254" spans="1:21">
      <c r="A1254" s="56" t="s">
        <v>6181</v>
      </c>
      <c r="B1254" s="56" t="s">
        <v>3293</v>
      </c>
      <c r="C1254" s="56" t="s">
        <v>6182</v>
      </c>
      <c r="D1254" s="56" t="s">
        <v>388</v>
      </c>
      <c r="E1254" s="56" t="s">
        <v>2939</v>
      </c>
      <c r="F1254" s="56" t="s">
        <v>6183</v>
      </c>
      <c r="G1254" s="56">
        <v>22</v>
      </c>
      <c r="H1254" s="56">
        <v>19</v>
      </c>
      <c r="I1254" s="56">
        <v>0.86363636363636365</v>
      </c>
      <c r="J1254" s="56" t="s">
        <v>6175</v>
      </c>
      <c r="K1254" s="56" t="s">
        <v>3207</v>
      </c>
      <c r="L1254" s="56" t="s">
        <v>3297</v>
      </c>
      <c r="M1254" s="56" t="str">
        <f>HYPERLINK("https://dribble.octin.io/?mode=Single+log&amp;log_id=3403e9e6-fa6e-4bf0-997b-2c5677eaeb11","URL")</f>
        <v>URL</v>
      </c>
      <c r="N1254" s="56" t="s">
        <v>2933</v>
      </c>
      <c r="O1254" t="str">
        <f>_xlfn.XLOOKUP(N1254,'Error-codes'!$C$2:$C$130,'Error-codes'!$B$2:$B$130, "None")</f>
        <v>inductive sensor error</v>
      </c>
      <c r="R1254" t="s">
        <v>2896</v>
      </c>
      <c r="U1254" s="81">
        <f>DATEVALUE(LEFT(F1254,10))</f>
        <v>44984</v>
      </c>
    </row>
    <row r="1255" spans="1:21">
      <c r="B1255" s="56" t="s">
        <v>3293</v>
      </c>
      <c r="C1255" s="56" t="s">
        <v>6182</v>
      </c>
      <c r="D1255" s="56" t="s">
        <v>388</v>
      </c>
      <c r="F1255" s="56" t="s">
        <v>6184</v>
      </c>
      <c r="G1255" s="56">
        <v>22</v>
      </c>
      <c r="H1255" s="56">
        <v>21</v>
      </c>
      <c r="I1255" s="56">
        <v>0.95454545454545459</v>
      </c>
      <c r="K1255" s="56" t="s">
        <v>3207</v>
      </c>
      <c r="L1255" s="56" t="s">
        <v>3297</v>
      </c>
      <c r="O1255">
        <f>_xlfn.XLOOKUP(N1255,'Error-codes'!$C$2:$C$130,'Error-codes'!$B$2:$B$130, "None")</f>
        <v>0</v>
      </c>
      <c r="U1255" s="81">
        <f>DATEVALUE(LEFT(F1255,10))</f>
        <v>44984</v>
      </c>
    </row>
    <row r="1256" spans="1:21">
      <c r="A1256" s="56" t="s">
        <v>6185</v>
      </c>
      <c r="B1256" s="56" t="s">
        <v>5394</v>
      </c>
      <c r="C1256" s="56" t="s">
        <v>6186</v>
      </c>
      <c r="D1256" s="56" t="s">
        <v>37</v>
      </c>
      <c r="E1256" s="56" t="s">
        <v>4415</v>
      </c>
      <c r="F1256" s="56" t="s">
        <v>6187</v>
      </c>
      <c r="G1256" s="56">
        <v>120</v>
      </c>
      <c r="H1256" s="56">
        <v>39</v>
      </c>
      <c r="I1256" s="56">
        <v>0.32500000000000001</v>
      </c>
      <c r="J1256" s="56" t="s">
        <v>6188</v>
      </c>
      <c r="K1256" s="56" t="s">
        <v>1893</v>
      </c>
      <c r="L1256" s="56" t="s">
        <v>6059</v>
      </c>
      <c r="M1256" s="56" t="str">
        <f>HYPERLINK("https://dribble.octin.io/?mode=Single+log&amp;log_id=cf47a949-1f71-4e92-a4f2-27355a7b9935","URL")</f>
        <v>URL</v>
      </c>
      <c r="N1256" s="56" t="s">
        <v>3468</v>
      </c>
      <c r="O1256" t="str">
        <f>_xlfn.XLOOKUP(N1256,'Error-codes'!$C$2:$C$130,'Error-codes'!$B$2:$B$130, "None")</f>
        <v>no vision heartbeat</v>
      </c>
      <c r="R1256" t="s">
        <v>2905</v>
      </c>
      <c r="U1256" s="81">
        <f>DATEVALUE(LEFT(F1256,10))</f>
        <v>44984</v>
      </c>
    </row>
    <row r="1257" spans="1:21">
      <c r="A1257" s="56" t="s">
        <v>6189</v>
      </c>
      <c r="B1257" s="56" t="s">
        <v>29</v>
      </c>
      <c r="C1257" s="56" t="s">
        <v>6179</v>
      </c>
      <c r="D1257" s="56" t="s">
        <v>388</v>
      </c>
      <c r="E1257" s="56" t="s">
        <v>2939</v>
      </c>
      <c r="F1257" s="56" t="s">
        <v>6190</v>
      </c>
      <c r="G1257" s="56">
        <v>223</v>
      </c>
      <c r="H1257" s="56">
        <v>89</v>
      </c>
      <c r="I1257" s="56">
        <v>0.3991031390134529</v>
      </c>
      <c r="J1257" s="56" t="s">
        <v>6191</v>
      </c>
      <c r="K1257" s="56" t="s">
        <v>5612</v>
      </c>
      <c r="L1257" s="56" t="s">
        <v>3325</v>
      </c>
      <c r="M1257" s="56" t="str">
        <f>HYPERLINK("https://dribble.octin.io/?mode=Single+log&amp;log_id=7bc0d8de-30b1-4450-a454-75d5426552a8","URL")</f>
        <v>URL</v>
      </c>
      <c r="N1257" s="56" t="s">
        <v>3472</v>
      </c>
      <c r="O1257" t="str">
        <f>_xlfn.XLOOKUP(N1257,'Error-codes'!$C$2:$C$130,'Error-codes'!$B$2:$B$130, "None")</f>
        <v>Excessive slip detected</v>
      </c>
      <c r="P1257" t="s">
        <v>6063</v>
      </c>
      <c r="U1257" s="81">
        <f>DATEVALUE(LEFT(F1257,10))</f>
        <v>44984</v>
      </c>
    </row>
    <row r="1258" spans="1:21">
      <c r="A1258" s="56" t="s">
        <v>6192</v>
      </c>
      <c r="B1258" s="56" t="s">
        <v>295</v>
      </c>
      <c r="C1258" s="56" t="s">
        <v>6193</v>
      </c>
      <c r="D1258" s="56" t="s">
        <v>388</v>
      </c>
      <c r="E1258" s="56" t="s">
        <v>2939</v>
      </c>
      <c r="F1258" s="56" t="s">
        <v>6194</v>
      </c>
      <c r="G1258" s="56">
        <v>154</v>
      </c>
      <c r="H1258" s="56">
        <v>110</v>
      </c>
      <c r="I1258" s="56">
        <v>0.7142857142857143</v>
      </c>
      <c r="J1258" s="56" t="s">
        <v>6138</v>
      </c>
      <c r="K1258" s="56" t="s">
        <v>5612</v>
      </c>
      <c r="L1258" s="56" t="s">
        <v>3358</v>
      </c>
      <c r="M1258" s="56" t="str">
        <f>HYPERLINK("https://dribble.octin.io/?mode=Single+log&amp;log_id=f57ae01b-e692-43df-b585-10e2bcec5c74","URL")</f>
        <v>URL</v>
      </c>
      <c r="N1258" s="56" t="s">
        <v>2933</v>
      </c>
      <c r="O1258" t="str">
        <f>_xlfn.XLOOKUP(N1258,'Error-codes'!$C$2:$C$130,'Error-codes'!$B$2:$B$130, "None")</f>
        <v>inductive sensor error</v>
      </c>
      <c r="R1258" t="s">
        <v>2901</v>
      </c>
      <c r="U1258" s="81">
        <f>DATEVALUE(LEFT(F1258,10))</f>
        <v>44984</v>
      </c>
    </row>
    <row r="1259" spans="1:21">
      <c r="B1259" s="56" t="s">
        <v>295</v>
      </c>
      <c r="C1259" s="56" t="s">
        <v>6193</v>
      </c>
      <c r="D1259" s="56" t="s">
        <v>388</v>
      </c>
      <c r="F1259" s="56" t="s">
        <v>6195</v>
      </c>
      <c r="G1259" s="56">
        <v>154</v>
      </c>
      <c r="H1259" s="56">
        <v>153</v>
      </c>
      <c r="I1259" s="56">
        <v>0.99350649350649356</v>
      </c>
      <c r="K1259" s="56" t="s">
        <v>5612</v>
      </c>
      <c r="L1259" s="56" t="s">
        <v>3358</v>
      </c>
      <c r="O1259">
        <f>_xlfn.XLOOKUP(N1259,'Error-codes'!$C$2:$C$130,'Error-codes'!$B$2:$B$130, "None")</f>
        <v>0</v>
      </c>
      <c r="U1259" s="81">
        <f>DATEVALUE(LEFT(F1259,10))</f>
        <v>44985</v>
      </c>
    </row>
    <row r="1260" spans="1:21">
      <c r="B1260" s="56" t="s">
        <v>29</v>
      </c>
      <c r="C1260" s="56" t="s">
        <v>6179</v>
      </c>
      <c r="D1260" s="56" t="s">
        <v>388</v>
      </c>
      <c r="F1260" s="56" t="s">
        <v>6196</v>
      </c>
      <c r="G1260" s="56">
        <v>223</v>
      </c>
      <c r="H1260" s="56">
        <v>221</v>
      </c>
      <c r="I1260" s="56">
        <v>0.99103139013452912</v>
      </c>
      <c r="K1260" s="56" t="s">
        <v>5612</v>
      </c>
      <c r="L1260" s="56" t="s">
        <v>3325</v>
      </c>
      <c r="O1260">
        <f>_xlfn.XLOOKUP(N1260,'Error-codes'!$C$2:$C$130,'Error-codes'!$B$2:$B$130, "None")</f>
        <v>0</v>
      </c>
      <c r="U1260" s="81">
        <f>DATEVALUE(LEFT(F1260,10))</f>
        <v>44985</v>
      </c>
    </row>
    <row r="1261" spans="1:21">
      <c r="B1261" s="56" t="s">
        <v>3263</v>
      </c>
      <c r="C1261" s="56" t="s">
        <v>6197</v>
      </c>
      <c r="D1261" s="56" t="s">
        <v>388</v>
      </c>
      <c r="F1261" s="56" t="s">
        <v>6198</v>
      </c>
      <c r="G1261" s="56">
        <v>82</v>
      </c>
      <c r="H1261" s="56">
        <v>82</v>
      </c>
      <c r="I1261" s="56">
        <v>1</v>
      </c>
      <c r="K1261" s="56" t="s">
        <v>3280</v>
      </c>
      <c r="L1261" s="56" t="s">
        <v>3269</v>
      </c>
      <c r="O1261">
        <f>_xlfn.XLOOKUP(N1261,'Error-codes'!$C$2:$C$130,'Error-codes'!$B$2:$B$130, "None")</f>
        <v>0</v>
      </c>
      <c r="U1261" s="81">
        <f>DATEVALUE(LEFT(F1261,10))</f>
        <v>44985</v>
      </c>
    </row>
    <row r="1262" spans="1:21">
      <c r="A1262" s="56" t="s">
        <v>6199</v>
      </c>
      <c r="B1262" s="56" t="s">
        <v>3202</v>
      </c>
      <c r="C1262" s="56" t="s">
        <v>6200</v>
      </c>
      <c r="D1262" s="56" t="s">
        <v>388</v>
      </c>
      <c r="E1262" s="56" t="s">
        <v>2939</v>
      </c>
      <c r="F1262" s="56" t="s">
        <v>6201</v>
      </c>
      <c r="G1262" s="56">
        <v>37</v>
      </c>
      <c r="H1262" s="56">
        <v>1</v>
      </c>
      <c r="I1262" s="56">
        <v>2.7027027027027029E-2</v>
      </c>
      <c r="J1262" s="56" t="s">
        <v>3229</v>
      </c>
      <c r="K1262" s="56" t="s">
        <v>3207</v>
      </c>
      <c r="L1262" s="56" t="s">
        <v>3302</v>
      </c>
      <c r="M1262" s="56" t="str">
        <f>HYPERLINK("https://dribble.octin.io/?mode=Single+log&amp;log_id=eb3be592-31c6-4224-92d1-6d1afc315a84","URL")</f>
        <v>URL</v>
      </c>
      <c r="N1262" s="56" t="s">
        <v>2933</v>
      </c>
      <c r="O1262" t="str">
        <f>_xlfn.XLOOKUP(N1262,'Error-codes'!$C$2:$C$130,'Error-codes'!$B$2:$B$130, "None")</f>
        <v>inductive sensor error</v>
      </c>
      <c r="U1262" s="81">
        <f>DATEVALUE(LEFT(F1262,10))</f>
        <v>44985</v>
      </c>
    </row>
    <row r="1263" spans="1:21">
      <c r="A1263" s="56" t="s">
        <v>6202</v>
      </c>
      <c r="B1263" s="56" t="s">
        <v>3202</v>
      </c>
      <c r="C1263" s="56" t="s">
        <v>6200</v>
      </c>
      <c r="D1263" s="56" t="s">
        <v>388</v>
      </c>
      <c r="E1263" s="56" t="s">
        <v>2939</v>
      </c>
      <c r="F1263" s="56" t="s">
        <v>6203</v>
      </c>
      <c r="G1263" s="56">
        <v>37</v>
      </c>
      <c r="H1263" s="56">
        <v>23</v>
      </c>
      <c r="I1263" s="56">
        <v>0.6216216216216216</v>
      </c>
      <c r="J1263" s="56" t="s">
        <v>3284</v>
      </c>
      <c r="K1263" s="56" t="s">
        <v>3207</v>
      </c>
      <c r="L1263" s="56" t="s">
        <v>3302</v>
      </c>
      <c r="M1263" s="56" t="str">
        <f>HYPERLINK("https://dribble.octin.io/?mode=Single+log&amp;log_id=935fd093-a12f-4a37-b6b1-4ca3942b565c","URL")</f>
        <v>URL</v>
      </c>
      <c r="N1263" s="56" t="s">
        <v>2933</v>
      </c>
      <c r="O1263" t="str">
        <f>_xlfn.XLOOKUP(N1263,'Error-codes'!$C$2:$C$130,'Error-codes'!$B$2:$B$130, "None")</f>
        <v>inductive sensor error</v>
      </c>
      <c r="U1263" s="81">
        <f>DATEVALUE(LEFT(F1263,10))</f>
        <v>44985</v>
      </c>
    </row>
    <row r="1264" spans="1:21">
      <c r="A1264" s="56" t="s">
        <v>6204</v>
      </c>
      <c r="B1264" s="56" t="s">
        <v>3202</v>
      </c>
      <c r="C1264" s="56" t="s">
        <v>6200</v>
      </c>
      <c r="D1264" s="56" t="s">
        <v>388</v>
      </c>
      <c r="E1264" s="56" t="s">
        <v>2939</v>
      </c>
      <c r="F1264" s="56" t="s">
        <v>6205</v>
      </c>
      <c r="G1264" s="56">
        <v>37</v>
      </c>
      <c r="H1264" s="56">
        <v>33</v>
      </c>
      <c r="I1264" s="56">
        <v>0.89189189189189189</v>
      </c>
      <c r="J1264" s="56" t="s">
        <v>5563</v>
      </c>
      <c r="K1264" s="56" t="s">
        <v>3207</v>
      </c>
      <c r="L1264" s="56" t="s">
        <v>3302</v>
      </c>
      <c r="M1264" s="56" t="str">
        <f>HYPERLINK("https://dribble.octin.io/?mode=Single+log&amp;log_id=a62bc814-cc52-4f58-8109-82c2bf5a7b6b","URL")</f>
        <v>URL</v>
      </c>
      <c r="N1264" s="56" t="s">
        <v>3472</v>
      </c>
      <c r="O1264" t="str">
        <f>_xlfn.XLOOKUP(N1264,'Error-codes'!$C$2:$C$130,'Error-codes'!$B$2:$B$130, "None")</f>
        <v>Excessive slip detected</v>
      </c>
      <c r="U1264" s="81">
        <f>DATEVALUE(LEFT(F1264,10))</f>
        <v>44985</v>
      </c>
    </row>
    <row r="1265" spans="1:21">
      <c r="B1265" s="56" t="s">
        <v>3202</v>
      </c>
      <c r="C1265" s="56" t="s">
        <v>6200</v>
      </c>
      <c r="D1265" s="56" t="s">
        <v>388</v>
      </c>
      <c r="F1265" s="56" t="s">
        <v>6206</v>
      </c>
      <c r="G1265" s="56">
        <v>37</v>
      </c>
      <c r="H1265" s="56">
        <v>34</v>
      </c>
      <c r="I1265" s="56">
        <v>0.91891891891891897</v>
      </c>
      <c r="K1265" s="56" t="s">
        <v>3207</v>
      </c>
      <c r="L1265" s="56" t="s">
        <v>3302</v>
      </c>
      <c r="O1265">
        <f>_xlfn.XLOOKUP(N1265,'Error-codes'!$C$2:$C$130,'Error-codes'!$B$2:$B$130, "None")</f>
        <v>0</v>
      </c>
      <c r="U1265" s="81">
        <f>DATEVALUE(LEFT(F1265,10))</f>
        <v>44985</v>
      </c>
    </row>
    <row r="1266" spans="1:21">
      <c r="B1266" s="56" t="s">
        <v>3293</v>
      </c>
      <c r="C1266" s="56" t="s">
        <v>6207</v>
      </c>
      <c r="D1266" s="56" t="s">
        <v>388</v>
      </c>
      <c r="F1266" s="56" t="s">
        <v>6208</v>
      </c>
      <c r="G1266" s="56">
        <v>11</v>
      </c>
      <c r="H1266" s="56">
        <v>11</v>
      </c>
      <c r="I1266" s="56">
        <v>1</v>
      </c>
      <c r="K1266" s="56" t="s">
        <v>3207</v>
      </c>
      <c r="L1266" s="56" t="s">
        <v>6110</v>
      </c>
      <c r="O1266">
        <f>_xlfn.XLOOKUP(N1266,'Error-codes'!$C$2:$C$130,'Error-codes'!$B$2:$B$130, "None")</f>
        <v>0</v>
      </c>
      <c r="U1266" s="81">
        <f>DATEVALUE(LEFT(F1266,10))</f>
        <v>44985</v>
      </c>
    </row>
    <row r="1267" spans="1:21">
      <c r="A1267" s="56"/>
      <c r="B1267" s="56" t="s">
        <v>295</v>
      </c>
      <c r="C1267" s="56" t="s">
        <v>6209</v>
      </c>
      <c r="D1267" s="56" t="s">
        <v>388</v>
      </c>
      <c r="E1267" s="56" t="s">
        <v>2939</v>
      </c>
      <c r="F1267" s="56" t="s">
        <v>6210</v>
      </c>
      <c r="G1267" s="56">
        <v>154</v>
      </c>
      <c r="H1267" s="56">
        <v>122</v>
      </c>
      <c r="I1267" s="56">
        <v>0.79220779220779225</v>
      </c>
      <c r="J1267" s="56" t="s">
        <v>5760</v>
      </c>
      <c r="K1267" s="56" t="s">
        <v>5593</v>
      </c>
      <c r="L1267" s="56" t="s">
        <v>3358</v>
      </c>
      <c r="N1267" s="56" t="s">
        <v>3444</v>
      </c>
      <c r="O1267" t="str">
        <f>_xlfn.XLOOKUP(N1267,'Error-codes'!$C$2:$C$130,'Error-codes'!$B$2:$B$130, "None")</f>
        <v>collision detected in operational state for the 4th time in a row</v>
      </c>
      <c r="U1267" s="81">
        <f>DATEVALUE(LEFT(F1267,10))</f>
        <v>44986</v>
      </c>
    </row>
    <row r="1268" spans="1:21">
      <c r="B1268" s="56" t="s">
        <v>5394</v>
      </c>
      <c r="C1268" s="56" t="s">
        <v>6211</v>
      </c>
      <c r="D1268" s="56" t="s">
        <v>388</v>
      </c>
      <c r="F1268" s="56" t="s">
        <v>6212</v>
      </c>
      <c r="G1268" s="56">
        <v>120</v>
      </c>
      <c r="H1268" s="56">
        <v>120</v>
      </c>
      <c r="I1268" s="56">
        <v>1</v>
      </c>
      <c r="K1268" s="56" t="s">
        <v>1893</v>
      </c>
      <c r="L1268" s="56" t="s">
        <v>6059</v>
      </c>
      <c r="O1268">
        <f>_xlfn.XLOOKUP(N1268,'Error-codes'!$C$2:$C$130,'Error-codes'!$B$2:$B$130, "None")</f>
        <v>0</v>
      </c>
      <c r="U1268" s="81">
        <f>DATEVALUE(LEFT(F1268,10))</f>
        <v>44986</v>
      </c>
    </row>
    <row r="1269" spans="1:21">
      <c r="B1269" s="56" t="s">
        <v>295</v>
      </c>
      <c r="C1269" s="56" t="s">
        <v>6209</v>
      </c>
      <c r="D1269" s="56" t="s">
        <v>388</v>
      </c>
      <c r="F1269" s="56" t="s">
        <v>6213</v>
      </c>
      <c r="G1269" s="56">
        <v>154</v>
      </c>
      <c r="H1269" s="56">
        <v>153</v>
      </c>
      <c r="I1269" s="56">
        <v>0.99350649350649356</v>
      </c>
      <c r="K1269" s="56" t="s">
        <v>5593</v>
      </c>
      <c r="L1269" s="56" t="s">
        <v>3358</v>
      </c>
      <c r="O1269">
        <f>_xlfn.XLOOKUP(N1269,'Error-codes'!$C$2:$C$130,'Error-codes'!$B$2:$B$130, "None")</f>
        <v>0</v>
      </c>
      <c r="U1269" s="81">
        <f>DATEVALUE(LEFT(F1269,10))</f>
        <v>44986</v>
      </c>
    </row>
    <row r="1270" spans="1:21">
      <c r="A1270" s="56" t="s">
        <v>6214</v>
      </c>
      <c r="B1270" s="56" t="s">
        <v>3293</v>
      </c>
      <c r="C1270" s="56" t="s">
        <v>6215</v>
      </c>
      <c r="D1270" s="56" t="s">
        <v>388</v>
      </c>
      <c r="E1270" s="56" t="s">
        <v>2939</v>
      </c>
      <c r="F1270" s="56" t="s">
        <v>6216</v>
      </c>
      <c r="G1270" s="56">
        <v>9</v>
      </c>
      <c r="H1270" s="56">
        <v>6</v>
      </c>
      <c r="I1270" s="56">
        <v>0.66666666666666663</v>
      </c>
      <c r="J1270" s="56" t="s">
        <v>6217</v>
      </c>
      <c r="K1270" s="56" t="s">
        <v>3207</v>
      </c>
      <c r="L1270" s="56" t="s">
        <v>6110</v>
      </c>
      <c r="M1270" s="56" t="str">
        <f>HYPERLINK("https://dribble.octin.io/?mode=Single+log&amp;log_id=be9e1e36-5f87-49f4-bd08-cc095c0c47b1","URL")</f>
        <v>URL</v>
      </c>
      <c r="N1270" s="56" t="s">
        <v>2933</v>
      </c>
      <c r="O1270" t="str">
        <f>_xlfn.XLOOKUP(N1270,'Error-codes'!$C$2:$C$130,'Error-codes'!$B$2:$B$130, "None")</f>
        <v>inductive sensor error</v>
      </c>
      <c r="U1270" s="81">
        <f>DATEVALUE(LEFT(F1270,10))</f>
        <v>44986</v>
      </c>
    </row>
    <row r="1271" spans="1:21">
      <c r="B1271" s="56" t="s">
        <v>3293</v>
      </c>
      <c r="C1271" s="56" t="s">
        <v>6215</v>
      </c>
      <c r="D1271" s="56" t="s">
        <v>388</v>
      </c>
      <c r="F1271" s="56" t="s">
        <v>6218</v>
      </c>
      <c r="G1271" s="56">
        <v>9</v>
      </c>
      <c r="H1271" s="56">
        <v>8</v>
      </c>
      <c r="I1271" s="56">
        <v>0.88888888888888884</v>
      </c>
      <c r="K1271" s="56" t="s">
        <v>3207</v>
      </c>
      <c r="L1271" s="56" t="s">
        <v>6110</v>
      </c>
      <c r="O1271">
        <f>_xlfn.XLOOKUP(N1271,'Error-codes'!$C$2:$C$130,'Error-codes'!$B$2:$B$130, "None")</f>
        <v>0</v>
      </c>
      <c r="U1271" s="81">
        <f>DATEVALUE(LEFT(F1271,10))</f>
        <v>44986</v>
      </c>
    </row>
    <row r="1272" spans="1:21">
      <c r="A1272" s="56"/>
      <c r="B1272" s="56" t="s">
        <v>29</v>
      </c>
      <c r="C1272" s="56" t="s">
        <v>6219</v>
      </c>
      <c r="D1272" s="56" t="s">
        <v>388</v>
      </c>
      <c r="E1272" s="56" t="s">
        <v>2939</v>
      </c>
      <c r="F1272" s="56" t="s">
        <v>6220</v>
      </c>
      <c r="G1272" s="56">
        <v>209</v>
      </c>
      <c r="H1272" s="56">
        <v>120</v>
      </c>
      <c r="I1272" s="56">
        <v>0.57416267942583732</v>
      </c>
      <c r="J1272" s="56" t="s">
        <v>5760</v>
      </c>
      <c r="K1272" s="56" t="s">
        <v>5593</v>
      </c>
      <c r="L1272" s="56" t="s">
        <v>3325</v>
      </c>
      <c r="N1272" s="56" t="s">
        <v>3444</v>
      </c>
      <c r="O1272" t="str">
        <f>_xlfn.XLOOKUP(N1272,'Error-codes'!$C$2:$C$130,'Error-codes'!$B$2:$B$130, "None")</f>
        <v>collision detected in operational state for the 4th time in a row</v>
      </c>
      <c r="U1272" s="81">
        <f>DATEVALUE(LEFT(F1272,10))</f>
        <v>44986</v>
      </c>
    </row>
    <row r="1273" spans="1:21">
      <c r="B1273" s="56" t="s">
        <v>29</v>
      </c>
      <c r="C1273" s="56" t="s">
        <v>6219</v>
      </c>
      <c r="D1273" s="56" t="s">
        <v>388</v>
      </c>
      <c r="F1273" s="56" t="s">
        <v>6220</v>
      </c>
      <c r="G1273" s="56">
        <v>209</v>
      </c>
      <c r="H1273" s="56">
        <v>208</v>
      </c>
      <c r="I1273" s="56">
        <v>0.99521531100478466</v>
      </c>
      <c r="K1273" s="56" t="s">
        <v>5593</v>
      </c>
      <c r="L1273" s="56" t="s">
        <v>3325</v>
      </c>
      <c r="O1273">
        <f>_xlfn.XLOOKUP(N1273,'Error-codes'!$C$2:$C$130,'Error-codes'!$B$2:$B$130, "None")</f>
        <v>0</v>
      </c>
      <c r="U1273" s="81">
        <f>DATEVALUE(LEFT(F1273,10))</f>
        <v>44986</v>
      </c>
    </row>
    <row r="1274" spans="1:21">
      <c r="B1274" s="56" t="s">
        <v>3263</v>
      </c>
      <c r="C1274" s="56" t="s">
        <v>6221</v>
      </c>
      <c r="D1274" s="56" t="s">
        <v>388</v>
      </c>
      <c r="F1274" s="56" t="s">
        <v>6222</v>
      </c>
      <c r="G1274" s="56">
        <v>81</v>
      </c>
      <c r="H1274" s="56">
        <v>81</v>
      </c>
      <c r="I1274" s="56">
        <v>1</v>
      </c>
      <c r="K1274" s="56" t="s">
        <v>3268</v>
      </c>
      <c r="L1274" s="56" t="s">
        <v>3269</v>
      </c>
      <c r="O1274">
        <f>_xlfn.XLOOKUP(N1274,'Error-codes'!$C$2:$C$130,'Error-codes'!$B$2:$B$130, "None")</f>
        <v>0</v>
      </c>
      <c r="U1274" s="81">
        <f>DATEVALUE(LEFT(F1274,10))</f>
        <v>44986</v>
      </c>
    </row>
    <row r="1275" spans="1:21">
      <c r="B1275" s="56" t="s">
        <v>228</v>
      </c>
      <c r="C1275" s="56" t="s">
        <v>6223</v>
      </c>
      <c r="D1275" s="56" t="s">
        <v>22</v>
      </c>
      <c r="F1275" s="56" t="s">
        <v>6224</v>
      </c>
      <c r="G1275" s="56">
        <v>103</v>
      </c>
      <c r="H1275" s="56">
        <v>1</v>
      </c>
      <c r="I1275" s="56">
        <v>9.7087378640776691E-3</v>
      </c>
      <c r="K1275" s="56" t="s">
        <v>2171</v>
      </c>
      <c r="L1275" s="56" t="s">
        <v>2932</v>
      </c>
      <c r="O1275">
        <f>_xlfn.XLOOKUP(N1275,'Error-codes'!$C$2:$C$130,'Error-codes'!$B$2:$B$130, "None")</f>
        <v>0</v>
      </c>
      <c r="U1275" s="81">
        <f>DATEVALUE(LEFT(F1275,10))</f>
        <v>44986</v>
      </c>
    </row>
    <row r="1276" spans="1:21">
      <c r="B1276" s="56" t="s">
        <v>228</v>
      </c>
      <c r="C1276" s="56" t="s">
        <v>6225</v>
      </c>
      <c r="D1276" s="56" t="s">
        <v>22</v>
      </c>
      <c r="F1276" s="56" t="s">
        <v>6226</v>
      </c>
      <c r="G1276" s="56">
        <v>103</v>
      </c>
      <c r="H1276" s="56">
        <v>1</v>
      </c>
      <c r="I1276" s="56">
        <v>9.7087378640776691E-3</v>
      </c>
      <c r="K1276" s="56" t="s">
        <v>2171</v>
      </c>
      <c r="L1276" s="56" t="s">
        <v>2932</v>
      </c>
      <c r="O1276">
        <f>_xlfn.XLOOKUP(N1276,'Error-codes'!$C$2:$C$130,'Error-codes'!$B$2:$B$130, "None")</f>
        <v>0</v>
      </c>
      <c r="U1276" s="81">
        <f>DATEVALUE(LEFT(F1276,10))</f>
        <v>44986</v>
      </c>
    </row>
    <row r="1277" spans="1:21">
      <c r="B1277" s="56" t="s">
        <v>228</v>
      </c>
      <c r="C1277" s="56" t="s">
        <v>6227</v>
      </c>
      <c r="D1277" s="56" t="s">
        <v>22</v>
      </c>
      <c r="F1277" s="56" t="s">
        <v>6228</v>
      </c>
      <c r="G1277" s="56">
        <v>103</v>
      </c>
      <c r="H1277" s="56">
        <v>1</v>
      </c>
      <c r="I1277" s="56">
        <v>9.7087378640776691E-3</v>
      </c>
      <c r="K1277" s="56" t="s">
        <v>2171</v>
      </c>
      <c r="L1277" s="56" t="s">
        <v>2932</v>
      </c>
      <c r="O1277">
        <f>_xlfn.XLOOKUP(N1277,'Error-codes'!$C$2:$C$130,'Error-codes'!$B$2:$B$130, "None")</f>
        <v>0</v>
      </c>
      <c r="U1277" s="81">
        <f>DATEVALUE(LEFT(F1277,10))</f>
        <v>44986</v>
      </c>
    </row>
    <row r="1278" spans="1:21">
      <c r="A1278" s="56" t="s">
        <v>6229</v>
      </c>
      <c r="B1278" s="56" t="s">
        <v>29</v>
      </c>
      <c r="C1278" s="56" t="s">
        <v>6230</v>
      </c>
      <c r="D1278" s="56" t="s">
        <v>388</v>
      </c>
      <c r="E1278" s="56" t="s">
        <v>2939</v>
      </c>
      <c r="F1278" s="56" t="s">
        <v>6231</v>
      </c>
      <c r="G1278" s="56">
        <v>223</v>
      </c>
      <c r="H1278" s="56">
        <v>6</v>
      </c>
      <c r="I1278" s="56">
        <v>2.6905829596412557E-2</v>
      </c>
      <c r="J1278" s="56" t="s">
        <v>5782</v>
      </c>
      <c r="K1278" s="56" t="s">
        <v>5612</v>
      </c>
      <c r="L1278" s="56" t="s">
        <v>3325</v>
      </c>
      <c r="M1278" s="56" t="str">
        <f>HYPERLINK("https://dribble.octin.io/?mode=Single+log&amp;log_id=5c87d2b6-6f21-43e2-84e1-30946431151d","URL")</f>
        <v>URL</v>
      </c>
      <c r="N1278" s="56" t="s">
        <v>3446</v>
      </c>
      <c r="O1278" t="str">
        <f>_xlfn.XLOOKUP(N1278,'Error-codes'!$C$2:$C$130,'Error-codes'!$B$2:$B$130, "None")</f>
        <v>end of lane wall sensor error</v>
      </c>
      <c r="U1278" s="81">
        <f>DATEVALUE(LEFT(F1278,10))</f>
        <v>44986</v>
      </c>
    </row>
    <row r="1279" spans="1:21">
      <c r="A1279" s="77"/>
      <c r="B1279" s="56" t="s">
        <v>5394</v>
      </c>
      <c r="C1279" s="56" t="s">
        <v>6232</v>
      </c>
      <c r="D1279" s="56" t="s">
        <v>37</v>
      </c>
      <c r="E1279" s="77" t="s">
        <v>2939</v>
      </c>
      <c r="F1279" s="56" t="s">
        <v>6233</v>
      </c>
      <c r="G1279" s="56">
        <v>121</v>
      </c>
      <c r="H1279" s="56">
        <v>2</v>
      </c>
      <c r="I1279" s="56">
        <v>1.6528925619834999E-2</v>
      </c>
      <c r="J1279" s="77" t="s">
        <v>6234</v>
      </c>
      <c r="K1279" s="56" t="s">
        <v>1873</v>
      </c>
      <c r="L1279" s="56">
        <v>10</v>
      </c>
      <c r="M1279" s="77"/>
      <c r="N1279" s="77" t="s">
        <v>3466</v>
      </c>
      <c r="O1279" t="str">
        <f>_xlfn.XLOOKUP(N1279,'Error-codes'!$C$2:$C$130,'Error-codes'!$B$2:$B$130, "None")</f>
        <v>vision error</v>
      </c>
      <c r="U1279" s="81">
        <f>DATEVALUE(LEFT(F1279,10))</f>
        <v>44986</v>
      </c>
    </row>
    <row r="1280" spans="1:21">
      <c r="A1280" s="77"/>
      <c r="B1280" s="56" t="s">
        <v>5394</v>
      </c>
      <c r="C1280" s="56" t="s">
        <v>6232</v>
      </c>
      <c r="D1280" s="56" t="s">
        <v>37</v>
      </c>
      <c r="E1280" s="77" t="s">
        <v>4398</v>
      </c>
      <c r="F1280" s="56" t="s">
        <v>6235</v>
      </c>
      <c r="G1280" s="56">
        <v>121</v>
      </c>
      <c r="H1280" s="56">
        <v>4</v>
      </c>
      <c r="I1280" s="56">
        <v>3.3057851239669998E-2</v>
      </c>
      <c r="J1280" s="77" t="s">
        <v>6236</v>
      </c>
      <c r="K1280" s="56" t="s">
        <v>1873</v>
      </c>
      <c r="L1280" s="56">
        <v>10</v>
      </c>
      <c r="M1280" s="77"/>
      <c r="N1280" s="77" t="s">
        <v>3466</v>
      </c>
      <c r="O1280" t="str">
        <f>_xlfn.XLOOKUP(N1280,'Error-codes'!$C$2:$C$130,'Error-codes'!$B$2:$B$130, "None")</f>
        <v>vision error</v>
      </c>
      <c r="U1280" s="81">
        <f>DATEVALUE(LEFT(F1280,10))</f>
        <v>44986</v>
      </c>
    </row>
    <row r="1281" spans="1:21">
      <c r="A1281" s="56" t="s">
        <v>6237</v>
      </c>
      <c r="B1281" s="56" t="s">
        <v>29</v>
      </c>
      <c r="C1281" s="56" t="s">
        <v>6230</v>
      </c>
      <c r="D1281" s="56" t="s">
        <v>388</v>
      </c>
      <c r="E1281" s="56" t="s">
        <v>2939</v>
      </c>
      <c r="F1281" s="56" t="s">
        <v>6238</v>
      </c>
      <c r="G1281" s="56">
        <v>223</v>
      </c>
      <c r="H1281" s="56">
        <v>34</v>
      </c>
      <c r="I1281" s="56">
        <v>0.15246636771300448</v>
      </c>
      <c r="J1281" s="56" t="s">
        <v>6239</v>
      </c>
      <c r="K1281" s="56" t="s">
        <v>5612</v>
      </c>
      <c r="L1281" s="56" t="s">
        <v>3325</v>
      </c>
      <c r="M1281" s="56" t="str">
        <f>HYPERLINK("https://dribble.octin.io/?mode=Single+log&amp;log_id=571abe56-7ff3-46ec-a22d-34b16590ea02","URL")</f>
        <v>URL</v>
      </c>
      <c r="N1281" s="56" t="s">
        <v>2933</v>
      </c>
      <c r="O1281" t="str">
        <f>_xlfn.XLOOKUP(N1281,'Error-codes'!$C$2:$C$130,'Error-codes'!$B$2:$B$130, "None")</f>
        <v>inductive sensor error</v>
      </c>
      <c r="U1281" s="81">
        <f>DATEVALUE(LEFT(F1281,10))</f>
        <v>44986</v>
      </c>
    </row>
    <row r="1282" spans="1:21">
      <c r="A1282" s="56" t="s">
        <v>6240</v>
      </c>
      <c r="B1282" s="56" t="s">
        <v>2886</v>
      </c>
      <c r="C1282" s="56" t="s">
        <v>6241</v>
      </c>
      <c r="D1282" s="56" t="s">
        <v>37</v>
      </c>
      <c r="E1282" s="56" t="s">
        <v>4222</v>
      </c>
      <c r="F1282" s="56" t="s">
        <v>6242</v>
      </c>
      <c r="G1282" s="56">
        <v>103</v>
      </c>
      <c r="H1282" s="56">
        <v>2</v>
      </c>
      <c r="I1282" s="56">
        <v>1.9417475728155338E-2</v>
      </c>
      <c r="J1282" s="56" t="s">
        <v>2186</v>
      </c>
      <c r="K1282" s="56" t="s">
        <v>2171</v>
      </c>
      <c r="L1282" s="56" t="s">
        <v>2932</v>
      </c>
      <c r="M1282" s="56" t="str">
        <f>HYPERLINK("https://dribble.octin.io/?mode=Single+log&amp;log_id=df27f2c4-5520-44bc-80d1-7393867c0fa6","URL")</f>
        <v>URL</v>
      </c>
      <c r="N1282" s="56" t="s">
        <v>3458</v>
      </c>
      <c r="O1282" t="str">
        <f>_xlfn.XLOOKUP(N1282,'Error-codes'!$C$2:$C$130,'Error-codes'!$B$2:$B$130, "None")</f>
        <v>motor drive: UNDER VOLTAGE</v>
      </c>
      <c r="U1282" s="81">
        <f>DATEVALUE(LEFT(F1282,10))</f>
        <v>44986</v>
      </c>
    </row>
    <row r="1283" spans="1:21">
      <c r="B1283" s="56" t="s">
        <v>3293</v>
      </c>
      <c r="C1283" s="56" t="s">
        <v>6243</v>
      </c>
      <c r="D1283" s="56" t="s">
        <v>388</v>
      </c>
      <c r="F1283" s="56" t="s">
        <v>6244</v>
      </c>
      <c r="G1283" s="56">
        <v>11</v>
      </c>
      <c r="H1283" s="56">
        <v>11</v>
      </c>
      <c r="I1283" s="56">
        <v>1</v>
      </c>
      <c r="K1283" s="56" t="s">
        <v>3207</v>
      </c>
      <c r="L1283" s="56" t="s">
        <v>6110</v>
      </c>
      <c r="O1283">
        <f>_xlfn.XLOOKUP(N1283,'Error-codes'!$C$2:$C$130,'Error-codes'!$B$2:$B$130, "None")</f>
        <v>0</v>
      </c>
      <c r="U1283" s="81">
        <f>DATEVALUE(LEFT(F1283,10))</f>
        <v>44986</v>
      </c>
    </row>
    <row r="1284" spans="1:21">
      <c r="A1284" s="56" t="s">
        <v>6245</v>
      </c>
      <c r="B1284" s="56" t="s">
        <v>29</v>
      </c>
      <c r="C1284" s="56" t="s">
        <v>6230</v>
      </c>
      <c r="D1284" s="56" t="s">
        <v>388</v>
      </c>
      <c r="E1284" s="56" t="s">
        <v>2939</v>
      </c>
      <c r="F1284" s="56" t="s">
        <v>6246</v>
      </c>
      <c r="G1284" s="56">
        <v>223</v>
      </c>
      <c r="H1284" s="56">
        <v>104</v>
      </c>
      <c r="I1284" s="56">
        <v>0.46636771300448432</v>
      </c>
      <c r="J1284" s="56" t="s">
        <v>6247</v>
      </c>
      <c r="K1284" s="56" t="s">
        <v>5612</v>
      </c>
      <c r="L1284" s="56" t="s">
        <v>3325</v>
      </c>
      <c r="M1284" s="56" t="str">
        <f>HYPERLINK("https://dribble.octin.io/?mode=Single+log&amp;log_id=d1583102-6aaa-4b72-9b9d-5b15cc7cba9f","URL")</f>
        <v>URL</v>
      </c>
      <c r="N1284" s="56" t="s">
        <v>2933</v>
      </c>
      <c r="O1284" t="str">
        <f>_xlfn.XLOOKUP(N1284,'Error-codes'!$C$2:$C$130,'Error-codes'!$B$2:$B$130, "None")</f>
        <v>inductive sensor error</v>
      </c>
      <c r="U1284" s="81">
        <f>DATEVALUE(LEFT(F1284,10))</f>
        <v>44986</v>
      </c>
    </row>
    <row r="1285" spans="1:21">
      <c r="A1285" s="56" t="s">
        <v>6248</v>
      </c>
      <c r="B1285" s="56" t="s">
        <v>295</v>
      </c>
      <c r="C1285" s="56" t="s">
        <v>6249</v>
      </c>
      <c r="D1285" s="56" t="s">
        <v>388</v>
      </c>
      <c r="E1285" s="56" t="s">
        <v>2939</v>
      </c>
      <c r="F1285" s="56" t="s">
        <v>6250</v>
      </c>
      <c r="G1285" s="56">
        <v>154</v>
      </c>
      <c r="H1285" s="56">
        <v>110</v>
      </c>
      <c r="I1285" s="56">
        <v>0.7142857142857143</v>
      </c>
      <c r="J1285" s="56" t="s">
        <v>6138</v>
      </c>
      <c r="K1285" s="56" t="s">
        <v>5612</v>
      </c>
      <c r="L1285" s="56" t="s">
        <v>3358</v>
      </c>
      <c r="M1285" s="56" t="str">
        <f>HYPERLINK("https://dribble.octin.io/?mode=Single+log&amp;log_id=eeb15cca-f9d7-4d89-a6f5-ad938a41c5be","URL")</f>
        <v>URL</v>
      </c>
      <c r="N1285" s="56" t="s">
        <v>2933</v>
      </c>
      <c r="O1285" t="str">
        <f>_xlfn.XLOOKUP(N1285,'Error-codes'!$C$2:$C$130,'Error-codes'!$B$2:$B$130, "None")</f>
        <v>inductive sensor error</v>
      </c>
      <c r="U1285" s="81">
        <f>DATEVALUE(LEFT(F1285,10))</f>
        <v>44987</v>
      </c>
    </row>
    <row r="1286" spans="1:21">
      <c r="B1286" s="56" t="s">
        <v>295</v>
      </c>
      <c r="C1286" s="56" t="s">
        <v>6249</v>
      </c>
      <c r="D1286" s="56" t="s">
        <v>388</v>
      </c>
      <c r="F1286" s="56" t="s">
        <v>6251</v>
      </c>
      <c r="G1286" s="56">
        <v>154</v>
      </c>
      <c r="H1286" s="56">
        <v>153</v>
      </c>
      <c r="I1286" s="56">
        <v>0.99350649350649356</v>
      </c>
      <c r="K1286" s="56" t="s">
        <v>5612</v>
      </c>
      <c r="L1286" s="56" t="s">
        <v>3358</v>
      </c>
      <c r="O1286">
        <f>_xlfn.XLOOKUP(N1286,'Error-codes'!$C$2:$C$130,'Error-codes'!$B$2:$B$130, "None")</f>
        <v>0</v>
      </c>
      <c r="U1286" s="81">
        <f>DATEVALUE(LEFT(F1286,10))</f>
        <v>44987</v>
      </c>
    </row>
    <row r="1287" spans="1:21">
      <c r="B1287" s="56" t="s">
        <v>29</v>
      </c>
      <c r="C1287" s="56" t="s">
        <v>6230</v>
      </c>
      <c r="D1287" s="56" t="s">
        <v>388</v>
      </c>
      <c r="F1287" s="56" t="s">
        <v>6252</v>
      </c>
      <c r="G1287" s="56">
        <v>223</v>
      </c>
      <c r="H1287" s="56">
        <v>220</v>
      </c>
      <c r="I1287" s="56">
        <v>0.98654708520179368</v>
      </c>
      <c r="K1287" s="56" t="s">
        <v>5612</v>
      </c>
      <c r="L1287" s="56" t="s">
        <v>3325</v>
      </c>
      <c r="O1287">
        <f>_xlfn.XLOOKUP(N1287,'Error-codes'!$C$2:$C$130,'Error-codes'!$B$2:$B$130, "None")</f>
        <v>0</v>
      </c>
      <c r="U1287" s="81">
        <f>DATEVALUE(LEFT(F1287,10))</f>
        <v>44987</v>
      </c>
    </row>
    <row r="1288" spans="1:21">
      <c r="B1288" s="56" t="s">
        <v>3263</v>
      </c>
      <c r="C1288" s="56" t="s">
        <v>6253</v>
      </c>
      <c r="D1288" s="56" t="s">
        <v>388</v>
      </c>
      <c r="F1288" s="56" t="s">
        <v>6254</v>
      </c>
      <c r="G1288" s="56">
        <v>82</v>
      </c>
      <c r="H1288" s="56">
        <v>82</v>
      </c>
      <c r="I1288" s="56">
        <v>1</v>
      </c>
      <c r="K1288" s="56" t="s">
        <v>3280</v>
      </c>
      <c r="L1288" s="56" t="s">
        <v>3269</v>
      </c>
      <c r="O1288">
        <f>_xlfn.XLOOKUP(N1288,'Error-codes'!$C$2:$C$130,'Error-codes'!$B$2:$B$130, "None")</f>
        <v>0</v>
      </c>
      <c r="U1288" s="81">
        <f>DATEVALUE(LEFT(F1288,10))</f>
        <v>44987</v>
      </c>
    </row>
    <row r="1289" spans="1:21">
      <c r="B1289" s="56" t="s">
        <v>5394</v>
      </c>
      <c r="C1289" s="56" t="s">
        <v>6255</v>
      </c>
      <c r="D1289" s="56" t="s">
        <v>4149</v>
      </c>
      <c r="F1289" s="56" t="s">
        <v>6256</v>
      </c>
      <c r="G1289" s="56">
        <v>11</v>
      </c>
      <c r="H1289" s="56">
        <v>11</v>
      </c>
      <c r="I1289" s="56">
        <v>1</v>
      </c>
      <c r="K1289" s="56" t="s">
        <v>1873</v>
      </c>
      <c r="L1289" s="56" t="s">
        <v>6059</v>
      </c>
      <c r="O1289">
        <f>_xlfn.XLOOKUP(N1289,'Error-codes'!$C$2:$C$130,'Error-codes'!$B$2:$B$130, "None")</f>
        <v>0</v>
      </c>
      <c r="U1289" s="81">
        <f>DATEVALUE(LEFT(F1289,10))</f>
        <v>44987</v>
      </c>
    </row>
    <row r="1290" spans="1:21">
      <c r="A1290" s="56" t="s">
        <v>6257</v>
      </c>
      <c r="B1290" s="56" t="s">
        <v>5394</v>
      </c>
      <c r="C1290" s="56" t="s">
        <v>6258</v>
      </c>
      <c r="D1290" s="56"/>
      <c r="E1290" s="56" t="s">
        <v>2939</v>
      </c>
      <c r="F1290" s="56" t="s">
        <v>6259</v>
      </c>
      <c r="G1290" s="56">
        <v>8</v>
      </c>
      <c r="H1290" s="56">
        <v>1</v>
      </c>
      <c r="I1290" s="56">
        <v>0.125</v>
      </c>
      <c r="J1290" s="56" t="s">
        <v>6260</v>
      </c>
      <c r="K1290" s="56" t="s">
        <v>1873</v>
      </c>
      <c r="L1290" s="56" t="s">
        <v>6059</v>
      </c>
      <c r="M1290" s="56" t="str">
        <f>HYPERLINK("https://dribble.octin.io/?mode=Single+log&amp;log_id=d364a5f1-f086-4cdf-8efe-9f34afac627e","URL")</f>
        <v>URL</v>
      </c>
      <c r="N1290" s="56" t="s">
        <v>3432</v>
      </c>
      <c r="O1290" t="str">
        <f>_xlfn.XLOOKUP(N1290,'Error-codes'!$C$2:$C$130,'Error-codes'!$B$2:$B$130, "None")</f>
        <v>vision did not initialize in time</v>
      </c>
      <c r="U1290" s="81">
        <f>DATEVALUE(LEFT(F1290,10))</f>
        <v>44987</v>
      </c>
    </row>
    <row r="1291" spans="1:21">
      <c r="B1291" s="56" t="s">
        <v>5394</v>
      </c>
      <c r="C1291" s="56" t="s">
        <v>6261</v>
      </c>
      <c r="D1291" s="56"/>
      <c r="F1291" s="56" t="s">
        <v>6262</v>
      </c>
      <c r="G1291" s="56">
        <v>2</v>
      </c>
      <c r="H1291" s="56">
        <v>1</v>
      </c>
      <c r="I1291" s="56">
        <v>0.5</v>
      </c>
      <c r="K1291" s="56" t="s">
        <v>1873</v>
      </c>
      <c r="L1291" s="56" t="s">
        <v>6059</v>
      </c>
      <c r="O1291">
        <f>_xlfn.XLOOKUP(N1291,'Error-codes'!$C$2:$C$130,'Error-codes'!$B$2:$B$130, "None")</f>
        <v>0</v>
      </c>
      <c r="U1291" s="81">
        <f>DATEVALUE(LEFT(F1291,10))</f>
        <v>44987</v>
      </c>
    </row>
    <row r="1292" spans="1:21">
      <c r="A1292" s="56" t="s">
        <v>6263</v>
      </c>
      <c r="B1292" s="56" t="s">
        <v>295</v>
      </c>
      <c r="C1292" s="56" t="s">
        <v>6264</v>
      </c>
      <c r="D1292" s="56" t="s">
        <v>388</v>
      </c>
      <c r="E1292" s="56" t="s">
        <v>2939</v>
      </c>
      <c r="F1292" s="56" t="s">
        <v>6265</v>
      </c>
      <c r="G1292" s="56">
        <v>100</v>
      </c>
      <c r="H1292" s="56">
        <v>10</v>
      </c>
      <c r="I1292" s="56">
        <v>0.1</v>
      </c>
      <c r="J1292" s="56" t="s">
        <v>5760</v>
      </c>
      <c r="K1292" s="56" t="s">
        <v>5593</v>
      </c>
      <c r="L1292" s="56" t="s">
        <v>3325</v>
      </c>
      <c r="M1292" s="56" t="str">
        <f>HYPERLINK("https://dribble.octin.io/?mode=Single+log&amp;log_id=846ab9a2-e787-4e90-8f70-13350afbb664","URL")</f>
        <v>URL</v>
      </c>
      <c r="N1292" s="56" t="s">
        <v>3444</v>
      </c>
      <c r="O1292" t="str">
        <f>_xlfn.XLOOKUP(N1292,'Error-codes'!$C$2:$C$130,'Error-codes'!$B$2:$B$130, "None")</f>
        <v>collision detected in operational state for the 4th time in a row</v>
      </c>
      <c r="U1292" s="81">
        <f>DATEVALUE(LEFT(F1292,10))</f>
        <v>44987</v>
      </c>
    </row>
    <row r="1293" spans="1:21">
      <c r="A1293" s="56"/>
      <c r="B1293" s="56" t="s">
        <v>5394</v>
      </c>
      <c r="C1293" s="56" t="s">
        <v>6266</v>
      </c>
      <c r="D1293" s="56" t="s">
        <v>37</v>
      </c>
      <c r="E1293" s="56" t="s">
        <v>6267</v>
      </c>
      <c r="F1293" s="56" t="s">
        <v>6268</v>
      </c>
      <c r="G1293" s="56">
        <v>120</v>
      </c>
      <c r="H1293" s="56">
        <v>2</v>
      </c>
      <c r="I1293" s="56">
        <v>1.6666666666666666E-2</v>
      </c>
      <c r="J1293" s="56" t="s">
        <v>6234</v>
      </c>
      <c r="K1293" s="56" t="s">
        <v>1873</v>
      </c>
      <c r="L1293" s="56" t="s">
        <v>6059</v>
      </c>
      <c r="N1293" s="56" t="s">
        <v>3432</v>
      </c>
      <c r="O1293" t="str">
        <f>_xlfn.XLOOKUP(N1293,'Error-codes'!$C$2:$C$130,'Error-codes'!$B$2:$B$130, "None")</f>
        <v>vision did not initialize in time</v>
      </c>
      <c r="U1293" s="81">
        <f>DATEVALUE(LEFT(F1293,10))</f>
        <v>44987</v>
      </c>
    </row>
    <row r="1294" spans="1:21">
      <c r="A1294" s="56" t="s">
        <v>6269</v>
      </c>
      <c r="B1294" s="56" t="s">
        <v>3293</v>
      </c>
      <c r="C1294" s="56" t="s">
        <v>6270</v>
      </c>
      <c r="D1294" s="56" t="s">
        <v>388</v>
      </c>
      <c r="E1294" s="56" t="s">
        <v>2939</v>
      </c>
      <c r="F1294" s="56" t="s">
        <v>6271</v>
      </c>
      <c r="G1294" s="56">
        <v>11</v>
      </c>
      <c r="H1294" s="56">
        <v>2</v>
      </c>
      <c r="I1294" s="56">
        <v>0.18181818181818182</v>
      </c>
      <c r="J1294" s="56" t="s">
        <v>5246</v>
      </c>
      <c r="K1294" s="56" t="s">
        <v>3207</v>
      </c>
      <c r="L1294" s="56" t="s">
        <v>6110</v>
      </c>
      <c r="M1294" s="56" t="str">
        <f>HYPERLINK("https://dribble.octin.io/?mode=Single+log&amp;log_id=10a16a3e-fd02-43a4-af82-acdb8876ae95","URL")</f>
        <v>URL</v>
      </c>
      <c r="N1294" s="56" t="s">
        <v>3446</v>
      </c>
      <c r="O1294" t="str">
        <f>_xlfn.XLOOKUP(N1294,'Error-codes'!$C$2:$C$130,'Error-codes'!$B$2:$B$130, "None")</f>
        <v>end of lane wall sensor error</v>
      </c>
      <c r="U1294" s="81">
        <f>DATEVALUE(LEFT(F1294,10))</f>
        <v>44987</v>
      </c>
    </row>
    <row r="1295" spans="1:21">
      <c r="A1295" s="56" t="s">
        <v>6272</v>
      </c>
      <c r="B1295" s="56" t="s">
        <v>3293</v>
      </c>
      <c r="C1295" s="56" t="s">
        <v>6270</v>
      </c>
      <c r="D1295" s="56" t="s">
        <v>388</v>
      </c>
      <c r="E1295" s="56" t="s">
        <v>2939</v>
      </c>
      <c r="F1295" s="56" t="s">
        <v>6273</v>
      </c>
      <c r="G1295" s="56">
        <v>11</v>
      </c>
      <c r="H1295" s="56">
        <v>8</v>
      </c>
      <c r="I1295" s="56">
        <v>0.72727272727272729</v>
      </c>
      <c r="J1295" s="56" t="s">
        <v>6217</v>
      </c>
      <c r="K1295" s="56" t="s">
        <v>3207</v>
      </c>
      <c r="L1295" s="56" t="s">
        <v>6110</v>
      </c>
      <c r="M1295" s="56" t="str">
        <f>HYPERLINK("https://dribble.octin.io/?mode=Single+log&amp;log_id=c513387f-19f7-4a53-a540-a1ce5a6bab2c","URL")</f>
        <v>URL</v>
      </c>
      <c r="N1295" s="56" t="s">
        <v>2933</v>
      </c>
      <c r="O1295" t="str">
        <f>_xlfn.XLOOKUP(N1295,'Error-codes'!$C$2:$C$130,'Error-codes'!$B$2:$B$130, "None")</f>
        <v>inductive sensor error</v>
      </c>
      <c r="U1295" s="81">
        <f>DATEVALUE(LEFT(F1295,10))</f>
        <v>44987</v>
      </c>
    </row>
    <row r="1296" spans="1:21">
      <c r="B1296" s="56" t="s">
        <v>3293</v>
      </c>
      <c r="C1296" s="56" t="s">
        <v>6270</v>
      </c>
      <c r="D1296" s="56" t="s">
        <v>388</v>
      </c>
      <c r="F1296" s="56" t="s">
        <v>6274</v>
      </c>
      <c r="G1296" s="56">
        <v>11</v>
      </c>
      <c r="H1296" s="56">
        <v>9</v>
      </c>
      <c r="I1296" s="56">
        <v>0.81818181818181823</v>
      </c>
      <c r="K1296" s="56" t="s">
        <v>3207</v>
      </c>
      <c r="L1296" s="56" t="s">
        <v>6110</v>
      </c>
      <c r="O1296">
        <f>_xlfn.XLOOKUP(N1296,'Error-codes'!$C$2:$C$130,'Error-codes'!$B$2:$B$130, "None")</f>
        <v>0</v>
      </c>
      <c r="U1296" s="81">
        <f>DATEVALUE(LEFT(F1296,10))</f>
        <v>44987</v>
      </c>
    </row>
    <row r="1297" spans="1:21">
      <c r="B1297" s="56" t="s">
        <v>2886</v>
      </c>
      <c r="C1297" s="56" t="s">
        <v>6275</v>
      </c>
      <c r="D1297" s="56" t="s">
        <v>22</v>
      </c>
      <c r="F1297" s="56" t="s">
        <v>6276</v>
      </c>
      <c r="G1297" s="56">
        <v>199</v>
      </c>
      <c r="H1297" s="56">
        <v>1</v>
      </c>
      <c r="I1297" s="56">
        <v>5.0251256281407036E-3</v>
      </c>
      <c r="K1297" s="56" t="s">
        <v>2166</v>
      </c>
      <c r="L1297" s="56" t="s">
        <v>2932</v>
      </c>
      <c r="O1297">
        <f>_xlfn.XLOOKUP(N1297,'Error-codes'!$C$2:$C$130,'Error-codes'!$B$2:$B$130, "None")</f>
        <v>0</v>
      </c>
      <c r="U1297" s="81">
        <f>DATEVALUE(LEFT(F1297,10))</f>
        <v>44987</v>
      </c>
    </row>
    <row r="1298" spans="1:21">
      <c r="A1298" s="56" t="s">
        <v>6277</v>
      </c>
      <c r="B1298" s="56" t="s">
        <v>2886</v>
      </c>
      <c r="C1298" s="56" t="s">
        <v>6278</v>
      </c>
      <c r="D1298" s="56" t="s">
        <v>37</v>
      </c>
      <c r="E1298" s="56" t="s">
        <v>3204</v>
      </c>
      <c r="F1298" s="56" t="s">
        <v>6279</v>
      </c>
      <c r="G1298" s="56">
        <v>201</v>
      </c>
      <c r="H1298" s="56">
        <v>7</v>
      </c>
      <c r="I1298" s="56">
        <v>3.482587064676617E-2</v>
      </c>
      <c r="J1298" s="56" t="s">
        <v>5965</v>
      </c>
      <c r="K1298" s="56" t="s">
        <v>2171</v>
      </c>
      <c r="L1298" s="56" t="s">
        <v>2932</v>
      </c>
      <c r="M1298" s="56" t="str">
        <f>HYPERLINK("https://dribble.octin.io/?mode=Single+log&amp;log_id=8989757b-e989-4dcc-921f-2bfc64b6c999","URL")</f>
        <v>URL</v>
      </c>
      <c r="N1298" s="56" t="s">
        <v>2933</v>
      </c>
      <c r="O1298" t="str">
        <f>_xlfn.XLOOKUP(N1298,'Error-codes'!$C$2:$C$130,'Error-codes'!$B$2:$B$130, "None")</f>
        <v>inductive sensor error</v>
      </c>
      <c r="Q1298" t="s">
        <v>6280</v>
      </c>
      <c r="U1298" s="81">
        <f>DATEVALUE(LEFT(F1298,10))</f>
        <v>44987</v>
      </c>
    </row>
    <row r="1299" spans="1:21">
      <c r="B1299" s="56" t="s">
        <v>295</v>
      </c>
      <c r="C1299" s="56" t="s">
        <v>6264</v>
      </c>
      <c r="D1299" s="56" t="s">
        <v>388</v>
      </c>
      <c r="F1299" s="56" t="s">
        <v>6281</v>
      </c>
      <c r="G1299" s="56">
        <v>100</v>
      </c>
      <c r="H1299" s="56">
        <v>99</v>
      </c>
      <c r="I1299" s="56">
        <v>0.99</v>
      </c>
      <c r="K1299" s="56" t="s">
        <v>5593</v>
      </c>
      <c r="L1299" s="56" t="s">
        <v>3325</v>
      </c>
      <c r="O1299">
        <f>_xlfn.XLOOKUP(N1299,'Error-codes'!$C$2:$C$130,'Error-codes'!$B$2:$B$130, "None")</f>
        <v>0</v>
      </c>
      <c r="U1299" s="81">
        <f>DATEVALUE(LEFT(F1299,10))</f>
        <v>44987</v>
      </c>
    </row>
    <row r="1300" spans="1:21">
      <c r="B1300" s="56" t="s">
        <v>29</v>
      </c>
      <c r="C1300" s="56" t="s">
        <v>6282</v>
      </c>
      <c r="D1300" s="56" t="s">
        <v>388</v>
      </c>
      <c r="F1300" s="56" t="s">
        <v>6283</v>
      </c>
      <c r="G1300" s="56">
        <v>111</v>
      </c>
      <c r="H1300" s="56">
        <v>111</v>
      </c>
      <c r="I1300" s="56">
        <v>1</v>
      </c>
      <c r="K1300" s="56" t="s">
        <v>5593</v>
      </c>
      <c r="L1300" s="56" t="s">
        <v>3325</v>
      </c>
      <c r="O1300">
        <f>_xlfn.XLOOKUP(N1300,'Error-codes'!$C$2:$C$130,'Error-codes'!$B$2:$B$130, "None")</f>
        <v>0</v>
      </c>
      <c r="U1300" s="81">
        <f>DATEVALUE(LEFT(F1300,10))</f>
        <v>44988</v>
      </c>
    </row>
    <row r="1301" spans="1:21">
      <c r="B1301" s="56" t="s">
        <v>3263</v>
      </c>
      <c r="C1301" s="56" t="s">
        <v>6284</v>
      </c>
      <c r="D1301" s="56" t="s">
        <v>388</v>
      </c>
      <c r="F1301" s="56" t="s">
        <v>6285</v>
      </c>
      <c r="G1301" s="56">
        <v>81</v>
      </c>
      <c r="H1301" s="56">
        <v>81</v>
      </c>
      <c r="I1301" s="56">
        <v>1</v>
      </c>
      <c r="K1301" s="56" t="s">
        <v>3268</v>
      </c>
      <c r="L1301" s="56" t="s">
        <v>3269</v>
      </c>
      <c r="O1301">
        <f>_xlfn.XLOOKUP(N1301,'Error-codes'!$C$2:$C$130,'Error-codes'!$B$2:$B$130, "None")</f>
        <v>0</v>
      </c>
      <c r="U1301" s="81">
        <f>DATEVALUE(LEFT(F1301,10))</f>
        <v>44988</v>
      </c>
    </row>
    <row r="1302" spans="1:21">
      <c r="B1302" s="56" t="s">
        <v>29</v>
      </c>
      <c r="C1302" s="56" t="s">
        <v>6286</v>
      </c>
      <c r="D1302" s="56" t="s">
        <v>22</v>
      </c>
      <c r="F1302" s="56" t="s">
        <v>6287</v>
      </c>
      <c r="G1302" s="56">
        <v>90</v>
      </c>
      <c r="H1302" s="56">
        <v>0</v>
      </c>
      <c r="I1302" s="56">
        <v>0</v>
      </c>
      <c r="K1302" s="56" t="s">
        <v>5593</v>
      </c>
      <c r="L1302" s="56" t="s">
        <v>3358</v>
      </c>
      <c r="O1302">
        <f>_xlfn.XLOOKUP(N1302,'Error-codes'!$C$2:$C$130,'Error-codes'!$B$2:$B$130, "None")</f>
        <v>0</v>
      </c>
      <c r="U1302" s="81">
        <f>DATEVALUE(LEFT(F1302,10))</f>
        <v>44988</v>
      </c>
    </row>
    <row r="1303" spans="1:21">
      <c r="B1303" s="56" t="s">
        <v>5394</v>
      </c>
      <c r="C1303" s="56" t="s">
        <v>6288</v>
      </c>
      <c r="D1303" s="56"/>
      <c r="F1303" s="56" t="s">
        <v>6289</v>
      </c>
      <c r="G1303" s="56">
        <v>2</v>
      </c>
      <c r="H1303" s="56">
        <v>1</v>
      </c>
      <c r="I1303" s="56">
        <v>0.5</v>
      </c>
      <c r="K1303" s="56" t="s">
        <v>1873</v>
      </c>
      <c r="L1303" s="56" t="s">
        <v>6059</v>
      </c>
      <c r="O1303">
        <f>_xlfn.XLOOKUP(N1303,'Error-codes'!$C$2:$C$130,'Error-codes'!$B$2:$B$130, "None")</f>
        <v>0</v>
      </c>
      <c r="U1303" s="81">
        <f>DATEVALUE(LEFT(F1303,10))</f>
        <v>44988</v>
      </c>
    </row>
    <row r="1304" spans="1:21">
      <c r="B1304" s="56" t="s">
        <v>5394</v>
      </c>
      <c r="C1304" s="56" t="s">
        <v>6290</v>
      </c>
      <c r="D1304" s="56" t="s">
        <v>388</v>
      </c>
      <c r="F1304" s="56" t="s">
        <v>6291</v>
      </c>
      <c r="G1304" s="56">
        <v>2</v>
      </c>
      <c r="H1304" s="56">
        <v>2</v>
      </c>
      <c r="I1304" s="56">
        <v>1</v>
      </c>
      <c r="K1304" s="56" t="s">
        <v>1873</v>
      </c>
      <c r="L1304" s="56" t="s">
        <v>6059</v>
      </c>
      <c r="O1304">
        <f>_xlfn.XLOOKUP(N1304,'Error-codes'!$C$2:$C$130,'Error-codes'!$B$2:$B$130, "None")</f>
        <v>0</v>
      </c>
      <c r="U1304" s="81">
        <f>DATEVALUE(LEFT(F1304,10))</f>
        <v>44988</v>
      </c>
    </row>
    <row r="1305" spans="1:21">
      <c r="A1305" s="56" t="s">
        <v>6292</v>
      </c>
      <c r="B1305" s="56" t="s">
        <v>5394</v>
      </c>
      <c r="C1305" s="56" t="s">
        <v>6293</v>
      </c>
      <c r="D1305" s="56" t="s">
        <v>37</v>
      </c>
      <c r="E1305" s="56" t="s">
        <v>3253</v>
      </c>
      <c r="F1305" s="56" t="s">
        <v>6294</v>
      </c>
      <c r="G1305" s="56">
        <v>119</v>
      </c>
      <c r="H1305" s="56">
        <v>5</v>
      </c>
      <c r="I1305" s="56">
        <v>4.2016806722689079E-2</v>
      </c>
      <c r="J1305" s="56" t="s">
        <v>6295</v>
      </c>
      <c r="K1305" s="56" t="s">
        <v>1873</v>
      </c>
      <c r="L1305" s="56" t="s">
        <v>6059</v>
      </c>
      <c r="M1305" s="56" t="str">
        <f>HYPERLINK("https://dribble.octin.io/?mode=Single+log&amp;log_id=be1befc0-9237-4f1a-9976-f9c2650ff04d","URL")</f>
        <v>URL</v>
      </c>
      <c r="N1305" s="56" t="s">
        <v>3454</v>
      </c>
      <c r="O1305" t="str">
        <f>_xlfn.XLOOKUP(N1305,'Error-codes'!$C$2:$C$130,'Error-codes'!$B$2:$B$130, "None")</f>
        <v>Veh low level FSM: safety was triggered</v>
      </c>
      <c r="U1305" s="81">
        <f>DATEVALUE(LEFT(F1305,10))</f>
        <v>44988</v>
      </c>
    </row>
    <row r="1306" spans="1:21">
      <c r="A1306" s="56"/>
      <c r="B1306" s="56" t="s">
        <v>5394</v>
      </c>
      <c r="C1306" s="56" t="s">
        <v>6296</v>
      </c>
      <c r="D1306" s="56" t="s">
        <v>37</v>
      </c>
      <c r="E1306" s="56" t="s">
        <v>2939</v>
      </c>
      <c r="F1306" s="56" t="s">
        <v>6297</v>
      </c>
      <c r="G1306" s="56">
        <v>7</v>
      </c>
      <c r="H1306" s="56">
        <v>1</v>
      </c>
      <c r="I1306" s="56">
        <v>0.14285714285714285</v>
      </c>
      <c r="J1306" s="56" t="s">
        <v>6298</v>
      </c>
      <c r="K1306" s="56" t="s">
        <v>1873</v>
      </c>
      <c r="L1306" s="56" t="s">
        <v>6059</v>
      </c>
      <c r="N1306" s="56" t="s">
        <v>3454</v>
      </c>
      <c r="O1306" t="str">
        <f>_xlfn.XLOOKUP(N1306,'Error-codes'!$C$2:$C$130,'Error-codes'!$B$2:$B$130, "None")</f>
        <v>Veh low level FSM: safety was triggered</v>
      </c>
      <c r="U1306" s="81">
        <f>DATEVALUE(LEFT(F1306,10))</f>
        <v>44988</v>
      </c>
    </row>
    <row r="1307" spans="1:21">
      <c r="A1307" s="56"/>
      <c r="B1307" s="56" t="s">
        <v>5394</v>
      </c>
      <c r="C1307" s="56" t="s">
        <v>6296</v>
      </c>
      <c r="D1307" s="56" t="s">
        <v>37</v>
      </c>
      <c r="E1307" s="56" t="s">
        <v>6267</v>
      </c>
      <c r="F1307" s="56" t="s">
        <v>6299</v>
      </c>
      <c r="G1307" s="56">
        <v>7</v>
      </c>
      <c r="H1307" s="56">
        <v>3</v>
      </c>
      <c r="I1307" s="56">
        <v>0.42857142857142855</v>
      </c>
      <c r="J1307" s="56" t="s">
        <v>6298</v>
      </c>
      <c r="K1307" s="56" t="s">
        <v>1873</v>
      </c>
      <c r="L1307" s="56" t="s">
        <v>6059</v>
      </c>
      <c r="N1307" s="56" t="s">
        <v>3432</v>
      </c>
      <c r="O1307" t="str">
        <f>_xlfn.XLOOKUP(N1307,'Error-codes'!$C$2:$C$130,'Error-codes'!$B$2:$B$130, "None")</f>
        <v>vision did not initialize in time</v>
      </c>
      <c r="U1307" s="81">
        <f>DATEVALUE(LEFT(F1307,10))</f>
        <v>44988</v>
      </c>
    </row>
    <row r="1308" spans="1:21">
      <c r="B1308" s="56" t="s">
        <v>5394</v>
      </c>
      <c r="C1308" s="56" t="s">
        <v>6300</v>
      </c>
      <c r="D1308" s="56"/>
      <c r="F1308" s="56" t="s">
        <v>6301</v>
      </c>
      <c r="G1308" s="56">
        <v>5</v>
      </c>
      <c r="H1308" s="56">
        <v>2</v>
      </c>
      <c r="I1308" s="56">
        <v>0.4</v>
      </c>
      <c r="K1308" s="56" t="s">
        <v>1873</v>
      </c>
      <c r="L1308" s="56" t="s">
        <v>6059</v>
      </c>
      <c r="O1308">
        <f>_xlfn.XLOOKUP(N1308,'Error-codes'!$C$2:$C$130,'Error-codes'!$B$2:$B$130, "None")</f>
        <v>0</v>
      </c>
      <c r="U1308" s="81">
        <f>DATEVALUE(LEFT(F1308,10))</f>
        <v>44988</v>
      </c>
    </row>
    <row r="1309" spans="1:21">
      <c r="B1309" s="56" t="s">
        <v>5394</v>
      </c>
      <c r="C1309" s="56" t="s">
        <v>6302</v>
      </c>
      <c r="D1309" s="56"/>
      <c r="F1309" s="56" t="s">
        <v>6303</v>
      </c>
      <c r="G1309" s="56">
        <v>3</v>
      </c>
      <c r="H1309" s="56">
        <v>1</v>
      </c>
      <c r="I1309" s="56">
        <v>0.33333333333333331</v>
      </c>
      <c r="K1309" s="56" t="s">
        <v>1873</v>
      </c>
      <c r="L1309" s="56" t="s">
        <v>6059</v>
      </c>
      <c r="O1309">
        <f>_xlfn.XLOOKUP(N1309,'Error-codes'!$C$2:$C$130,'Error-codes'!$B$2:$B$130, "None")</f>
        <v>0</v>
      </c>
      <c r="U1309" s="81">
        <f>DATEVALUE(LEFT(F1309,10))</f>
        <v>44988</v>
      </c>
    </row>
    <row r="1310" spans="1:21">
      <c r="B1310" s="56" t="s">
        <v>5394</v>
      </c>
      <c r="C1310" s="56" t="s">
        <v>6304</v>
      </c>
      <c r="D1310" s="56" t="s">
        <v>22</v>
      </c>
      <c r="F1310" s="56" t="s">
        <v>6305</v>
      </c>
      <c r="G1310" s="56">
        <v>2</v>
      </c>
      <c r="H1310" s="56">
        <v>1</v>
      </c>
      <c r="I1310" s="56">
        <v>0.5</v>
      </c>
      <c r="K1310" s="56" t="s">
        <v>1873</v>
      </c>
      <c r="L1310" s="56" t="s">
        <v>6059</v>
      </c>
      <c r="O1310">
        <f>_xlfn.XLOOKUP(N1310,'Error-codes'!$C$2:$C$130,'Error-codes'!$B$2:$B$130, "None")</f>
        <v>0</v>
      </c>
      <c r="U1310" s="81">
        <f>DATEVALUE(LEFT(F1310,10))</f>
        <v>44988</v>
      </c>
    </row>
    <row r="1311" spans="1:21">
      <c r="B1311" s="56" t="s">
        <v>5394</v>
      </c>
      <c r="C1311" s="56" t="s">
        <v>6306</v>
      </c>
      <c r="D1311" s="56" t="s">
        <v>22</v>
      </c>
      <c r="F1311" s="56" t="s">
        <v>6307</v>
      </c>
      <c r="G1311" s="56">
        <v>2</v>
      </c>
      <c r="H1311" s="56">
        <v>1</v>
      </c>
      <c r="I1311" s="56">
        <v>0.5</v>
      </c>
      <c r="K1311" s="56" t="s">
        <v>1873</v>
      </c>
      <c r="L1311" s="56" t="s">
        <v>6059</v>
      </c>
      <c r="O1311">
        <f>_xlfn.XLOOKUP(N1311,'Error-codes'!$C$2:$C$130,'Error-codes'!$B$2:$B$130, "None")</f>
        <v>0</v>
      </c>
      <c r="U1311" s="81">
        <f>DATEVALUE(LEFT(F1311,10))</f>
        <v>44988</v>
      </c>
    </row>
    <row r="1312" spans="1:21">
      <c r="B1312" s="56" t="s">
        <v>5394</v>
      </c>
      <c r="C1312" s="56" t="s">
        <v>6308</v>
      </c>
      <c r="D1312" s="56" t="s">
        <v>22</v>
      </c>
      <c r="F1312" s="56" t="s">
        <v>6309</v>
      </c>
      <c r="G1312" s="56">
        <v>2</v>
      </c>
      <c r="H1312" s="56">
        <v>1</v>
      </c>
      <c r="I1312" s="56">
        <v>0.5</v>
      </c>
      <c r="K1312" s="56" t="s">
        <v>1893</v>
      </c>
      <c r="L1312" s="56" t="s">
        <v>6059</v>
      </c>
      <c r="O1312">
        <f>_xlfn.XLOOKUP(N1312,'Error-codes'!$C$2:$C$130,'Error-codes'!$B$2:$B$130, "None")</f>
        <v>0</v>
      </c>
      <c r="U1312" s="81">
        <f>DATEVALUE(LEFT(F1312,10))</f>
        <v>44988</v>
      </c>
    </row>
    <row r="1313" spans="1:21">
      <c r="B1313" s="56" t="s">
        <v>5394</v>
      </c>
      <c r="C1313" s="56" t="s">
        <v>6310</v>
      </c>
      <c r="D1313" s="56" t="s">
        <v>22</v>
      </c>
      <c r="F1313" s="56" t="s">
        <v>6311</v>
      </c>
      <c r="G1313" s="56">
        <v>3</v>
      </c>
      <c r="H1313" s="56">
        <v>1</v>
      </c>
      <c r="I1313" s="56">
        <v>0.33333333333333331</v>
      </c>
      <c r="K1313" s="56" t="s">
        <v>1893</v>
      </c>
      <c r="L1313" s="56" t="s">
        <v>6059</v>
      </c>
      <c r="O1313">
        <f>_xlfn.XLOOKUP(N1313,'Error-codes'!$C$2:$C$130,'Error-codes'!$B$2:$B$130, "None")</f>
        <v>0</v>
      </c>
      <c r="U1313" s="81">
        <f>DATEVALUE(LEFT(F1313,10))</f>
        <v>44988</v>
      </c>
    </row>
    <row r="1314" spans="1:21">
      <c r="B1314" s="56" t="s">
        <v>5394</v>
      </c>
      <c r="C1314" s="56" t="s">
        <v>6312</v>
      </c>
      <c r="D1314" s="56" t="s">
        <v>22</v>
      </c>
      <c r="F1314" s="56" t="s">
        <v>6313</v>
      </c>
      <c r="G1314" s="56">
        <v>15</v>
      </c>
      <c r="H1314" s="56">
        <v>9</v>
      </c>
      <c r="I1314" s="56">
        <v>0.6</v>
      </c>
      <c r="K1314" s="56" t="s">
        <v>1873</v>
      </c>
      <c r="L1314" s="56" t="s">
        <v>6059</v>
      </c>
      <c r="O1314">
        <f>_xlfn.XLOOKUP(N1314,'Error-codes'!$C$2:$C$130,'Error-codes'!$B$2:$B$130, "None")</f>
        <v>0</v>
      </c>
      <c r="U1314" s="81">
        <f>DATEVALUE(LEFT(F1314,10))</f>
        <v>44988</v>
      </c>
    </row>
    <row r="1315" spans="1:21">
      <c r="B1315" s="56" t="s">
        <v>5394</v>
      </c>
      <c r="C1315" s="56" t="s">
        <v>6314</v>
      </c>
      <c r="D1315" s="56" t="s">
        <v>388</v>
      </c>
      <c r="F1315" s="56" t="s">
        <v>6315</v>
      </c>
      <c r="G1315" s="56">
        <v>7</v>
      </c>
      <c r="H1315" s="56">
        <v>7</v>
      </c>
      <c r="I1315" s="56">
        <v>1</v>
      </c>
      <c r="K1315" s="56" t="s">
        <v>1873</v>
      </c>
      <c r="L1315" s="56" t="s">
        <v>6059</v>
      </c>
      <c r="O1315">
        <f>_xlfn.XLOOKUP(N1315,'Error-codes'!$C$2:$C$130,'Error-codes'!$B$2:$B$130, "None")</f>
        <v>0</v>
      </c>
      <c r="U1315" s="81">
        <f>DATEVALUE(LEFT(F1315,10))</f>
        <v>44988</v>
      </c>
    </row>
    <row r="1316" spans="1:21">
      <c r="B1316" s="56" t="s">
        <v>5394</v>
      </c>
      <c r="C1316" s="56" t="s">
        <v>6316</v>
      </c>
      <c r="D1316" s="56" t="s">
        <v>22</v>
      </c>
      <c r="F1316" s="56" t="s">
        <v>6317</v>
      </c>
      <c r="G1316" s="56">
        <v>3</v>
      </c>
      <c r="H1316" s="56">
        <v>2</v>
      </c>
      <c r="I1316" s="56">
        <v>0.66666666666666663</v>
      </c>
      <c r="K1316" s="56" t="s">
        <v>1873</v>
      </c>
      <c r="L1316" s="56" t="s">
        <v>6059</v>
      </c>
      <c r="O1316">
        <f>_xlfn.XLOOKUP(N1316,'Error-codes'!$C$2:$C$130,'Error-codes'!$B$2:$B$130, "None")</f>
        <v>0</v>
      </c>
      <c r="U1316" s="81">
        <f>DATEVALUE(LEFT(F1316,10))</f>
        <v>44988</v>
      </c>
    </row>
    <row r="1317" spans="1:21">
      <c r="B1317" s="56" t="s">
        <v>5394</v>
      </c>
      <c r="C1317" s="56" t="s">
        <v>6318</v>
      </c>
      <c r="D1317" s="56"/>
      <c r="F1317" s="56" t="s">
        <v>6319</v>
      </c>
      <c r="G1317" s="56">
        <v>3</v>
      </c>
      <c r="H1317" s="56">
        <v>1</v>
      </c>
      <c r="I1317" s="56">
        <v>0.33333333333333331</v>
      </c>
      <c r="K1317" s="56" t="s">
        <v>1873</v>
      </c>
      <c r="L1317" s="56" t="s">
        <v>6059</v>
      </c>
      <c r="O1317">
        <f>_xlfn.XLOOKUP(N1317,'Error-codes'!$C$2:$C$130,'Error-codes'!$B$2:$B$130, "None")</f>
        <v>0</v>
      </c>
      <c r="U1317" s="81">
        <f>DATEVALUE(LEFT(F1317,10))</f>
        <v>44988</v>
      </c>
    </row>
    <row r="1318" spans="1:21">
      <c r="B1318" s="56" t="s">
        <v>5394</v>
      </c>
      <c r="C1318" s="56" t="s">
        <v>6320</v>
      </c>
      <c r="D1318" s="56" t="s">
        <v>22</v>
      </c>
      <c r="F1318" s="56" t="s">
        <v>6321</v>
      </c>
      <c r="G1318" s="56">
        <v>3</v>
      </c>
      <c r="H1318" s="56">
        <v>2</v>
      </c>
      <c r="I1318" s="56">
        <v>0.66666666666666663</v>
      </c>
      <c r="K1318" s="56" t="s">
        <v>1873</v>
      </c>
      <c r="L1318" s="56" t="s">
        <v>6059</v>
      </c>
      <c r="O1318">
        <f>_xlfn.XLOOKUP(N1318,'Error-codes'!$C$2:$C$130,'Error-codes'!$B$2:$B$130, "None")</f>
        <v>0</v>
      </c>
      <c r="U1318" s="81">
        <f>DATEVALUE(LEFT(F1318,10))</f>
        <v>44988</v>
      </c>
    </row>
    <row r="1319" spans="1:21">
      <c r="B1319" s="56" t="s">
        <v>5394</v>
      </c>
      <c r="C1319" s="56" t="s">
        <v>6322</v>
      </c>
      <c r="D1319" s="56" t="s">
        <v>22</v>
      </c>
      <c r="F1319" s="56" t="s">
        <v>6323</v>
      </c>
      <c r="G1319" s="56">
        <v>3</v>
      </c>
      <c r="H1319" s="56">
        <v>2</v>
      </c>
      <c r="I1319" s="56">
        <v>0.66666666666666663</v>
      </c>
      <c r="K1319" s="56" t="s">
        <v>1873</v>
      </c>
      <c r="L1319" s="56" t="s">
        <v>6059</v>
      </c>
      <c r="O1319">
        <f>_xlfn.XLOOKUP(N1319,'Error-codes'!$C$2:$C$130,'Error-codes'!$B$2:$B$130, "None")</f>
        <v>0</v>
      </c>
      <c r="U1319" s="81">
        <f>DATEVALUE(LEFT(F1319,10))</f>
        <v>44988</v>
      </c>
    </row>
    <row r="1320" spans="1:21">
      <c r="B1320" s="56" t="s">
        <v>5394</v>
      </c>
      <c r="C1320" s="56" t="s">
        <v>6324</v>
      </c>
      <c r="D1320" s="56" t="s">
        <v>22</v>
      </c>
      <c r="F1320" s="56" t="s">
        <v>6325</v>
      </c>
      <c r="G1320" s="56">
        <v>3</v>
      </c>
      <c r="H1320" s="56">
        <v>2</v>
      </c>
      <c r="I1320" s="56">
        <v>0.66666666666666663</v>
      </c>
      <c r="K1320" s="56" t="s">
        <v>1873</v>
      </c>
      <c r="L1320" s="56" t="s">
        <v>6059</v>
      </c>
      <c r="O1320">
        <f>_xlfn.XLOOKUP(N1320,'Error-codes'!$C$2:$C$130,'Error-codes'!$B$2:$B$130, "None")</f>
        <v>0</v>
      </c>
      <c r="U1320" s="81">
        <f>DATEVALUE(LEFT(F1320,10))</f>
        <v>44988</v>
      </c>
    </row>
    <row r="1321" spans="1:21">
      <c r="B1321" s="56" t="s">
        <v>5394</v>
      </c>
      <c r="C1321" s="56" t="s">
        <v>6326</v>
      </c>
      <c r="D1321" s="56" t="s">
        <v>388</v>
      </c>
      <c r="F1321" s="56" t="s">
        <v>6327</v>
      </c>
      <c r="G1321" s="56">
        <v>3</v>
      </c>
      <c r="H1321" s="56">
        <v>3</v>
      </c>
      <c r="I1321" s="56">
        <v>1</v>
      </c>
      <c r="K1321" s="56" t="s">
        <v>1873</v>
      </c>
      <c r="L1321" s="56" t="s">
        <v>6059</v>
      </c>
      <c r="O1321">
        <f>_xlfn.XLOOKUP(N1321,'Error-codes'!$C$2:$C$130,'Error-codes'!$B$2:$B$130, "None")</f>
        <v>0</v>
      </c>
      <c r="U1321" s="81">
        <f>DATEVALUE(LEFT(F1321,10))</f>
        <v>44988</v>
      </c>
    </row>
    <row r="1322" spans="1:21">
      <c r="B1322" s="56" t="s">
        <v>2886</v>
      </c>
      <c r="C1322" s="56" t="s">
        <v>6328</v>
      </c>
      <c r="D1322" s="56" t="s">
        <v>22</v>
      </c>
      <c r="F1322" s="56" t="s">
        <v>6329</v>
      </c>
      <c r="G1322" s="56">
        <v>102</v>
      </c>
      <c r="H1322" s="56">
        <v>1</v>
      </c>
      <c r="I1322" s="56">
        <v>9.8039215686274508E-3</v>
      </c>
      <c r="K1322" s="56" t="s">
        <v>2171</v>
      </c>
      <c r="L1322" s="56" t="s">
        <v>2948</v>
      </c>
      <c r="O1322">
        <f>_xlfn.XLOOKUP(N1322,'Error-codes'!$C$2:$C$130,'Error-codes'!$B$2:$B$130, "None")</f>
        <v>0</v>
      </c>
      <c r="U1322" s="81">
        <f>DATEVALUE(LEFT(F1322,10))</f>
        <v>44988</v>
      </c>
    </row>
    <row r="1323" spans="1:21">
      <c r="A1323" s="56" t="s">
        <v>6330</v>
      </c>
      <c r="B1323" s="56" t="s">
        <v>295</v>
      </c>
      <c r="C1323" s="56" t="s">
        <v>6331</v>
      </c>
      <c r="D1323" s="56" t="s">
        <v>388</v>
      </c>
      <c r="E1323" s="56" t="s">
        <v>2939</v>
      </c>
      <c r="F1323" s="56" t="s">
        <v>6332</v>
      </c>
      <c r="G1323" s="56">
        <v>223</v>
      </c>
      <c r="H1323" s="56">
        <v>6</v>
      </c>
      <c r="I1323" s="56">
        <v>2.6905829596412557E-2</v>
      </c>
      <c r="J1323" s="56" t="s">
        <v>5782</v>
      </c>
      <c r="K1323" s="56" t="s">
        <v>5612</v>
      </c>
      <c r="L1323" s="56" t="s">
        <v>3325</v>
      </c>
      <c r="M1323" s="56" t="str">
        <f>HYPERLINK("https://dribble.octin.io/?mode=Single+log&amp;log_id=bf37d5b5-6f4c-4c09-a77a-e7a36788894a","URL")</f>
        <v>URL</v>
      </c>
      <c r="N1323" s="56" t="s">
        <v>3446</v>
      </c>
      <c r="O1323" t="str">
        <f>_xlfn.XLOOKUP(N1323,'Error-codes'!$C$2:$C$130,'Error-codes'!$B$2:$B$130, "None")</f>
        <v>end of lane wall sensor error</v>
      </c>
      <c r="U1323" s="81">
        <f>DATEVALUE(LEFT(F1323,10))</f>
        <v>44988</v>
      </c>
    </row>
    <row r="1324" spans="1:21">
      <c r="B1324" s="56" t="s">
        <v>3202</v>
      </c>
      <c r="C1324" s="56" t="s">
        <v>6333</v>
      </c>
      <c r="D1324" s="56" t="s">
        <v>388</v>
      </c>
      <c r="F1324" s="56" t="s">
        <v>6334</v>
      </c>
      <c r="G1324" s="56">
        <v>37</v>
      </c>
      <c r="H1324" s="56">
        <v>37</v>
      </c>
      <c r="I1324" s="56">
        <v>1</v>
      </c>
      <c r="K1324" s="56" t="s">
        <v>3207</v>
      </c>
      <c r="L1324" s="56" t="s">
        <v>3302</v>
      </c>
      <c r="O1324">
        <f>_xlfn.XLOOKUP(N1324,'Error-codes'!$C$2:$C$130,'Error-codes'!$B$2:$B$130, "None")</f>
        <v>0</v>
      </c>
      <c r="U1324" s="81">
        <f>DATEVALUE(LEFT(F1324,10))</f>
        <v>44988</v>
      </c>
    </row>
    <row r="1325" spans="1:21">
      <c r="A1325" s="56" t="s">
        <v>6335</v>
      </c>
      <c r="B1325" s="56" t="s">
        <v>228</v>
      </c>
      <c r="C1325" s="56" t="s">
        <v>6336</v>
      </c>
      <c r="D1325" s="56" t="s">
        <v>37</v>
      </c>
      <c r="E1325" s="56" t="s">
        <v>4398</v>
      </c>
      <c r="F1325" s="56" t="s">
        <v>6337</v>
      </c>
      <c r="G1325" s="56">
        <v>95</v>
      </c>
      <c r="H1325" s="56">
        <v>2</v>
      </c>
      <c r="I1325" s="56">
        <v>2.1052631578947368E-2</v>
      </c>
      <c r="J1325" s="56" t="s">
        <v>5965</v>
      </c>
      <c r="K1325" s="56" t="s">
        <v>2171</v>
      </c>
      <c r="L1325" s="56" t="s">
        <v>2932</v>
      </c>
      <c r="M1325" s="56" t="str">
        <f>HYPERLINK("https://dribble.octin.io/?mode=Single+log&amp;log_id=05ad5b43-9026-4c38-9ffa-aa2298f38cea","URL")</f>
        <v>URL</v>
      </c>
      <c r="N1325" s="56" t="s">
        <v>3466</v>
      </c>
      <c r="O1325" t="str">
        <f>_xlfn.XLOOKUP(N1325,'Error-codes'!$C$2:$C$130,'Error-codes'!$B$2:$B$130, "None")</f>
        <v>vision error</v>
      </c>
      <c r="U1325" s="81">
        <f>DATEVALUE(LEFT(F1325,10))</f>
        <v>44988</v>
      </c>
    </row>
    <row r="1326" spans="1:21">
      <c r="A1326" s="56" t="s">
        <v>6338</v>
      </c>
      <c r="B1326" s="56" t="s">
        <v>2886</v>
      </c>
      <c r="C1326" s="56" t="s">
        <v>6339</v>
      </c>
      <c r="D1326" s="56" t="s">
        <v>37</v>
      </c>
      <c r="E1326" s="56" t="s">
        <v>2939</v>
      </c>
      <c r="F1326" s="56" t="s">
        <v>6340</v>
      </c>
      <c r="G1326" s="56">
        <v>103</v>
      </c>
      <c r="H1326" s="56">
        <v>2</v>
      </c>
      <c r="I1326" s="56">
        <v>1.9417475728155338E-2</v>
      </c>
      <c r="J1326" s="56" t="s">
        <v>3050</v>
      </c>
      <c r="K1326" s="56" t="s">
        <v>2171</v>
      </c>
      <c r="L1326" s="56" t="s">
        <v>2948</v>
      </c>
      <c r="M1326" s="56" t="str">
        <f>HYPERLINK("https://dribble.octin.io/?mode=Single+log&amp;log_id=6662346b-8876-408e-8fc8-15e8926944b9","URL")</f>
        <v>URL</v>
      </c>
      <c r="N1326" s="56" t="s">
        <v>2933</v>
      </c>
      <c r="O1326" t="str">
        <f>_xlfn.XLOOKUP(N1326,'Error-codes'!$C$2:$C$130,'Error-codes'!$B$2:$B$130, "None")</f>
        <v>inductive sensor error</v>
      </c>
      <c r="U1326" s="81">
        <f>DATEVALUE(LEFT(F1326,10))</f>
        <v>44988</v>
      </c>
    </row>
    <row r="1327" spans="1:21">
      <c r="A1327" s="56" t="s">
        <v>6341</v>
      </c>
      <c r="B1327" s="56" t="s">
        <v>3293</v>
      </c>
      <c r="C1327" s="56" t="s">
        <v>6342</v>
      </c>
      <c r="D1327" s="56" t="s">
        <v>37</v>
      </c>
      <c r="E1327" s="56" t="s">
        <v>4358</v>
      </c>
      <c r="F1327" s="56" t="s">
        <v>6343</v>
      </c>
      <c r="G1327" s="56">
        <v>22</v>
      </c>
      <c r="H1327" s="56">
        <v>7</v>
      </c>
      <c r="I1327" s="56">
        <v>0.31818181818181818</v>
      </c>
      <c r="J1327" s="56" t="s">
        <v>5850</v>
      </c>
      <c r="K1327" s="56" t="s">
        <v>3207</v>
      </c>
      <c r="L1327" s="56" t="s">
        <v>3297</v>
      </c>
      <c r="M1327" s="56" t="str">
        <f>HYPERLINK("https://dribble.octin.io/?mode=Single+log&amp;log_id=5e1c5a5e-e771-4810-87fe-4dfe28de41a2","URL")</f>
        <v>URL</v>
      </c>
      <c r="N1327" s="56" t="s">
        <v>3458</v>
      </c>
      <c r="O1327" t="str">
        <f>_xlfn.XLOOKUP(N1327,'Error-codes'!$C$2:$C$130,'Error-codes'!$B$2:$B$130, "None")</f>
        <v>motor drive: UNDER VOLTAGE</v>
      </c>
      <c r="U1327" s="81">
        <f>DATEVALUE(LEFT(F1327,10))</f>
        <v>44988</v>
      </c>
    </row>
    <row r="1328" spans="1:21">
      <c r="A1328" s="56" t="s">
        <v>6344</v>
      </c>
      <c r="B1328" s="56" t="s">
        <v>2886</v>
      </c>
      <c r="C1328" s="56" t="s">
        <v>6339</v>
      </c>
      <c r="D1328" s="56" t="s">
        <v>37</v>
      </c>
      <c r="E1328" s="56" t="s">
        <v>3204</v>
      </c>
      <c r="F1328" s="56" t="s">
        <v>6345</v>
      </c>
      <c r="G1328" s="56">
        <v>103</v>
      </c>
      <c r="H1328" s="56">
        <v>9</v>
      </c>
      <c r="I1328" s="56">
        <v>8.7378640776699032E-2</v>
      </c>
      <c r="J1328" s="56" t="s">
        <v>6346</v>
      </c>
      <c r="K1328" s="56" t="s">
        <v>2171</v>
      </c>
      <c r="L1328" s="56" t="s">
        <v>2948</v>
      </c>
      <c r="M1328" s="56" t="str">
        <f>HYPERLINK("https://dribble.octin.io/?mode=Single+log&amp;log_id=0bd14215-d9d8-447c-9e4b-9a96cf801c57","URL")</f>
        <v>URL</v>
      </c>
      <c r="N1328" s="56" t="s">
        <v>2933</v>
      </c>
      <c r="O1328" t="str">
        <f>_xlfn.XLOOKUP(N1328,'Error-codes'!$C$2:$C$130,'Error-codes'!$B$2:$B$130, "None")</f>
        <v>inductive sensor error</v>
      </c>
      <c r="Q1328" t="s">
        <v>6280</v>
      </c>
      <c r="U1328" s="81">
        <f>DATEVALUE(LEFT(F1328,10))</f>
        <v>44988</v>
      </c>
    </row>
    <row r="1329" spans="1:21">
      <c r="B1329" s="56" t="s">
        <v>5394</v>
      </c>
      <c r="C1329" s="56" t="s">
        <v>6347</v>
      </c>
      <c r="D1329" s="56" t="s">
        <v>388</v>
      </c>
      <c r="F1329" s="56" t="s">
        <v>6348</v>
      </c>
      <c r="G1329" s="56">
        <v>120</v>
      </c>
      <c r="H1329" s="56">
        <v>120</v>
      </c>
      <c r="I1329" s="56">
        <v>1</v>
      </c>
      <c r="K1329" s="56" t="s">
        <v>1873</v>
      </c>
      <c r="L1329" s="56" t="s">
        <v>6059</v>
      </c>
      <c r="O1329">
        <f>_xlfn.XLOOKUP(N1329,'Error-codes'!$C$2:$C$130,'Error-codes'!$B$2:$B$130, "None")</f>
        <v>0</v>
      </c>
      <c r="U1329" s="81">
        <f>DATEVALUE(LEFT(F1329,10))</f>
        <v>44989</v>
      </c>
    </row>
    <row r="1330" spans="1:21">
      <c r="B1330" s="56" t="s">
        <v>29</v>
      </c>
      <c r="C1330" s="56" t="s">
        <v>6349</v>
      </c>
      <c r="D1330" s="56" t="s">
        <v>388</v>
      </c>
      <c r="F1330" s="56" t="s">
        <v>6350</v>
      </c>
      <c r="G1330" s="56">
        <v>153</v>
      </c>
      <c r="H1330" s="56">
        <v>153</v>
      </c>
      <c r="I1330" s="56">
        <v>1</v>
      </c>
      <c r="K1330" s="56" t="s">
        <v>5593</v>
      </c>
      <c r="L1330" s="56" t="s">
        <v>3358</v>
      </c>
      <c r="O1330">
        <f>_xlfn.XLOOKUP(N1330,'Error-codes'!$C$2:$C$130,'Error-codes'!$B$2:$B$130, "None")</f>
        <v>0</v>
      </c>
      <c r="U1330" s="81">
        <f>DATEVALUE(LEFT(F1330,10))</f>
        <v>44989</v>
      </c>
    </row>
    <row r="1331" spans="1:21">
      <c r="B1331" s="56" t="s">
        <v>295</v>
      </c>
      <c r="C1331" s="56" t="s">
        <v>6331</v>
      </c>
      <c r="D1331" s="56" t="s">
        <v>388</v>
      </c>
      <c r="F1331" s="56" t="s">
        <v>6351</v>
      </c>
      <c r="G1331" s="56">
        <v>223</v>
      </c>
      <c r="H1331" s="56">
        <v>222</v>
      </c>
      <c r="I1331" s="56">
        <v>0.99551569506726456</v>
      </c>
      <c r="K1331" s="56" t="s">
        <v>5612</v>
      </c>
      <c r="L1331" s="56" t="s">
        <v>3325</v>
      </c>
      <c r="O1331">
        <f>_xlfn.XLOOKUP(N1331,'Error-codes'!$C$2:$C$130,'Error-codes'!$B$2:$B$130, "None")</f>
        <v>0</v>
      </c>
      <c r="U1331" s="81">
        <f>DATEVALUE(LEFT(F1331,10))</f>
        <v>44989</v>
      </c>
    </row>
    <row r="1332" spans="1:21">
      <c r="A1332" s="56" t="s">
        <v>6352</v>
      </c>
      <c r="B1332" s="56" t="s">
        <v>3263</v>
      </c>
      <c r="C1332" s="56" t="s">
        <v>6353</v>
      </c>
      <c r="D1332" s="56" t="s">
        <v>388</v>
      </c>
      <c r="E1332" s="56" t="s">
        <v>2939</v>
      </c>
      <c r="F1332" s="56" t="s">
        <v>6354</v>
      </c>
      <c r="G1332" s="56">
        <v>83</v>
      </c>
      <c r="H1332" s="56">
        <v>77</v>
      </c>
      <c r="I1332" s="56">
        <v>0.92771084337349397</v>
      </c>
      <c r="J1332" s="56" t="s">
        <v>6355</v>
      </c>
      <c r="K1332" s="56" t="s">
        <v>3280</v>
      </c>
      <c r="L1332" s="56" t="s">
        <v>3269</v>
      </c>
      <c r="M1332" s="56" t="str">
        <f>HYPERLINK("https://dribble.octin.io/?mode=Single+log&amp;log_id=8acac596-7468-4f45-b39f-50470d3ea566","URL")</f>
        <v>URL</v>
      </c>
      <c r="N1332" s="56" t="s">
        <v>6356</v>
      </c>
      <c r="O1332" t="str">
        <f>_xlfn.XLOOKUP(N1332,'Error-codes'!$C$2:$C$130,'Error-codes'!$B$2:$B$130, "None")</f>
        <v>None</v>
      </c>
      <c r="U1332" s="81">
        <f>DATEVALUE(LEFT(F1332,10))</f>
        <v>44989</v>
      </c>
    </row>
    <row r="1333" spans="1:21">
      <c r="B1333" s="56" t="s">
        <v>3263</v>
      </c>
      <c r="C1333" s="56" t="s">
        <v>6353</v>
      </c>
      <c r="D1333" s="56" t="s">
        <v>388</v>
      </c>
      <c r="F1333" s="56" t="s">
        <v>6357</v>
      </c>
      <c r="G1333" s="56">
        <v>83</v>
      </c>
      <c r="H1333" s="56">
        <v>82</v>
      </c>
      <c r="I1333" s="56">
        <v>0.98795180722891562</v>
      </c>
      <c r="K1333" s="56" t="s">
        <v>3280</v>
      </c>
      <c r="L1333" s="56" t="s">
        <v>3269</v>
      </c>
      <c r="O1333">
        <f>_xlfn.XLOOKUP(N1333,'Error-codes'!$C$2:$C$130,'Error-codes'!$B$2:$B$130, "None")</f>
        <v>0</v>
      </c>
      <c r="U1333" s="81">
        <f>DATEVALUE(LEFT(F1333,10))</f>
        <v>44989</v>
      </c>
    </row>
    <row r="1334" spans="1:21">
      <c r="B1334" s="56" t="s">
        <v>3293</v>
      </c>
      <c r="C1334" s="56" t="s">
        <v>6358</v>
      </c>
      <c r="D1334" s="56" t="s">
        <v>22</v>
      </c>
      <c r="F1334" s="56" t="s">
        <v>6359</v>
      </c>
      <c r="G1334" s="56">
        <v>16</v>
      </c>
      <c r="H1334" s="56">
        <v>0</v>
      </c>
      <c r="I1334" s="56">
        <v>0</v>
      </c>
      <c r="K1334" s="56" t="s">
        <v>3207</v>
      </c>
      <c r="L1334" s="56" t="s">
        <v>3297</v>
      </c>
      <c r="O1334">
        <f>_xlfn.XLOOKUP(N1334,'Error-codes'!$C$2:$C$130,'Error-codes'!$B$2:$B$130, "None")</f>
        <v>0</v>
      </c>
      <c r="U1334" s="81">
        <f>DATEVALUE(LEFT(F1334,10))</f>
        <v>44989</v>
      </c>
    </row>
    <row r="1335" spans="1:21">
      <c r="A1335" s="56" t="s">
        <v>6360</v>
      </c>
      <c r="B1335" s="56" t="s">
        <v>29</v>
      </c>
      <c r="C1335" s="56" t="s">
        <v>6361</v>
      </c>
      <c r="D1335" s="56" t="s">
        <v>388</v>
      </c>
      <c r="E1335" s="56" t="s">
        <v>2939</v>
      </c>
      <c r="F1335" s="56" t="s">
        <v>6362</v>
      </c>
      <c r="G1335" s="56">
        <v>210</v>
      </c>
      <c r="H1335" s="56">
        <v>19</v>
      </c>
      <c r="I1335" s="56">
        <v>9.0476190476190474E-2</v>
      </c>
      <c r="J1335" s="56" t="s">
        <v>5228</v>
      </c>
      <c r="K1335" s="56" t="s">
        <v>5593</v>
      </c>
      <c r="L1335" s="56" t="s">
        <v>3325</v>
      </c>
      <c r="M1335" s="56" t="str">
        <f>HYPERLINK("https://dribble.octin.io/?mode=Single+log&amp;log_id=df9b25b6-6523-4d70-be9f-cce4f6a3504b","URL")</f>
        <v>URL</v>
      </c>
      <c r="N1335" s="56" t="s">
        <v>3446</v>
      </c>
      <c r="O1335" t="str">
        <f>_xlfn.XLOOKUP(N1335,'Error-codes'!$C$2:$C$130,'Error-codes'!$B$2:$B$130, "None")</f>
        <v>end of lane wall sensor error</v>
      </c>
      <c r="U1335" s="81">
        <f>DATEVALUE(LEFT(F1335,10))</f>
        <v>44989</v>
      </c>
    </row>
    <row r="1336" spans="1:21">
      <c r="A1336" s="56" t="s">
        <v>6363</v>
      </c>
      <c r="B1336" s="56" t="s">
        <v>295</v>
      </c>
      <c r="C1336" s="56" t="s">
        <v>6364</v>
      </c>
      <c r="D1336" s="56" t="s">
        <v>388</v>
      </c>
      <c r="E1336" s="56" t="s">
        <v>2939</v>
      </c>
      <c r="F1336" s="56" t="s">
        <v>6365</v>
      </c>
      <c r="G1336" s="56">
        <v>154</v>
      </c>
      <c r="H1336" s="56">
        <v>32</v>
      </c>
      <c r="I1336" s="56">
        <v>0.20779220779220781</v>
      </c>
      <c r="J1336" s="56" t="s">
        <v>6366</v>
      </c>
      <c r="K1336" s="56" t="s">
        <v>5612</v>
      </c>
      <c r="L1336" s="56" t="s">
        <v>3358</v>
      </c>
      <c r="M1336" s="56" t="str">
        <f>HYPERLINK("https://dribble.octin.io/?mode=Single+log&amp;log_id=ebb08586-aa93-4f71-936a-9104ed50b872","URL")</f>
        <v>URL</v>
      </c>
      <c r="N1336" s="56" t="s">
        <v>2933</v>
      </c>
      <c r="O1336" t="str">
        <f>_xlfn.XLOOKUP(N1336,'Error-codes'!$C$2:$C$130,'Error-codes'!$B$2:$B$130, "None")</f>
        <v>inductive sensor error</v>
      </c>
      <c r="R1336" t="s">
        <v>2901</v>
      </c>
      <c r="U1336" s="81">
        <f>DATEVALUE(LEFT(F1336,10))</f>
        <v>44989</v>
      </c>
    </row>
    <row r="1337" spans="1:21">
      <c r="A1337" s="56" t="s">
        <v>6367</v>
      </c>
      <c r="B1337" s="56" t="s">
        <v>3293</v>
      </c>
      <c r="C1337" s="56" t="s">
        <v>6368</v>
      </c>
      <c r="D1337" s="56" t="s">
        <v>388</v>
      </c>
      <c r="E1337" s="56" t="s">
        <v>2939</v>
      </c>
      <c r="F1337" s="56" t="s">
        <v>6369</v>
      </c>
      <c r="G1337" s="56">
        <v>22</v>
      </c>
      <c r="H1337" s="56">
        <v>17</v>
      </c>
      <c r="I1337" s="56">
        <v>0.77272727272727271</v>
      </c>
      <c r="J1337" s="56" t="s">
        <v>5218</v>
      </c>
      <c r="K1337" s="56" t="s">
        <v>3207</v>
      </c>
      <c r="L1337" s="56" t="s">
        <v>3297</v>
      </c>
      <c r="M1337" s="56" t="str">
        <f>HYPERLINK("https://dribble.octin.io/?mode=Single+log&amp;log_id=79bf0367-66b2-4342-b5ce-c0bdac11785a","URL")</f>
        <v>URL</v>
      </c>
      <c r="N1337" s="56" t="s">
        <v>3446</v>
      </c>
      <c r="O1337" t="str">
        <f>_xlfn.XLOOKUP(N1337,'Error-codes'!$C$2:$C$130,'Error-codes'!$B$2:$B$130, "None")</f>
        <v>end of lane wall sensor error</v>
      </c>
      <c r="U1337" s="81">
        <f>DATEVALUE(LEFT(F1337,10))</f>
        <v>44989</v>
      </c>
    </row>
    <row r="1338" spans="1:21">
      <c r="B1338" s="56" t="s">
        <v>3293</v>
      </c>
      <c r="C1338" s="56" t="s">
        <v>6368</v>
      </c>
      <c r="D1338" s="56" t="s">
        <v>388</v>
      </c>
      <c r="F1338" s="56" t="s">
        <v>6370</v>
      </c>
      <c r="G1338" s="56">
        <v>22</v>
      </c>
      <c r="H1338" s="56">
        <v>21</v>
      </c>
      <c r="I1338" s="56">
        <v>0.95454545454545459</v>
      </c>
      <c r="K1338" s="56" t="s">
        <v>3207</v>
      </c>
      <c r="L1338" s="56" t="s">
        <v>3297</v>
      </c>
      <c r="O1338">
        <f>_xlfn.XLOOKUP(N1338,'Error-codes'!$C$2:$C$130,'Error-codes'!$B$2:$B$130, "None")</f>
        <v>0</v>
      </c>
      <c r="U1338" s="81">
        <f>DATEVALUE(LEFT(F1338,10))</f>
        <v>44989</v>
      </c>
    </row>
    <row r="1339" spans="1:21">
      <c r="A1339" s="56" t="s">
        <v>6371</v>
      </c>
      <c r="B1339" s="56" t="s">
        <v>295</v>
      </c>
      <c r="C1339" s="56" t="s">
        <v>6364</v>
      </c>
      <c r="D1339" s="56" t="s">
        <v>388</v>
      </c>
      <c r="E1339" s="56" t="s">
        <v>2939</v>
      </c>
      <c r="F1339" s="56" t="s">
        <v>6372</v>
      </c>
      <c r="G1339" s="56">
        <v>154</v>
      </c>
      <c r="H1339" s="56">
        <v>110</v>
      </c>
      <c r="I1339" s="56">
        <v>0.7142857142857143</v>
      </c>
      <c r="J1339" s="56" t="s">
        <v>6138</v>
      </c>
      <c r="K1339" s="56" t="s">
        <v>5612</v>
      </c>
      <c r="L1339" s="56" t="s">
        <v>3358</v>
      </c>
      <c r="M1339" s="56" t="str">
        <f>HYPERLINK("https://dribble.octin.io/?mode=Single+log&amp;log_id=5d9acdd8-c1c2-4121-9d3c-ea948f656f9a","URL")</f>
        <v>URL</v>
      </c>
      <c r="N1339" s="56" t="s">
        <v>2933</v>
      </c>
      <c r="O1339" t="str">
        <f>_xlfn.XLOOKUP(N1339,'Error-codes'!$C$2:$C$130,'Error-codes'!$B$2:$B$130, "None")</f>
        <v>inductive sensor error</v>
      </c>
      <c r="R1339" t="s">
        <v>2901</v>
      </c>
      <c r="U1339" s="81">
        <f>DATEVALUE(LEFT(F1339,10))</f>
        <v>44990</v>
      </c>
    </row>
    <row r="1340" spans="1:21">
      <c r="B1340" s="56" t="s">
        <v>5394</v>
      </c>
      <c r="C1340" s="56" t="s">
        <v>6373</v>
      </c>
      <c r="D1340" s="56" t="s">
        <v>388</v>
      </c>
      <c r="F1340" s="56" t="s">
        <v>6374</v>
      </c>
      <c r="G1340" s="56">
        <v>120</v>
      </c>
      <c r="H1340" s="56">
        <v>120</v>
      </c>
      <c r="I1340" s="56">
        <v>1</v>
      </c>
      <c r="K1340" s="56" t="s">
        <v>1893</v>
      </c>
      <c r="L1340" s="56" t="s">
        <v>6059</v>
      </c>
      <c r="O1340">
        <f>_xlfn.XLOOKUP(N1340,'Error-codes'!$C$2:$C$130,'Error-codes'!$B$2:$B$130, "None")</f>
        <v>0</v>
      </c>
      <c r="U1340" s="81">
        <f>DATEVALUE(LEFT(F1340,10))</f>
        <v>44990</v>
      </c>
    </row>
    <row r="1341" spans="1:21">
      <c r="B1341" s="56" t="s">
        <v>295</v>
      </c>
      <c r="C1341" s="56" t="s">
        <v>6364</v>
      </c>
      <c r="D1341" s="56" t="s">
        <v>388</v>
      </c>
      <c r="F1341" s="56" t="s">
        <v>6375</v>
      </c>
      <c r="G1341" s="56">
        <v>154</v>
      </c>
      <c r="H1341" s="56">
        <v>152</v>
      </c>
      <c r="I1341" s="56">
        <v>0.98701298701298701</v>
      </c>
      <c r="K1341" s="56" t="s">
        <v>5612</v>
      </c>
      <c r="L1341" s="56" t="s">
        <v>3358</v>
      </c>
      <c r="O1341">
        <f>_xlfn.XLOOKUP(N1341,'Error-codes'!$C$2:$C$130,'Error-codes'!$B$2:$B$130, "None")</f>
        <v>0</v>
      </c>
      <c r="U1341" s="81">
        <f>DATEVALUE(LEFT(F1341,10))</f>
        <v>44990</v>
      </c>
    </row>
    <row r="1342" spans="1:21">
      <c r="B1342" s="56" t="s">
        <v>29</v>
      </c>
      <c r="C1342" s="56" t="s">
        <v>6361</v>
      </c>
      <c r="D1342" s="56" t="s">
        <v>388</v>
      </c>
      <c r="F1342" s="56" t="s">
        <v>6376</v>
      </c>
      <c r="G1342" s="56">
        <v>210</v>
      </c>
      <c r="H1342" s="56">
        <v>209</v>
      </c>
      <c r="I1342" s="56">
        <v>0.99523809523809526</v>
      </c>
      <c r="K1342" s="56" t="s">
        <v>5593</v>
      </c>
      <c r="L1342" s="56" t="s">
        <v>3325</v>
      </c>
      <c r="O1342">
        <f>_xlfn.XLOOKUP(N1342,'Error-codes'!$C$2:$C$130,'Error-codes'!$B$2:$B$130, "None")</f>
        <v>0</v>
      </c>
      <c r="U1342" s="81">
        <f>DATEVALUE(LEFT(F1342,10))</f>
        <v>44990</v>
      </c>
    </row>
    <row r="1343" spans="1:21">
      <c r="B1343" s="56" t="s">
        <v>5394</v>
      </c>
      <c r="C1343" s="56" t="s">
        <v>6377</v>
      </c>
      <c r="D1343" s="56" t="s">
        <v>388</v>
      </c>
      <c r="F1343" s="56" t="s">
        <v>6378</v>
      </c>
      <c r="G1343" s="56">
        <v>120</v>
      </c>
      <c r="H1343" s="56">
        <v>120</v>
      </c>
      <c r="I1343" s="56">
        <v>1</v>
      </c>
      <c r="K1343" s="56" t="s">
        <v>1873</v>
      </c>
      <c r="L1343" s="56" t="s">
        <v>6059</v>
      </c>
      <c r="O1343">
        <f>_xlfn.XLOOKUP(N1343,'Error-codes'!$C$2:$C$130,'Error-codes'!$B$2:$B$130, "None")</f>
        <v>0</v>
      </c>
      <c r="U1343" s="81">
        <f>DATEVALUE(LEFT(F1343,10))</f>
        <v>44991</v>
      </c>
    </row>
    <row r="1344" spans="1:21">
      <c r="B1344" s="56" t="s">
        <v>295</v>
      </c>
      <c r="C1344" s="56" t="s">
        <v>6379</v>
      </c>
      <c r="D1344" s="56" t="s">
        <v>388</v>
      </c>
      <c r="F1344" s="56" t="s">
        <v>6380</v>
      </c>
      <c r="G1344" s="56">
        <v>154</v>
      </c>
      <c r="H1344" s="56">
        <v>154</v>
      </c>
      <c r="I1344" s="56">
        <v>1</v>
      </c>
      <c r="K1344" s="56" t="s">
        <v>5593</v>
      </c>
      <c r="L1344" s="56" t="s">
        <v>3358</v>
      </c>
      <c r="O1344">
        <f>_xlfn.XLOOKUP(N1344,'Error-codes'!$C$2:$C$130,'Error-codes'!$B$2:$B$130, "None")</f>
        <v>0</v>
      </c>
      <c r="U1344" s="81">
        <f>DATEVALUE(LEFT(F1344,10))</f>
        <v>44991</v>
      </c>
    </row>
    <row r="1345" spans="1:21">
      <c r="A1345" s="56" t="s">
        <v>6381</v>
      </c>
      <c r="B1345" s="56" t="s">
        <v>3771</v>
      </c>
      <c r="C1345" s="56" t="s">
        <v>6382</v>
      </c>
      <c r="D1345" s="56" t="s">
        <v>388</v>
      </c>
      <c r="E1345" s="56" t="s">
        <v>2939</v>
      </c>
      <c r="F1345" s="56" t="s">
        <v>6383</v>
      </c>
      <c r="G1345" s="56">
        <v>10</v>
      </c>
      <c r="H1345" s="56">
        <v>1</v>
      </c>
      <c r="I1345" s="56">
        <v>0.1</v>
      </c>
      <c r="J1345" s="56" t="s">
        <v>3795</v>
      </c>
      <c r="K1345" s="56" t="s">
        <v>5210</v>
      </c>
      <c r="L1345" s="56" t="s">
        <v>3775</v>
      </c>
      <c r="M1345" s="56" t="str">
        <f>HYPERLINK("https://dribble.octin.io/?mode=Single+log&amp;log_id=1a41843d-c4f0-4daa-8b78-ea391984f52a","URL")</f>
        <v>URL</v>
      </c>
      <c r="N1345" s="56" t="s">
        <v>3452</v>
      </c>
      <c r="O1345" t="str">
        <f>_xlfn.XLOOKUP(N1345,'Error-codes'!$C$2:$C$130,'Error-codes'!$B$2:$B$130, "None")</f>
        <v>ytheta sensor error</v>
      </c>
      <c r="U1345" s="81">
        <f>DATEVALUE(LEFT(F1345,10))</f>
        <v>44991</v>
      </c>
    </row>
    <row r="1346" spans="1:21">
      <c r="B1346" s="56" t="s">
        <v>3771</v>
      </c>
      <c r="C1346" s="56" t="s">
        <v>6382</v>
      </c>
      <c r="D1346" s="56" t="s">
        <v>388</v>
      </c>
      <c r="F1346" s="56" t="s">
        <v>6384</v>
      </c>
      <c r="G1346" s="56">
        <v>10</v>
      </c>
      <c r="H1346" s="56">
        <v>9</v>
      </c>
      <c r="I1346" s="56">
        <v>0.9</v>
      </c>
      <c r="K1346" s="56" t="s">
        <v>5210</v>
      </c>
      <c r="L1346" s="56" t="s">
        <v>3775</v>
      </c>
      <c r="O1346">
        <f>_xlfn.XLOOKUP(N1346,'Error-codes'!$C$2:$C$130,'Error-codes'!$B$2:$B$130, "None")</f>
        <v>0</v>
      </c>
      <c r="U1346" s="81">
        <f>DATEVALUE(LEFT(F1346,10))</f>
        <v>44991</v>
      </c>
    </row>
    <row r="1347" spans="1:21">
      <c r="A1347" s="56" t="s">
        <v>6385</v>
      </c>
      <c r="B1347" s="56" t="s">
        <v>3771</v>
      </c>
      <c r="C1347" s="56" t="s">
        <v>6386</v>
      </c>
      <c r="D1347" s="56" t="s">
        <v>388</v>
      </c>
      <c r="E1347" s="56" t="s">
        <v>2939</v>
      </c>
      <c r="F1347" s="56" t="s">
        <v>6387</v>
      </c>
      <c r="G1347" s="56">
        <v>6</v>
      </c>
      <c r="H1347" s="56">
        <v>1</v>
      </c>
      <c r="I1347" s="56">
        <v>0.16666666666666666</v>
      </c>
      <c r="J1347" s="56" t="s">
        <v>4071</v>
      </c>
      <c r="K1347" s="56" t="s">
        <v>5210</v>
      </c>
      <c r="L1347" s="56" t="s">
        <v>3775</v>
      </c>
      <c r="M1347" s="56" t="str">
        <f>HYPERLINK("https://dribble.octin.io/?mode=Single+log&amp;log_id=13bd72f7-85f0-4028-bcc3-e4734285bc43","URL")</f>
        <v>URL</v>
      </c>
      <c r="N1347" s="56" t="s">
        <v>3452</v>
      </c>
      <c r="O1347" t="str">
        <f>_xlfn.XLOOKUP(N1347,'Error-codes'!$C$2:$C$130,'Error-codes'!$B$2:$B$130, "None")</f>
        <v>ytheta sensor error</v>
      </c>
      <c r="U1347" s="81">
        <f>DATEVALUE(LEFT(F1347,10))</f>
        <v>44991</v>
      </c>
    </row>
    <row r="1348" spans="1:21">
      <c r="B1348" s="56" t="s">
        <v>3771</v>
      </c>
      <c r="C1348" s="56" t="s">
        <v>6386</v>
      </c>
      <c r="D1348" s="56" t="s">
        <v>388</v>
      </c>
      <c r="F1348" s="56" t="s">
        <v>6388</v>
      </c>
      <c r="G1348" s="56">
        <v>6</v>
      </c>
      <c r="H1348" s="56">
        <v>5</v>
      </c>
      <c r="I1348" s="56">
        <v>0.83333333333333337</v>
      </c>
      <c r="K1348" s="56" t="s">
        <v>5210</v>
      </c>
      <c r="L1348" s="56" t="s">
        <v>3775</v>
      </c>
      <c r="O1348">
        <f>_xlfn.XLOOKUP(N1348,'Error-codes'!$C$2:$C$130,'Error-codes'!$B$2:$B$130, "None")</f>
        <v>0</v>
      </c>
      <c r="U1348" s="81">
        <f>DATEVALUE(LEFT(F1348,10))</f>
        <v>44991</v>
      </c>
    </row>
    <row r="1349" spans="1:21">
      <c r="A1349" s="56" t="s">
        <v>6389</v>
      </c>
      <c r="B1349" s="56" t="s">
        <v>3771</v>
      </c>
      <c r="C1349" s="56" t="s">
        <v>6390</v>
      </c>
      <c r="D1349" s="56" t="s">
        <v>37</v>
      </c>
      <c r="E1349" s="56" t="s">
        <v>2939</v>
      </c>
      <c r="F1349" s="56" t="s">
        <v>6391</v>
      </c>
      <c r="G1349" s="56">
        <v>13</v>
      </c>
      <c r="H1349" s="56">
        <v>2</v>
      </c>
      <c r="I1349" s="56">
        <v>0.15384615384615385</v>
      </c>
      <c r="J1349" s="56" t="s">
        <v>6392</v>
      </c>
      <c r="K1349" s="56" t="s">
        <v>6393</v>
      </c>
      <c r="L1349" s="56" t="s">
        <v>6394</v>
      </c>
      <c r="M1349" s="56" t="str">
        <f>HYPERLINK("https://dribble.octin.io/?mode=Single+log&amp;log_id=4ec0ade4-0091-406b-8f42-59036f906bc2","URL")</f>
        <v>URL</v>
      </c>
      <c r="N1349" s="56" t="s">
        <v>3440</v>
      </c>
      <c r="O1349" t="str">
        <f>_xlfn.XLOOKUP(N1349,'Error-codes'!$C$2:$C$130,'Error-codes'!$B$2:$B$130, "None")</f>
        <v>Trajectory generation timeout</v>
      </c>
      <c r="U1349" s="81">
        <f>DATEVALUE(LEFT(F1349,10))</f>
        <v>44991</v>
      </c>
    </row>
    <row r="1350" spans="1:21">
      <c r="A1350" s="56" t="s">
        <v>6395</v>
      </c>
      <c r="B1350" s="56" t="s">
        <v>3771</v>
      </c>
      <c r="C1350" s="56" t="s">
        <v>6390</v>
      </c>
      <c r="D1350" s="56" t="s">
        <v>37</v>
      </c>
      <c r="E1350" s="56" t="s">
        <v>4564</v>
      </c>
      <c r="F1350" s="56" t="s">
        <v>6396</v>
      </c>
      <c r="G1350" s="56">
        <v>13</v>
      </c>
      <c r="H1350" s="56">
        <v>5</v>
      </c>
      <c r="I1350" s="56">
        <v>0.38461538461538464</v>
      </c>
      <c r="J1350" s="56" t="s">
        <v>6397</v>
      </c>
      <c r="K1350" s="56" t="s">
        <v>6393</v>
      </c>
      <c r="L1350" s="56" t="s">
        <v>6394</v>
      </c>
      <c r="M1350" s="56" t="str">
        <f>HYPERLINK("https://dribble.octin.io/?mode=Single+log&amp;log_id=5fbc086b-3c74-4dc1-95e0-7062bf9340db","URL")</f>
        <v>URL</v>
      </c>
      <c r="N1350" s="56" t="s">
        <v>3440</v>
      </c>
      <c r="O1350" t="str">
        <f>_xlfn.XLOOKUP(N1350,'Error-codes'!$C$2:$C$130,'Error-codes'!$B$2:$B$130, "None")</f>
        <v>Trajectory generation timeout</v>
      </c>
      <c r="U1350" s="81">
        <f>DATEVALUE(LEFT(F1350,10))</f>
        <v>44991</v>
      </c>
    </row>
    <row r="1351" spans="1:21">
      <c r="A1351" s="56" t="s">
        <v>6398</v>
      </c>
      <c r="B1351" s="56" t="s">
        <v>3771</v>
      </c>
      <c r="C1351" s="56" t="s">
        <v>6399</v>
      </c>
      <c r="D1351" s="56" t="s">
        <v>37</v>
      </c>
      <c r="E1351" s="56" t="s">
        <v>4564</v>
      </c>
      <c r="F1351" s="56" t="s">
        <v>6400</v>
      </c>
      <c r="G1351" s="56">
        <v>8</v>
      </c>
      <c r="H1351" s="56">
        <v>2</v>
      </c>
      <c r="I1351" s="56">
        <v>0.25</v>
      </c>
      <c r="J1351" s="56" t="s">
        <v>6401</v>
      </c>
      <c r="K1351" s="56" t="s">
        <v>6393</v>
      </c>
      <c r="L1351" s="56" t="s">
        <v>6394</v>
      </c>
      <c r="M1351" s="56" t="str">
        <f>HYPERLINK("https://dribble.octin.io/?mode=Single+log&amp;log_id=fad802c1-ff12-4d82-8b0e-0a0fde160511","URL")</f>
        <v>URL</v>
      </c>
      <c r="N1351" s="56" t="s">
        <v>3440</v>
      </c>
      <c r="O1351" t="str">
        <f>_xlfn.XLOOKUP(N1351,'Error-codes'!$C$2:$C$130,'Error-codes'!$B$2:$B$130, "None")</f>
        <v>Trajectory generation timeout</v>
      </c>
      <c r="U1351" s="81">
        <f>DATEVALUE(LEFT(F1351,10))</f>
        <v>44991</v>
      </c>
    </row>
    <row r="1352" spans="1:21">
      <c r="B1352" s="56" t="s">
        <v>3771</v>
      </c>
      <c r="C1352" s="56" t="s">
        <v>6402</v>
      </c>
      <c r="D1352" s="56" t="s">
        <v>388</v>
      </c>
      <c r="F1352" s="56" t="s">
        <v>6403</v>
      </c>
      <c r="G1352" s="56">
        <v>6</v>
      </c>
      <c r="H1352" s="56">
        <v>6</v>
      </c>
      <c r="I1352" s="56">
        <v>1</v>
      </c>
      <c r="K1352" s="56" t="s">
        <v>6393</v>
      </c>
      <c r="L1352" s="56" t="s">
        <v>6394</v>
      </c>
      <c r="O1352">
        <f>_xlfn.XLOOKUP(N1352,'Error-codes'!$C$2:$C$130,'Error-codes'!$B$2:$B$130, "None")</f>
        <v>0</v>
      </c>
      <c r="U1352" s="81">
        <f>DATEVALUE(LEFT(F1352,10))</f>
        <v>44991</v>
      </c>
    </row>
    <row r="1353" spans="1:21">
      <c r="A1353" s="56" t="s">
        <v>6404</v>
      </c>
      <c r="B1353" s="56" t="s">
        <v>3771</v>
      </c>
      <c r="C1353" s="56" t="s">
        <v>6405</v>
      </c>
      <c r="D1353" s="56" t="s">
        <v>388</v>
      </c>
      <c r="E1353" s="56" t="s">
        <v>2939</v>
      </c>
      <c r="F1353" s="56" t="s">
        <v>6406</v>
      </c>
      <c r="G1353" s="56">
        <v>13</v>
      </c>
      <c r="H1353" s="56">
        <v>6</v>
      </c>
      <c r="I1353" s="56">
        <v>0.46153846153846156</v>
      </c>
      <c r="J1353" s="56" t="s">
        <v>6407</v>
      </c>
      <c r="K1353" s="56" t="s">
        <v>6393</v>
      </c>
      <c r="L1353" s="56" t="s">
        <v>6394</v>
      </c>
      <c r="M1353" s="56" t="str">
        <f>HYPERLINK("https://dribble.octin.io/?mode=Single+log&amp;log_id=aae08a2f-55e9-4936-80b2-634bab62b9a9","URL")</f>
        <v>URL</v>
      </c>
      <c r="N1353" s="56" t="s">
        <v>3452</v>
      </c>
      <c r="O1353" t="str">
        <f>_xlfn.XLOOKUP(N1353,'Error-codes'!$C$2:$C$130,'Error-codes'!$B$2:$B$130, "None")</f>
        <v>ytheta sensor error</v>
      </c>
      <c r="U1353" s="81">
        <f>DATEVALUE(LEFT(F1353,10))</f>
        <v>44991</v>
      </c>
    </row>
    <row r="1354" spans="1:21">
      <c r="B1354" s="56" t="s">
        <v>3771</v>
      </c>
      <c r="C1354" s="56" t="s">
        <v>6405</v>
      </c>
      <c r="D1354" s="56" t="s">
        <v>388</v>
      </c>
      <c r="F1354" s="56" t="s">
        <v>6408</v>
      </c>
      <c r="G1354" s="56">
        <v>13</v>
      </c>
      <c r="H1354" s="56">
        <v>12</v>
      </c>
      <c r="I1354" s="56">
        <v>0.92307692307692313</v>
      </c>
      <c r="K1354" s="56" t="s">
        <v>6393</v>
      </c>
      <c r="L1354" s="56" t="s">
        <v>6394</v>
      </c>
      <c r="O1354">
        <f>_xlfn.XLOOKUP(N1354,'Error-codes'!$C$2:$C$130,'Error-codes'!$B$2:$B$130, "None")</f>
        <v>0</v>
      </c>
      <c r="U1354" s="81">
        <f>DATEVALUE(LEFT(F1354,10))</f>
        <v>44991</v>
      </c>
    </row>
    <row r="1355" spans="1:21">
      <c r="B1355" s="56" t="s">
        <v>3771</v>
      </c>
      <c r="C1355" s="56" t="s">
        <v>6409</v>
      </c>
      <c r="D1355" s="56" t="s">
        <v>388</v>
      </c>
      <c r="F1355" s="56" t="s">
        <v>6410</v>
      </c>
      <c r="G1355" s="56">
        <v>10</v>
      </c>
      <c r="H1355" s="56">
        <v>10</v>
      </c>
      <c r="I1355" s="56">
        <v>1</v>
      </c>
      <c r="K1355" s="56" t="s">
        <v>6393</v>
      </c>
      <c r="L1355" s="56" t="s">
        <v>6394</v>
      </c>
      <c r="O1355">
        <f>_xlfn.XLOOKUP(N1355,'Error-codes'!$C$2:$C$130,'Error-codes'!$B$2:$B$130, "None")</f>
        <v>0</v>
      </c>
      <c r="U1355" s="81">
        <f>DATEVALUE(LEFT(F1355,10))</f>
        <v>44991</v>
      </c>
    </row>
    <row r="1356" spans="1:21">
      <c r="B1356" s="56" t="s">
        <v>3263</v>
      </c>
      <c r="C1356" s="56" t="s">
        <v>6411</v>
      </c>
      <c r="D1356" s="56" t="s">
        <v>388</v>
      </c>
      <c r="F1356" s="56" t="s">
        <v>6412</v>
      </c>
      <c r="G1356" s="56">
        <v>4</v>
      </c>
      <c r="H1356" s="56">
        <v>4</v>
      </c>
      <c r="I1356" s="56">
        <v>1</v>
      </c>
      <c r="K1356" s="56" t="s">
        <v>3280</v>
      </c>
      <c r="L1356" s="56" t="s">
        <v>3269</v>
      </c>
      <c r="O1356">
        <f>_xlfn.XLOOKUP(N1356,'Error-codes'!$C$2:$C$130,'Error-codes'!$B$2:$B$130, "None")</f>
        <v>0</v>
      </c>
      <c r="U1356" s="81">
        <f>DATEVALUE(LEFT(F1356,10))</f>
        <v>44991</v>
      </c>
    </row>
    <row r="1357" spans="1:21">
      <c r="A1357" s="56" t="s">
        <v>6413</v>
      </c>
      <c r="B1357" s="56" t="s">
        <v>29</v>
      </c>
      <c r="C1357" s="56" t="s">
        <v>6414</v>
      </c>
      <c r="D1357" s="56" t="s">
        <v>37</v>
      </c>
      <c r="E1357" s="56" t="s">
        <v>2939</v>
      </c>
      <c r="F1357" s="56" t="s">
        <v>6415</v>
      </c>
      <c r="G1357" s="56">
        <v>154</v>
      </c>
      <c r="H1357" s="56">
        <v>46</v>
      </c>
      <c r="I1357" s="56">
        <v>0.29870129870129869</v>
      </c>
      <c r="J1357" s="56" t="s">
        <v>6416</v>
      </c>
      <c r="K1357" s="56" t="s">
        <v>5612</v>
      </c>
      <c r="L1357" s="56" t="s">
        <v>3358</v>
      </c>
      <c r="M1357" s="56" t="str">
        <f>HYPERLINK("https://dribble.octin.io/?mode=Single+log&amp;log_id=4e09b000-7087-470c-b0c3-e66928894be1","URL")</f>
        <v>URL</v>
      </c>
      <c r="N1357" s="56" t="s">
        <v>3446</v>
      </c>
      <c r="O1357" t="str">
        <f>_xlfn.XLOOKUP(N1357,'Error-codes'!$C$2:$C$130,'Error-codes'!$B$2:$B$130, "None")</f>
        <v>end of lane wall sensor error</v>
      </c>
      <c r="U1357" s="81">
        <f>DATEVALUE(LEFT(F1357,10))</f>
        <v>44991</v>
      </c>
    </row>
    <row r="1358" spans="1:21">
      <c r="A1358" s="56" t="s">
        <v>6417</v>
      </c>
      <c r="B1358" s="56" t="s">
        <v>29</v>
      </c>
      <c r="C1358" s="56" t="s">
        <v>6414</v>
      </c>
      <c r="D1358" s="56" t="s">
        <v>37</v>
      </c>
      <c r="E1358" s="56" t="s">
        <v>2939</v>
      </c>
      <c r="F1358" s="56" t="s">
        <v>6418</v>
      </c>
      <c r="G1358" s="56">
        <v>154</v>
      </c>
      <c r="H1358" s="56">
        <v>47</v>
      </c>
      <c r="I1358" s="56">
        <v>0.30519480519480519</v>
      </c>
      <c r="J1358" s="56" t="s">
        <v>6419</v>
      </c>
      <c r="K1358" s="56" t="s">
        <v>5612</v>
      </c>
      <c r="L1358" s="56" t="s">
        <v>3358</v>
      </c>
      <c r="M1358" s="56" t="str">
        <f>HYPERLINK("https://dribble.octin.io/?mode=Single+log&amp;log_id=09b85727-2127-49c9-9951-74f1cfb12d42","URL")</f>
        <v>URL</v>
      </c>
      <c r="N1358" s="56" t="s">
        <v>3446</v>
      </c>
      <c r="O1358" t="str">
        <f>_xlfn.XLOOKUP(N1358,'Error-codes'!$C$2:$C$130,'Error-codes'!$B$2:$B$130, "None")</f>
        <v>end of lane wall sensor error</v>
      </c>
      <c r="U1358" s="81">
        <f>DATEVALUE(LEFT(F1358,10))</f>
        <v>44991</v>
      </c>
    </row>
    <row r="1359" spans="1:21">
      <c r="B1359" s="56" t="s">
        <v>3293</v>
      </c>
      <c r="C1359" s="56" t="s">
        <v>6420</v>
      </c>
      <c r="D1359" s="56" t="s">
        <v>388</v>
      </c>
      <c r="F1359" s="56" t="s">
        <v>6421</v>
      </c>
      <c r="G1359" s="56">
        <v>11</v>
      </c>
      <c r="H1359" s="56">
        <v>11</v>
      </c>
      <c r="I1359" s="56">
        <v>1</v>
      </c>
      <c r="K1359" s="56" t="s">
        <v>3207</v>
      </c>
      <c r="L1359" s="56" t="s">
        <v>6110</v>
      </c>
      <c r="O1359">
        <f>_xlfn.XLOOKUP(N1359,'Error-codes'!$C$2:$C$130,'Error-codes'!$B$2:$B$130, "None")</f>
        <v>0</v>
      </c>
      <c r="U1359" s="81">
        <f>DATEVALUE(LEFT(F1359,10))</f>
        <v>44991</v>
      </c>
    </row>
    <row r="1360" spans="1:21">
      <c r="A1360" s="56" t="s">
        <v>6422</v>
      </c>
      <c r="B1360" s="56" t="s">
        <v>29</v>
      </c>
      <c r="C1360" s="56" t="s">
        <v>6414</v>
      </c>
      <c r="D1360" s="56" t="s">
        <v>37</v>
      </c>
      <c r="E1360" s="56" t="s">
        <v>2939</v>
      </c>
      <c r="F1360" s="56" t="s">
        <v>6423</v>
      </c>
      <c r="G1360" s="56">
        <v>154</v>
      </c>
      <c r="H1360" s="56">
        <v>59</v>
      </c>
      <c r="I1360" s="56">
        <v>0.38311688311688313</v>
      </c>
      <c r="J1360" s="56" t="s">
        <v>6424</v>
      </c>
      <c r="K1360" s="56" t="s">
        <v>5612</v>
      </c>
      <c r="L1360" s="56" t="s">
        <v>3358</v>
      </c>
      <c r="M1360" s="56" t="str">
        <f>HYPERLINK("https://dribble.octin.io/?mode=Single+log&amp;log_id=1271593e-f4d9-400b-a4c4-b585971bbd82","URL")</f>
        <v>URL</v>
      </c>
      <c r="N1360" s="56" t="s">
        <v>3446</v>
      </c>
      <c r="O1360" t="str">
        <f>_xlfn.XLOOKUP(N1360,'Error-codes'!$C$2:$C$130,'Error-codes'!$B$2:$B$130, "None")</f>
        <v>end of lane wall sensor error</v>
      </c>
      <c r="U1360" s="81">
        <f>DATEVALUE(LEFT(F1360,10))</f>
        <v>44991</v>
      </c>
    </row>
    <row r="1361" spans="1:21">
      <c r="A1361" s="56" t="s">
        <v>6425</v>
      </c>
      <c r="B1361" s="56" t="s">
        <v>295</v>
      </c>
      <c r="C1361" s="56" t="s">
        <v>6426</v>
      </c>
      <c r="D1361" s="56" t="s">
        <v>37</v>
      </c>
      <c r="E1361" s="56" t="s">
        <v>6427</v>
      </c>
      <c r="F1361" s="56" t="s">
        <v>6428</v>
      </c>
      <c r="G1361" s="56">
        <v>210</v>
      </c>
      <c r="H1361" s="56">
        <v>74</v>
      </c>
      <c r="I1361" s="56">
        <v>0.35238095238095241</v>
      </c>
      <c r="J1361" s="56" t="s">
        <v>6429</v>
      </c>
      <c r="K1361" s="56" t="s">
        <v>5593</v>
      </c>
      <c r="L1361" s="56" t="s">
        <v>3325</v>
      </c>
      <c r="M1361" s="56" t="str">
        <f>HYPERLINK("https://dribble.octin.io/?mode=Single+log&amp;log_id=50c4e9d4-1d7d-49f4-8d59-5e49164a4a25","URL")</f>
        <v>URL</v>
      </c>
      <c r="N1361" s="56" t="s">
        <v>3444</v>
      </c>
      <c r="O1361" t="str">
        <f>_xlfn.XLOOKUP(N1361,'Error-codes'!$C$2:$C$130,'Error-codes'!$B$2:$B$130, "None")</f>
        <v>collision detected in operational state for the 4th time in a row</v>
      </c>
      <c r="U1361" s="81">
        <f>DATEVALUE(LEFT(F1361,10))</f>
        <v>44991</v>
      </c>
    </row>
    <row r="1362" spans="1:21">
      <c r="A1362" s="56" t="s">
        <v>6430</v>
      </c>
      <c r="B1362" s="56" t="s">
        <v>29</v>
      </c>
      <c r="C1362" s="56" t="s">
        <v>6414</v>
      </c>
      <c r="D1362" s="56" t="s">
        <v>37</v>
      </c>
      <c r="E1362" s="56" t="s">
        <v>2939</v>
      </c>
      <c r="F1362" s="56" t="s">
        <v>6431</v>
      </c>
      <c r="G1362" s="56">
        <v>154</v>
      </c>
      <c r="H1362" s="56">
        <v>103</v>
      </c>
      <c r="I1362" s="56">
        <v>0.66883116883116878</v>
      </c>
      <c r="J1362" s="56" t="s">
        <v>6432</v>
      </c>
      <c r="K1362" s="56" t="s">
        <v>5612</v>
      </c>
      <c r="L1362" s="56" t="s">
        <v>3358</v>
      </c>
      <c r="M1362" s="56" t="str">
        <f>HYPERLINK("https://dribble.octin.io/?mode=Single+log&amp;log_id=959701fc-ac17-417a-ae19-f909c555a78f","URL")</f>
        <v>URL</v>
      </c>
      <c r="N1362" s="56" t="s">
        <v>3446</v>
      </c>
      <c r="O1362" t="str">
        <f>_xlfn.XLOOKUP(N1362,'Error-codes'!$C$2:$C$130,'Error-codes'!$B$2:$B$130, "None")</f>
        <v>end of lane wall sensor error</v>
      </c>
      <c r="U1362" s="81">
        <f>DATEVALUE(LEFT(F1362,10))</f>
        <v>44991</v>
      </c>
    </row>
    <row r="1363" spans="1:21">
      <c r="A1363" s="56" t="s">
        <v>6433</v>
      </c>
      <c r="B1363" s="56" t="s">
        <v>29</v>
      </c>
      <c r="C1363" s="56" t="s">
        <v>6414</v>
      </c>
      <c r="D1363" s="56" t="s">
        <v>37</v>
      </c>
      <c r="E1363" s="56" t="s">
        <v>2939</v>
      </c>
      <c r="F1363" s="56" t="s">
        <v>6434</v>
      </c>
      <c r="G1363" s="56">
        <v>154</v>
      </c>
      <c r="H1363" s="56">
        <v>110</v>
      </c>
      <c r="I1363" s="56">
        <v>0.7142857142857143</v>
      </c>
      <c r="J1363" s="56" t="s">
        <v>6138</v>
      </c>
      <c r="K1363" s="56" t="s">
        <v>5612</v>
      </c>
      <c r="L1363" s="56" t="s">
        <v>3358</v>
      </c>
      <c r="M1363" s="56" t="str">
        <f>HYPERLINK("https://dribble.octin.io/?mode=Single+log&amp;log_id=f10d7cdb-9309-4722-ae1d-4399373317fb","URL")</f>
        <v>URL</v>
      </c>
      <c r="N1363" s="56" t="s">
        <v>2933</v>
      </c>
      <c r="O1363" t="str">
        <f>_xlfn.XLOOKUP(N1363,'Error-codes'!$C$2:$C$130,'Error-codes'!$B$2:$B$130, "None")</f>
        <v>inductive sensor error</v>
      </c>
      <c r="R1363" t="s">
        <v>2901</v>
      </c>
      <c r="U1363" s="81">
        <f>DATEVALUE(LEFT(F1363,10))</f>
        <v>44992</v>
      </c>
    </row>
    <row r="1364" spans="1:21">
      <c r="B1364" s="56" t="s">
        <v>5394</v>
      </c>
      <c r="C1364" s="56" t="s">
        <v>6435</v>
      </c>
      <c r="D1364" s="56" t="s">
        <v>388</v>
      </c>
      <c r="F1364" s="56" t="s">
        <v>6436</v>
      </c>
      <c r="G1364" s="56">
        <v>120</v>
      </c>
      <c r="H1364" s="56">
        <v>120</v>
      </c>
      <c r="I1364" s="56">
        <v>1</v>
      </c>
      <c r="K1364" s="56" t="s">
        <v>1893</v>
      </c>
      <c r="L1364" s="56" t="s">
        <v>6059</v>
      </c>
      <c r="O1364">
        <f>_xlfn.XLOOKUP(N1364,'Error-codes'!$C$2:$C$130,'Error-codes'!$B$2:$B$130, "None")</f>
        <v>0</v>
      </c>
      <c r="U1364" s="81">
        <f>DATEVALUE(LEFT(F1364,10))</f>
        <v>44992</v>
      </c>
    </row>
    <row r="1365" spans="1:21">
      <c r="A1365" s="56" t="s">
        <v>6437</v>
      </c>
      <c r="B1365" s="56" t="s">
        <v>29</v>
      </c>
      <c r="C1365" s="56" t="s">
        <v>6414</v>
      </c>
      <c r="D1365" s="56" t="s">
        <v>37</v>
      </c>
      <c r="E1365" s="56" t="s">
        <v>4774</v>
      </c>
      <c r="F1365" s="56" t="s">
        <v>6438</v>
      </c>
      <c r="G1365" s="56">
        <v>154</v>
      </c>
      <c r="H1365" s="56">
        <v>150</v>
      </c>
      <c r="I1365" s="56">
        <v>0.97402597402597402</v>
      </c>
      <c r="J1365" s="56" t="s">
        <v>5976</v>
      </c>
      <c r="K1365" s="56" t="s">
        <v>5612</v>
      </c>
      <c r="L1365" s="56" t="s">
        <v>3358</v>
      </c>
      <c r="M1365" s="56" t="str">
        <f>HYPERLINK("https://dribble.octin.io/?mode=Single+log&amp;log_id=e4ce2404-ffaa-4e2c-8ae1-5d67b6da0582","URL")</f>
        <v>URL</v>
      </c>
      <c r="N1365" s="56" t="s">
        <v>3450</v>
      </c>
      <c r="O1365" t="str">
        <f>_xlfn.XLOOKUP(N1365,'Error-codes'!$C$2:$C$130,'Error-codes'!$B$2:$B$130, "None")</f>
        <v>xtheta sensor error</v>
      </c>
      <c r="U1365" s="81">
        <f>DATEVALUE(LEFT(F1365,10))</f>
        <v>44992</v>
      </c>
    </row>
    <row r="1366" spans="1:21">
      <c r="A1366" s="56" t="s">
        <v>6439</v>
      </c>
      <c r="B1366" s="56" t="s">
        <v>3263</v>
      </c>
      <c r="C1366" s="56" t="s">
        <v>6440</v>
      </c>
      <c r="D1366" s="56" t="s">
        <v>388</v>
      </c>
      <c r="E1366" s="56" t="s">
        <v>2939</v>
      </c>
      <c r="F1366" s="56" t="s">
        <v>6441</v>
      </c>
      <c r="G1366" s="56">
        <v>82</v>
      </c>
      <c r="H1366" s="56">
        <v>48</v>
      </c>
      <c r="I1366" s="56">
        <v>0.58536585365853655</v>
      </c>
      <c r="J1366" s="56" t="s">
        <v>6442</v>
      </c>
      <c r="K1366" s="56" t="s">
        <v>3268</v>
      </c>
      <c r="L1366" s="56" t="s">
        <v>3269</v>
      </c>
      <c r="M1366" s="56" t="str">
        <f>HYPERLINK("https://dribble.octin.io/?mode=Single+log&amp;log_id=98767586-26d1-4479-a909-1feace0ebaf5","URL")</f>
        <v>URL</v>
      </c>
      <c r="N1366" s="56" t="s">
        <v>6443</v>
      </c>
      <c r="O1366" t="str">
        <f>_xlfn.XLOOKUP(N1366,'Error-codes'!$C$2:$C$130,'Error-codes'!$B$2:$B$130, "None")</f>
        <v>None</v>
      </c>
      <c r="U1366" s="81">
        <f>DATEVALUE(LEFT(F1366,10))</f>
        <v>44992</v>
      </c>
    </row>
    <row r="1367" spans="1:21">
      <c r="B1367" s="56" t="s">
        <v>3263</v>
      </c>
      <c r="C1367" s="56" t="s">
        <v>6440</v>
      </c>
      <c r="D1367" s="56" t="s">
        <v>388</v>
      </c>
      <c r="F1367" s="56" t="s">
        <v>6444</v>
      </c>
      <c r="G1367" s="56">
        <v>82</v>
      </c>
      <c r="H1367" s="56">
        <v>81</v>
      </c>
      <c r="I1367" s="56">
        <v>0.98780487804878048</v>
      </c>
      <c r="K1367" s="56" t="s">
        <v>3268</v>
      </c>
      <c r="L1367" s="56" t="s">
        <v>3269</v>
      </c>
      <c r="O1367">
        <f>_xlfn.XLOOKUP(N1367,'Error-codes'!$C$2:$C$130,'Error-codes'!$B$2:$B$130, "None")</f>
        <v>0</v>
      </c>
      <c r="U1367" s="81">
        <f>DATEVALUE(LEFT(F1367,10))</f>
        <v>44992</v>
      </c>
    </row>
    <row r="1368" spans="1:21">
      <c r="A1368" s="56" t="s">
        <v>6445</v>
      </c>
      <c r="B1368" s="56" t="s">
        <v>3771</v>
      </c>
      <c r="C1368" s="56" t="s">
        <v>6446</v>
      </c>
      <c r="D1368" s="56" t="s">
        <v>4149</v>
      </c>
      <c r="E1368" s="56" t="s">
        <v>2939</v>
      </c>
      <c r="F1368" s="56" t="s">
        <v>6447</v>
      </c>
      <c r="G1368" s="56">
        <v>30</v>
      </c>
      <c r="H1368" s="56">
        <v>26</v>
      </c>
      <c r="I1368" s="56">
        <v>0.8666666666666667</v>
      </c>
      <c r="J1368" s="56" t="s">
        <v>6448</v>
      </c>
      <c r="K1368" s="56" t="s">
        <v>5210</v>
      </c>
      <c r="L1368" s="56" t="s">
        <v>3775</v>
      </c>
      <c r="M1368" s="56" t="str">
        <f>HYPERLINK("https://dribble.octin.io/?mode=Single+log&amp;log_id=e783194b-1173-48b9-8eb5-e8a9906dbfa5","URL")</f>
        <v>URL</v>
      </c>
      <c r="N1368" s="56" t="s">
        <v>5128</v>
      </c>
      <c r="O1368" t="str">
        <f>_xlfn.XLOOKUP(N1368,'Error-codes'!$C$2:$C$130,'Error-codes'!$B$2:$B$130, "None")</f>
        <v>None</v>
      </c>
      <c r="U1368" s="81">
        <f>DATEVALUE(LEFT(F1368,10))</f>
        <v>44992</v>
      </c>
    </row>
    <row r="1369" spans="1:21">
      <c r="B1369" s="56" t="s">
        <v>3771</v>
      </c>
      <c r="C1369" s="56" t="s">
        <v>6449</v>
      </c>
      <c r="D1369" s="56" t="s">
        <v>388</v>
      </c>
      <c r="F1369" s="56" t="s">
        <v>6450</v>
      </c>
      <c r="G1369" s="56">
        <v>8</v>
      </c>
      <c r="H1369" s="56">
        <v>8</v>
      </c>
      <c r="I1369" s="56">
        <v>1</v>
      </c>
      <c r="K1369" s="56" t="s">
        <v>5210</v>
      </c>
      <c r="L1369" s="56" t="s">
        <v>3775</v>
      </c>
      <c r="O1369">
        <f>_xlfn.XLOOKUP(N1369,'Error-codes'!$C$2:$C$130,'Error-codes'!$B$2:$B$130, "None")</f>
        <v>0</v>
      </c>
      <c r="U1369" s="81">
        <f>DATEVALUE(LEFT(F1369,10))</f>
        <v>44992</v>
      </c>
    </row>
    <row r="1370" spans="1:21">
      <c r="A1370" s="56" t="s">
        <v>6451</v>
      </c>
      <c r="B1370" s="56" t="s">
        <v>3771</v>
      </c>
      <c r="C1370" s="56" t="s">
        <v>6452</v>
      </c>
      <c r="D1370" s="56" t="s">
        <v>37</v>
      </c>
      <c r="E1370" s="56" t="s">
        <v>2939</v>
      </c>
      <c r="F1370" s="56" t="s">
        <v>6453</v>
      </c>
      <c r="G1370" s="56">
        <v>52</v>
      </c>
      <c r="H1370" s="56">
        <v>2</v>
      </c>
      <c r="I1370" s="56">
        <v>3.8461538461538464E-2</v>
      </c>
      <c r="J1370" s="56" t="s">
        <v>6454</v>
      </c>
      <c r="K1370" s="56" t="s">
        <v>3207</v>
      </c>
      <c r="L1370" s="56" t="s">
        <v>6394</v>
      </c>
      <c r="M1370" s="56" t="str">
        <f>HYPERLINK("https://dribble.octin.io/?mode=Single+log&amp;log_id=d511572c-0476-457a-83f0-fa46596bba4c","URL")</f>
        <v>URL</v>
      </c>
      <c r="N1370" s="56" t="s">
        <v>3478</v>
      </c>
      <c r="O1370" t="str">
        <f>_xlfn.XLOOKUP(N1370,'Error-codes'!$C$2:$C$130,'Error-codes'!$B$2:$B$130, "None")</f>
        <v xml:space="preserve">Sideshift HAL: DRV8353 FAULT	</v>
      </c>
      <c r="U1370" s="81">
        <f>DATEVALUE(LEFT(F1370,10))</f>
        <v>44992</v>
      </c>
    </row>
    <row r="1371" spans="1:21">
      <c r="A1371" s="56" t="s">
        <v>6455</v>
      </c>
      <c r="B1371" s="56" t="s">
        <v>3771</v>
      </c>
      <c r="C1371" s="56" t="s">
        <v>6452</v>
      </c>
      <c r="D1371" s="56" t="s">
        <v>37</v>
      </c>
      <c r="E1371" s="56" t="s">
        <v>2939</v>
      </c>
      <c r="F1371" s="56" t="s">
        <v>6456</v>
      </c>
      <c r="G1371" s="56">
        <v>52</v>
      </c>
      <c r="H1371" s="56">
        <v>8</v>
      </c>
      <c r="I1371" s="56">
        <v>0.15384615384615385</v>
      </c>
      <c r="J1371" s="56" t="s">
        <v>6457</v>
      </c>
      <c r="K1371" s="56" t="s">
        <v>3207</v>
      </c>
      <c r="L1371" s="56" t="s">
        <v>6394</v>
      </c>
      <c r="M1371" s="56" t="str">
        <f>HYPERLINK("https://dribble.octin.io/?mode=Single+log&amp;log_id=7344fc3b-5007-4644-a3a9-d380db84f737","URL")</f>
        <v>URL</v>
      </c>
      <c r="N1371" s="56" t="s">
        <v>3474</v>
      </c>
      <c r="O1371" t="str">
        <f>_xlfn.XLOOKUP(N1371,'Error-codes'!$C$2:$C$130,'Error-codes'!$B$2:$B$130, "None")</f>
        <v>unexpected uv lamp state switch</v>
      </c>
      <c r="U1371" s="81">
        <f>DATEVALUE(LEFT(F1371,10))</f>
        <v>44992</v>
      </c>
    </row>
    <row r="1372" spans="1:21">
      <c r="A1372" s="56" t="s">
        <v>6458</v>
      </c>
      <c r="B1372" s="56" t="s">
        <v>3771</v>
      </c>
      <c r="C1372" s="56" t="s">
        <v>6452</v>
      </c>
      <c r="D1372" s="56" t="s">
        <v>37</v>
      </c>
      <c r="E1372" s="56" t="s">
        <v>4564</v>
      </c>
      <c r="F1372" s="56" t="s">
        <v>6459</v>
      </c>
      <c r="G1372" s="56">
        <v>52</v>
      </c>
      <c r="H1372" s="56">
        <v>15</v>
      </c>
      <c r="I1372" s="56">
        <v>0.28846153846153844</v>
      </c>
      <c r="J1372" s="56" t="s">
        <v>6460</v>
      </c>
      <c r="K1372" s="56" t="s">
        <v>3207</v>
      </c>
      <c r="L1372" s="56" t="s">
        <v>6394</v>
      </c>
      <c r="M1372" s="56" t="str">
        <f>HYPERLINK("https://dribble.octin.io/?mode=Single+log&amp;log_id=7c1063f6-ad95-4870-8adc-bbfb982e3612","URL")</f>
        <v>URL</v>
      </c>
      <c r="N1372" s="56" t="s">
        <v>3452</v>
      </c>
      <c r="O1372" t="str">
        <f>_xlfn.XLOOKUP(N1372,'Error-codes'!$C$2:$C$130,'Error-codes'!$B$2:$B$130, "None")</f>
        <v>ytheta sensor error</v>
      </c>
      <c r="U1372" s="81">
        <f>DATEVALUE(LEFT(F1372,10))</f>
        <v>44992</v>
      </c>
    </row>
    <row r="1373" spans="1:21">
      <c r="B1373" s="56" t="s">
        <v>3771</v>
      </c>
      <c r="C1373" s="56" t="s">
        <v>6461</v>
      </c>
      <c r="D1373" s="56" t="s">
        <v>4149</v>
      </c>
      <c r="F1373" s="56" t="s">
        <v>6462</v>
      </c>
      <c r="G1373" s="56">
        <v>4</v>
      </c>
      <c r="H1373" s="56">
        <v>4</v>
      </c>
      <c r="I1373" s="56">
        <v>1</v>
      </c>
      <c r="K1373" s="56" t="s">
        <v>3207</v>
      </c>
      <c r="L1373" s="56" t="s">
        <v>6394</v>
      </c>
      <c r="O1373">
        <f>_xlfn.XLOOKUP(N1373,'Error-codes'!$C$2:$C$130,'Error-codes'!$B$2:$B$130, "None")</f>
        <v>0</v>
      </c>
      <c r="U1373" s="81">
        <f>DATEVALUE(LEFT(F1373,10))</f>
        <v>44992</v>
      </c>
    </row>
    <row r="1374" spans="1:21">
      <c r="A1374" s="56" t="s">
        <v>6463</v>
      </c>
      <c r="B1374" s="56" t="s">
        <v>228</v>
      </c>
      <c r="C1374" s="56" t="s">
        <v>6464</v>
      </c>
      <c r="D1374" s="56" t="s">
        <v>37</v>
      </c>
      <c r="E1374" s="56"/>
      <c r="F1374" s="56" t="s">
        <v>6465</v>
      </c>
      <c r="G1374" s="56">
        <v>96</v>
      </c>
      <c r="H1374" s="56">
        <v>2</v>
      </c>
      <c r="I1374" s="56">
        <v>2.0833333333333332E-2</v>
      </c>
      <c r="J1374" s="56" t="s">
        <v>2167</v>
      </c>
      <c r="K1374" s="56" t="s">
        <v>2166</v>
      </c>
      <c r="L1374" s="56" t="s">
        <v>2948</v>
      </c>
      <c r="M1374" s="56" t="str">
        <f>HYPERLINK("https://dribble.octin.io/?mode=Single+log&amp;log_id=07a8479f-bc6d-42c4-b89e-479898310f21","URL")</f>
        <v>URL</v>
      </c>
      <c r="N1374" s="56" t="s">
        <v>2933</v>
      </c>
      <c r="O1374" t="str">
        <f>_xlfn.XLOOKUP(N1374,'Error-codes'!$C$2:$C$130,'Error-codes'!$B$2:$B$130, "None")</f>
        <v>inductive sensor error</v>
      </c>
      <c r="Q1374" t="s">
        <v>6466</v>
      </c>
      <c r="U1374" s="81">
        <f>DATEVALUE(LEFT(F1374,10))</f>
        <v>44992</v>
      </c>
    </row>
    <row r="1375" spans="1:21">
      <c r="B1375" s="56" t="s">
        <v>3771</v>
      </c>
      <c r="C1375" s="56" t="s">
        <v>6467</v>
      </c>
      <c r="D1375" s="56" t="s">
        <v>388</v>
      </c>
      <c r="F1375" s="56" t="s">
        <v>6468</v>
      </c>
      <c r="G1375" s="56">
        <v>4</v>
      </c>
      <c r="H1375" s="56">
        <v>4</v>
      </c>
      <c r="I1375" s="56">
        <v>1</v>
      </c>
      <c r="K1375" s="56" t="s">
        <v>6393</v>
      </c>
      <c r="L1375" s="56" t="s">
        <v>6394</v>
      </c>
      <c r="O1375">
        <f>_xlfn.XLOOKUP(N1375,'Error-codes'!$C$2:$C$130,'Error-codes'!$B$2:$B$130, "None")</f>
        <v>0</v>
      </c>
      <c r="U1375" s="81">
        <f>DATEVALUE(LEFT(F1375,10))</f>
        <v>44992</v>
      </c>
    </row>
    <row r="1376" spans="1:21">
      <c r="B1376" s="56" t="s">
        <v>228</v>
      </c>
      <c r="C1376" s="56" t="s">
        <v>6469</v>
      </c>
      <c r="D1376" s="56" t="s">
        <v>22</v>
      </c>
      <c r="F1376" s="56" t="s">
        <v>6470</v>
      </c>
      <c r="G1376" s="56">
        <v>88</v>
      </c>
      <c r="H1376" s="56">
        <v>5</v>
      </c>
      <c r="I1376" s="56">
        <v>5.6818181818181816E-2</v>
      </c>
      <c r="K1376" s="56" t="s">
        <v>2166</v>
      </c>
      <c r="L1376" s="56" t="s">
        <v>2948</v>
      </c>
      <c r="O1376">
        <f>_xlfn.XLOOKUP(N1376,'Error-codes'!$C$2:$C$130,'Error-codes'!$B$2:$B$130, "None")</f>
        <v>0</v>
      </c>
      <c r="U1376" s="81">
        <f>DATEVALUE(LEFT(F1376,10))</f>
        <v>44992</v>
      </c>
    </row>
    <row r="1377" spans="1:21">
      <c r="A1377" s="56" t="s">
        <v>6471</v>
      </c>
      <c r="B1377" s="56" t="s">
        <v>29</v>
      </c>
      <c r="C1377" s="56" t="s">
        <v>6472</v>
      </c>
      <c r="D1377" s="56" t="s">
        <v>37</v>
      </c>
      <c r="E1377" s="56" t="s">
        <v>2939</v>
      </c>
      <c r="F1377" s="56" t="s">
        <v>6473</v>
      </c>
      <c r="G1377" s="56">
        <v>153</v>
      </c>
      <c r="H1377" s="56">
        <v>0</v>
      </c>
      <c r="I1377" s="56">
        <v>0</v>
      </c>
      <c r="J1377" s="56" t="s">
        <v>6175</v>
      </c>
      <c r="K1377" s="56" t="s">
        <v>5593</v>
      </c>
      <c r="L1377" s="56" t="s">
        <v>3358</v>
      </c>
      <c r="M1377" s="56" t="str">
        <f>HYPERLINK("https://dribble.octin.io/?mode=Single+log&amp;log_id=4955747b-97fe-4b11-b30a-27da8918abe5","URL")</f>
        <v>URL</v>
      </c>
      <c r="N1377" s="56" t="s">
        <v>3466</v>
      </c>
      <c r="O1377" t="str">
        <f>_xlfn.XLOOKUP(N1377,'Error-codes'!$C$2:$C$130,'Error-codes'!$B$2:$B$130, "None")</f>
        <v>vision error</v>
      </c>
      <c r="U1377" s="81">
        <f>DATEVALUE(LEFT(F1377,10))</f>
        <v>44992</v>
      </c>
    </row>
    <row r="1378" spans="1:21">
      <c r="A1378" s="56" t="s">
        <v>6474</v>
      </c>
      <c r="B1378" s="56" t="s">
        <v>29</v>
      </c>
      <c r="C1378" s="56" t="s">
        <v>6472</v>
      </c>
      <c r="D1378" s="56" t="s">
        <v>37</v>
      </c>
      <c r="E1378" s="56" t="s">
        <v>3242</v>
      </c>
      <c r="F1378" s="56" t="s">
        <v>6475</v>
      </c>
      <c r="G1378" s="56">
        <v>153</v>
      </c>
      <c r="H1378" s="56">
        <v>1</v>
      </c>
      <c r="I1378" s="56">
        <v>6.5359477124183009E-3</v>
      </c>
      <c r="J1378" s="56" t="s">
        <v>3296</v>
      </c>
      <c r="K1378" s="56" t="s">
        <v>5593</v>
      </c>
      <c r="L1378" s="56" t="s">
        <v>3358</v>
      </c>
      <c r="M1378" s="56" t="str">
        <f>HYPERLINK("https://dribble.octin.io/?mode=Single+log&amp;log_id=198c702c-0d30-4a68-8a35-3aaee0a3a7cc","URL")</f>
        <v>URL</v>
      </c>
      <c r="N1378" s="56" t="s">
        <v>3466</v>
      </c>
      <c r="O1378" t="str">
        <f>_xlfn.XLOOKUP(N1378,'Error-codes'!$C$2:$C$130,'Error-codes'!$B$2:$B$130, "None")</f>
        <v>vision error</v>
      </c>
      <c r="U1378" s="81">
        <f>DATEVALUE(LEFT(F1378,10))</f>
        <v>44992</v>
      </c>
    </row>
    <row r="1379" spans="1:21">
      <c r="B1379" s="56" t="s">
        <v>228</v>
      </c>
      <c r="C1379" s="56" t="s">
        <v>6476</v>
      </c>
      <c r="D1379" s="56" t="s">
        <v>22</v>
      </c>
      <c r="F1379" s="56" t="s">
        <v>6477</v>
      </c>
      <c r="G1379" s="56">
        <v>94</v>
      </c>
      <c r="H1379" s="56">
        <v>11</v>
      </c>
      <c r="I1379" s="56">
        <v>0.11702127659574468</v>
      </c>
      <c r="K1379" s="56" t="s">
        <v>2166</v>
      </c>
      <c r="L1379" s="56" t="s">
        <v>2932</v>
      </c>
      <c r="O1379">
        <f>_xlfn.XLOOKUP(N1379,'Error-codes'!$C$2:$C$130,'Error-codes'!$B$2:$B$130, "None")</f>
        <v>0</v>
      </c>
      <c r="U1379" s="81">
        <f>DATEVALUE(LEFT(F1379,10))</f>
        <v>44992</v>
      </c>
    </row>
    <row r="1380" spans="1:21">
      <c r="B1380" s="56" t="s">
        <v>228</v>
      </c>
      <c r="C1380" s="56" t="s">
        <v>6478</v>
      </c>
      <c r="D1380" s="56" t="s">
        <v>22</v>
      </c>
      <c r="F1380" s="56" t="s">
        <v>6479</v>
      </c>
      <c r="G1380" s="56">
        <v>73</v>
      </c>
      <c r="H1380" s="56">
        <v>6</v>
      </c>
      <c r="I1380" s="56">
        <v>8.2191780821917804E-2</v>
      </c>
      <c r="K1380" s="56" t="s">
        <v>2166</v>
      </c>
      <c r="L1380" s="56" t="s">
        <v>2932</v>
      </c>
      <c r="O1380">
        <f>_xlfn.XLOOKUP(N1380,'Error-codes'!$C$2:$C$130,'Error-codes'!$B$2:$B$130, "None")</f>
        <v>0</v>
      </c>
      <c r="U1380" s="81">
        <f>DATEVALUE(LEFT(F1380,10))</f>
        <v>44992</v>
      </c>
    </row>
    <row r="1381" spans="1:21">
      <c r="A1381" s="56" t="s">
        <v>6480</v>
      </c>
      <c r="B1381" s="56" t="s">
        <v>29</v>
      </c>
      <c r="C1381" s="56" t="s">
        <v>6481</v>
      </c>
      <c r="D1381" s="56" t="s">
        <v>388</v>
      </c>
      <c r="E1381" s="56" t="s">
        <v>2939</v>
      </c>
      <c r="F1381" s="56" t="s">
        <v>6482</v>
      </c>
      <c r="G1381" s="56">
        <v>152</v>
      </c>
      <c r="H1381" s="56">
        <v>19</v>
      </c>
      <c r="I1381" s="56">
        <v>0.125</v>
      </c>
      <c r="J1381" s="56" t="s">
        <v>5228</v>
      </c>
      <c r="K1381" s="56" t="s">
        <v>5593</v>
      </c>
      <c r="L1381" s="56" t="s">
        <v>3358</v>
      </c>
      <c r="M1381" s="56" t="str">
        <f>HYPERLINK("https://dribble.octin.io/?mode=Single+log&amp;log_id=4ebee076-ecd6-4859-b787-906dc2ec715b","URL")</f>
        <v>URL</v>
      </c>
      <c r="N1381" s="56" t="s">
        <v>3446</v>
      </c>
      <c r="O1381" t="str">
        <f>_xlfn.XLOOKUP(N1381,'Error-codes'!$C$2:$C$130,'Error-codes'!$B$2:$B$130, "None")</f>
        <v>end of lane wall sensor error</v>
      </c>
      <c r="U1381" s="81">
        <f>DATEVALUE(LEFT(F1381,10))</f>
        <v>44992</v>
      </c>
    </row>
    <row r="1382" spans="1:21" ht="15" customHeight="1">
      <c r="A1382" s="56" t="s">
        <v>6483</v>
      </c>
      <c r="B1382" s="56" t="s">
        <v>5394</v>
      </c>
      <c r="C1382" s="56" t="s">
        <v>6484</v>
      </c>
      <c r="D1382" s="56" t="s">
        <v>37</v>
      </c>
      <c r="E1382" s="56" t="s">
        <v>2939</v>
      </c>
      <c r="F1382" s="56" t="s">
        <v>6485</v>
      </c>
      <c r="G1382" s="56">
        <v>121</v>
      </c>
      <c r="H1382" s="56">
        <v>2</v>
      </c>
      <c r="I1382" s="56">
        <v>1.6528925619834711E-2</v>
      </c>
      <c r="J1382" s="56" t="s">
        <v>6234</v>
      </c>
      <c r="K1382" s="56" t="s">
        <v>1873</v>
      </c>
      <c r="L1382" s="56" t="s">
        <v>6059</v>
      </c>
      <c r="M1382" s="56" t="str">
        <f>HYPERLINK("https://dribble.octin.io/?mode=Single+log&amp;log_id=8f6d8027-5baf-41b0-ad32-f6a03e343b20","URL")</f>
        <v>URL</v>
      </c>
      <c r="N1382" s="56" t="s">
        <v>3466</v>
      </c>
      <c r="O1382" t="str">
        <f>_xlfn.XLOOKUP(N1382,'Error-codes'!$C$2:$C$130,'Error-codes'!$B$2:$B$130, "None")</f>
        <v>vision error</v>
      </c>
      <c r="U1382" s="81">
        <f>DATEVALUE(LEFT(F1382,10))</f>
        <v>44992</v>
      </c>
    </row>
    <row r="1383" spans="1:21">
      <c r="A1383" s="56" t="s">
        <v>6486</v>
      </c>
      <c r="B1383" s="56" t="s">
        <v>5394</v>
      </c>
      <c r="C1383" s="56" t="s">
        <v>6484</v>
      </c>
      <c r="D1383" s="56" t="s">
        <v>37</v>
      </c>
      <c r="E1383" s="56" t="s">
        <v>4398</v>
      </c>
      <c r="F1383" s="56" t="s">
        <v>6487</v>
      </c>
      <c r="G1383" s="56">
        <v>121</v>
      </c>
      <c r="H1383" s="56">
        <v>4</v>
      </c>
      <c r="I1383" s="56">
        <v>3.3057851239669422E-2</v>
      </c>
      <c r="J1383" s="56" t="s">
        <v>6236</v>
      </c>
      <c r="K1383" s="56" t="s">
        <v>1873</v>
      </c>
      <c r="L1383" s="56" t="s">
        <v>6059</v>
      </c>
      <c r="M1383" s="56" t="str">
        <f>HYPERLINK("https://dribble.octin.io/?mode=Single+log&amp;log_id=c9cadc6e-50e5-4195-a1eb-d71b2137b10d","URL")</f>
        <v>URL</v>
      </c>
      <c r="N1383" s="56" t="s">
        <v>3466</v>
      </c>
      <c r="O1383" t="str">
        <f>_xlfn.XLOOKUP(N1383,'Error-codes'!$C$2:$C$130,'Error-codes'!$B$2:$B$130, "None")</f>
        <v>vision error</v>
      </c>
      <c r="U1383" s="81">
        <f>DATEVALUE(LEFT(F1383,10))</f>
        <v>44992</v>
      </c>
    </row>
    <row r="1384" spans="1:21">
      <c r="A1384" s="56" t="s">
        <v>6488</v>
      </c>
      <c r="B1384" s="56" t="s">
        <v>29</v>
      </c>
      <c r="C1384" s="56" t="s">
        <v>6481</v>
      </c>
      <c r="D1384" s="56" t="s">
        <v>388</v>
      </c>
      <c r="E1384" s="56" t="s">
        <v>2939</v>
      </c>
      <c r="F1384" s="56" t="s">
        <v>6489</v>
      </c>
      <c r="G1384" s="56">
        <v>152</v>
      </c>
      <c r="H1384" s="56">
        <v>29</v>
      </c>
      <c r="I1384" s="56">
        <v>0.19078947368421054</v>
      </c>
      <c r="J1384" s="56" t="s">
        <v>6130</v>
      </c>
      <c r="K1384" s="56" t="s">
        <v>5593</v>
      </c>
      <c r="L1384" s="56" t="s">
        <v>3358</v>
      </c>
      <c r="M1384" s="56" t="str">
        <f>HYPERLINK("https://dribble.octin.io/?mode=Single+log&amp;log_id=0f9e45d4-83f0-435f-9bc8-2a9fa70221b0","URL")</f>
        <v>URL</v>
      </c>
      <c r="N1384" s="56" t="s">
        <v>2933</v>
      </c>
      <c r="O1384" t="str">
        <f>_xlfn.XLOOKUP(N1384,'Error-codes'!$C$2:$C$130,'Error-codes'!$B$2:$B$130, "None")</f>
        <v>inductive sensor error</v>
      </c>
      <c r="R1384" t="s">
        <v>2901</v>
      </c>
      <c r="U1384" s="81">
        <f>DATEVALUE(LEFT(F1384,10))</f>
        <v>44992</v>
      </c>
    </row>
    <row r="1385" spans="1:21">
      <c r="A1385" s="56" t="s">
        <v>6490</v>
      </c>
      <c r="B1385" s="56" t="s">
        <v>29</v>
      </c>
      <c r="C1385" s="56" t="s">
        <v>6481</v>
      </c>
      <c r="D1385" s="56" t="s">
        <v>388</v>
      </c>
      <c r="E1385" s="56" t="s">
        <v>2939</v>
      </c>
      <c r="F1385" s="56" t="s">
        <v>6491</v>
      </c>
      <c r="G1385" s="56">
        <v>152</v>
      </c>
      <c r="H1385" s="56">
        <v>39</v>
      </c>
      <c r="I1385" s="56">
        <v>0.25657894736842107</v>
      </c>
      <c r="J1385" s="56" t="s">
        <v>6492</v>
      </c>
      <c r="K1385" s="56" t="s">
        <v>5593</v>
      </c>
      <c r="L1385" s="56" t="s">
        <v>3358</v>
      </c>
      <c r="M1385" s="56" t="str">
        <f>HYPERLINK("https://dribble.octin.io/?mode=Single+log&amp;log_id=65e547c1-6840-4981-bfe9-c66e5299aba0","URL")</f>
        <v>URL</v>
      </c>
      <c r="N1385" s="56" t="s">
        <v>3446</v>
      </c>
      <c r="O1385" t="str">
        <f>_xlfn.XLOOKUP(N1385,'Error-codes'!$C$2:$C$130,'Error-codes'!$B$2:$B$130, "None")</f>
        <v>end of lane wall sensor error</v>
      </c>
      <c r="U1385" s="81">
        <f>DATEVALUE(LEFT(F1385,10))</f>
        <v>44992</v>
      </c>
    </row>
    <row r="1386" spans="1:21">
      <c r="A1386" s="56" t="s">
        <v>6493</v>
      </c>
      <c r="B1386" s="56" t="s">
        <v>29</v>
      </c>
      <c r="C1386" s="56" t="s">
        <v>6481</v>
      </c>
      <c r="D1386" s="56" t="s">
        <v>388</v>
      </c>
      <c r="E1386" s="56" t="s">
        <v>2939</v>
      </c>
      <c r="F1386" s="56" t="s">
        <v>6494</v>
      </c>
      <c r="G1386" s="56">
        <v>152</v>
      </c>
      <c r="H1386" s="56">
        <v>45</v>
      </c>
      <c r="I1386" s="56">
        <v>0.29605263157894735</v>
      </c>
      <c r="J1386" s="56" t="s">
        <v>6495</v>
      </c>
      <c r="K1386" s="56" t="s">
        <v>5593</v>
      </c>
      <c r="L1386" s="56" t="s">
        <v>3358</v>
      </c>
      <c r="M1386" s="56" t="str">
        <f>HYPERLINK("https://dribble.octin.io/?mode=Single+log&amp;log_id=9f974a8b-75fa-4f6f-84eb-8714c467ef4f","URL")</f>
        <v>URL</v>
      </c>
      <c r="N1386" s="56" t="s">
        <v>3446</v>
      </c>
      <c r="O1386" t="str">
        <f>_xlfn.XLOOKUP(N1386,'Error-codes'!$C$2:$C$130,'Error-codes'!$B$2:$B$130, "None")</f>
        <v>end of lane wall sensor error</v>
      </c>
      <c r="U1386" s="81">
        <f>DATEVALUE(LEFT(F1386,10))</f>
        <v>44992</v>
      </c>
    </row>
    <row r="1387" spans="1:21">
      <c r="A1387" s="56" t="s">
        <v>6496</v>
      </c>
      <c r="B1387" s="56" t="s">
        <v>29</v>
      </c>
      <c r="C1387" s="56" t="s">
        <v>6481</v>
      </c>
      <c r="D1387" s="56" t="s">
        <v>388</v>
      </c>
      <c r="E1387" s="56" t="s">
        <v>2939</v>
      </c>
      <c r="F1387" s="56" t="s">
        <v>6497</v>
      </c>
      <c r="G1387" s="56">
        <v>152</v>
      </c>
      <c r="H1387" s="56">
        <v>48</v>
      </c>
      <c r="I1387" s="56">
        <v>0.31578947368421051</v>
      </c>
      <c r="J1387" s="56" t="s">
        <v>6498</v>
      </c>
      <c r="K1387" s="56" t="s">
        <v>5593</v>
      </c>
      <c r="L1387" s="56" t="s">
        <v>3358</v>
      </c>
      <c r="M1387" s="56" t="str">
        <f>HYPERLINK("https://dribble.octin.io/?mode=Single+log&amp;log_id=62b293a1-e6ce-40cc-873f-52b3073e86cf","URL")</f>
        <v>URL</v>
      </c>
      <c r="N1387" s="56" t="s">
        <v>3446</v>
      </c>
      <c r="O1387" t="str">
        <f>_xlfn.XLOOKUP(N1387,'Error-codes'!$C$2:$C$130,'Error-codes'!$B$2:$B$130, "None")</f>
        <v>end of lane wall sensor error</v>
      </c>
      <c r="U1387" s="81">
        <f>DATEVALUE(LEFT(F1387,10))</f>
        <v>44992</v>
      </c>
    </row>
    <row r="1388" spans="1:21">
      <c r="A1388" s="56" t="s">
        <v>6499</v>
      </c>
      <c r="B1388" s="56" t="s">
        <v>29</v>
      </c>
      <c r="C1388" s="56" t="s">
        <v>6481</v>
      </c>
      <c r="D1388" s="56" t="s">
        <v>388</v>
      </c>
      <c r="E1388" s="56" t="s">
        <v>2939</v>
      </c>
      <c r="F1388" s="56" t="s">
        <v>6500</v>
      </c>
      <c r="G1388" s="56">
        <v>152</v>
      </c>
      <c r="H1388" s="56">
        <v>53</v>
      </c>
      <c r="I1388" s="56">
        <v>0.34868421052631576</v>
      </c>
      <c r="J1388" s="56" t="s">
        <v>6501</v>
      </c>
      <c r="K1388" s="56" t="s">
        <v>5593</v>
      </c>
      <c r="L1388" s="56" t="s">
        <v>3358</v>
      </c>
      <c r="M1388" s="56" t="str">
        <f>HYPERLINK("https://dribble.octin.io/?mode=Single+log&amp;log_id=a2b0210b-b4e3-4e78-a0ce-6155156c5732","URL")</f>
        <v>URL</v>
      </c>
      <c r="N1388" s="56" t="s">
        <v>3446</v>
      </c>
      <c r="O1388" t="str">
        <f>_xlfn.XLOOKUP(N1388,'Error-codes'!$C$2:$C$130,'Error-codes'!$B$2:$B$130, "None")</f>
        <v>end of lane wall sensor error</v>
      </c>
      <c r="U1388" s="81">
        <f>DATEVALUE(LEFT(F1388,10))</f>
        <v>44992</v>
      </c>
    </row>
    <row r="1389" spans="1:21">
      <c r="A1389" s="56" t="s">
        <v>6502</v>
      </c>
      <c r="B1389" s="56" t="s">
        <v>29</v>
      </c>
      <c r="C1389" s="56" t="s">
        <v>6481</v>
      </c>
      <c r="D1389" s="56" t="s">
        <v>388</v>
      </c>
      <c r="E1389" s="56" t="s">
        <v>2939</v>
      </c>
      <c r="F1389" s="56" t="s">
        <v>6503</v>
      </c>
      <c r="G1389" s="56">
        <v>152</v>
      </c>
      <c r="H1389" s="56">
        <v>55</v>
      </c>
      <c r="I1389" s="56">
        <v>0.36184210526315791</v>
      </c>
      <c r="J1389" s="56" t="s">
        <v>6504</v>
      </c>
      <c r="K1389" s="56" t="s">
        <v>5593</v>
      </c>
      <c r="L1389" s="56" t="s">
        <v>3358</v>
      </c>
      <c r="M1389" s="56" t="str">
        <f>HYPERLINK("https://dribble.octin.io/?mode=Single+log&amp;log_id=29d4a07c-d9e6-480f-81dd-b8867839104d","URL")</f>
        <v>URL</v>
      </c>
      <c r="N1389" s="56" t="s">
        <v>3446</v>
      </c>
      <c r="O1389" t="str">
        <f>_xlfn.XLOOKUP(N1389,'Error-codes'!$C$2:$C$130,'Error-codes'!$B$2:$B$130, "None")</f>
        <v>end of lane wall sensor error</v>
      </c>
      <c r="U1389" s="81">
        <f>DATEVALUE(LEFT(F1389,10))</f>
        <v>44992</v>
      </c>
    </row>
    <row r="1390" spans="1:21">
      <c r="A1390" s="56" t="s">
        <v>6505</v>
      </c>
      <c r="B1390" s="56" t="s">
        <v>228</v>
      </c>
      <c r="C1390" s="56" t="s">
        <v>6506</v>
      </c>
      <c r="D1390" s="56" t="s">
        <v>388</v>
      </c>
      <c r="E1390" s="56" t="s">
        <v>2939</v>
      </c>
      <c r="F1390" s="56" t="s">
        <v>6507</v>
      </c>
      <c r="G1390" s="56">
        <v>96</v>
      </c>
      <c r="H1390" s="56">
        <v>72</v>
      </c>
      <c r="I1390" s="56">
        <v>0.75</v>
      </c>
      <c r="J1390" s="56" t="s">
        <v>6508</v>
      </c>
      <c r="K1390" s="56" t="s">
        <v>2166</v>
      </c>
      <c r="L1390" s="56" t="s">
        <v>2932</v>
      </c>
      <c r="M1390" s="56" t="str">
        <f>HYPERLINK("https://dribble.octin.io/?mode=Single+log&amp;log_id=dc8ecf3e-7473-4a89-a8aa-a7e34bec8fbe","URL")</f>
        <v>URL</v>
      </c>
      <c r="N1390" s="56" t="s">
        <v>3472</v>
      </c>
      <c r="O1390" t="str">
        <f>_xlfn.XLOOKUP(N1390,'Error-codes'!$C$2:$C$130,'Error-codes'!$B$2:$B$130, "None")</f>
        <v>Excessive slip detected</v>
      </c>
      <c r="U1390" s="81">
        <f>DATEVALUE(LEFT(F1390,10))</f>
        <v>44992</v>
      </c>
    </row>
    <row r="1391" spans="1:21">
      <c r="A1391" s="56" t="s">
        <v>6509</v>
      </c>
      <c r="B1391" s="56" t="s">
        <v>29</v>
      </c>
      <c r="C1391" s="56" t="s">
        <v>6481</v>
      </c>
      <c r="D1391" s="56" t="s">
        <v>388</v>
      </c>
      <c r="E1391" s="56" t="s">
        <v>2939</v>
      </c>
      <c r="F1391" s="56" t="s">
        <v>6510</v>
      </c>
      <c r="G1391" s="56">
        <v>152</v>
      </c>
      <c r="H1391" s="56">
        <v>59</v>
      </c>
      <c r="I1391" s="56">
        <v>0.38815789473684209</v>
      </c>
      <c r="J1391" s="56" t="s">
        <v>5845</v>
      </c>
      <c r="K1391" s="56" t="s">
        <v>5593</v>
      </c>
      <c r="L1391" s="56" t="s">
        <v>3358</v>
      </c>
      <c r="M1391" s="56" t="str">
        <f>HYPERLINK("https://dribble.octin.io/?mode=Single+log&amp;log_id=cfe971ca-5384-4ef9-b27f-efaac9acdd4b","URL")</f>
        <v>URL</v>
      </c>
      <c r="N1391" s="56" t="s">
        <v>3446</v>
      </c>
      <c r="O1391" t="str">
        <f>_xlfn.XLOOKUP(N1391,'Error-codes'!$C$2:$C$130,'Error-codes'!$B$2:$B$130, "None")</f>
        <v>end of lane wall sensor error</v>
      </c>
      <c r="U1391" s="81">
        <f>DATEVALUE(LEFT(F1391,10))</f>
        <v>44992</v>
      </c>
    </row>
    <row r="1392" spans="1:21">
      <c r="A1392" s="56" t="s">
        <v>6511</v>
      </c>
      <c r="B1392" s="56" t="s">
        <v>29</v>
      </c>
      <c r="C1392" s="56" t="s">
        <v>6481</v>
      </c>
      <c r="D1392" s="56" t="s">
        <v>388</v>
      </c>
      <c r="E1392" s="56" t="s">
        <v>2939</v>
      </c>
      <c r="F1392" s="56" t="s">
        <v>6512</v>
      </c>
      <c r="G1392" s="56">
        <v>152</v>
      </c>
      <c r="H1392" s="56">
        <v>61</v>
      </c>
      <c r="I1392" s="56">
        <v>0.40131578947368424</v>
      </c>
      <c r="J1392" s="56" t="s">
        <v>6513</v>
      </c>
      <c r="K1392" s="56" t="s">
        <v>5593</v>
      </c>
      <c r="L1392" s="56" t="s">
        <v>3358</v>
      </c>
      <c r="M1392" s="56" t="str">
        <f>HYPERLINK("https://dribble.octin.io/?mode=Single+log&amp;log_id=d371b9d7-2690-4b4f-948a-c01efcb1d49a","URL")</f>
        <v>URL</v>
      </c>
      <c r="N1392" s="56" t="s">
        <v>3446</v>
      </c>
      <c r="O1392" t="str">
        <f>_xlfn.XLOOKUP(N1392,'Error-codes'!$C$2:$C$130,'Error-codes'!$B$2:$B$130, "None")</f>
        <v>end of lane wall sensor error</v>
      </c>
      <c r="U1392" s="81">
        <f>DATEVALUE(LEFT(F1392,10))</f>
        <v>44992</v>
      </c>
    </row>
    <row r="1393" spans="1:21">
      <c r="A1393" s="56" t="s">
        <v>6514</v>
      </c>
      <c r="B1393" s="56" t="s">
        <v>29</v>
      </c>
      <c r="C1393" s="56" t="s">
        <v>6481</v>
      </c>
      <c r="D1393" s="56" t="s">
        <v>388</v>
      </c>
      <c r="E1393" s="56" t="s">
        <v>2939</v>
      </c>
      <c r="F1393" s="56" t="s">
        <v>6515</v>
      </c>
      <c r="G1393" s="56">
        <v>152</v>
      </c>
      <c r="H1393" s="56">
        <v>66</v>
      </c>
      <c r="I1393" s="56">
        <v>0.43421052631578949</v>
      </c>
      <c r="J1393" s="56" t="s">
        <v>6093</v>
      </c>
      <c r="K1393" s="56" t="s">
        <v>5593</v>
      </c>
      <c r="L1393" s="56" t="s">
        <v>3358</v>
      </c>
      <c r="M1393" s="56" t="str">
        <f>HYPERLINK("https://dribble.octin.io/?mode=Single+log&amp;log_id=d47c3b63-bd2e-4197-89d4-1181094c1a49","URL")</f>
        <v>URL</v>
      </c>
      <c r="N1393" s="56" t="s">
        <v>3446</v>
      </c>
      <c r="O1393" t="str">
        <f>_xlfn.XLOOKUP(N1393,'Error-codes'!$C$2:$C$130,'Error-codes'!$B$2:$B$130, "None")</f>
        <v>end of lane wall sensor error</v>
      </c>
      <c r="U1393" s="81">
        <f>DATEVALUE(LEFT(F1393,10))</f>
        <v>44992</v>
      </c>
    </row>
    <row r="1394" spans="1:21">
      <c r="A1394" s="56" t="s">
        <v>6516</v>
      </c>
      <c r="B1394" s="56" t="s">
        <v>228</v>
      </c>
      <c r="C1394" s="56" t="s">
        <v>6506</v>
      </c>
      <c r="D1394" s="56" t="s">
        <v>388</v>
      </c>
      <c r="E1394" s="56" t="s">
        <v>2939</v>
      </c>
      <c r="F1394" s="56" t="s">
        <v>6517</v>
      </c>
      <c r="G1394" s="56">
        <v>96</v>
      </c>
      <c r="H1394" s="56">
        <v>86</v>
      </c>
      <c r="I1394" s="56">
        <v>0.89583333333333337</v>
      </c>
      <c r="J1394" s="56" t="s">
        <v>5859</v>
      </c>
      <c r="K1394" s="56" t="s">
        <v>2166</v>
      </c>
      <c r="L1394" s="56" t="s">
        <v>2932</v>
      </c>
      <c r="M1394" s="56" t="str">
        <f>HYPERLINK("https://dribble.octin.io/?mode=Single+log&amp;log_id=9bfb9b6f-2821-46e5-9e54-8ab830e69480","URL")</f>
        <v>URL</v>
      </c>
      <c r="N1394" s="56" t="s">
        <v>3472</v>
      </c>
      <c r="O1394" t="str">
        <f>_xlfn.XLOOKUP(N1394,'Error-codes'!$C$2:$C$130,'Error-codes'!$B$2:$B$130, "None")</f>
        <v>Excessive slip detected</v>
      </c>
      <c r="U1394" s="81">
        <f>DATEVALUE(LEFT(F1394,10))</f>
        <v>44992</v>
      </c>
    </row>
    <row r="1395" spans="1:21">
      <c r="A1395" s="56" t="s">
        <v>6518</v>
      </c>
      <c r="B1395" s="56" t="s">
        <v>29</v>
      </c>
      <c r="C1395" s="56" t="s">
        <v>6481</v>
      </c>
      <c r="D1395" s="56" t="s">
        <v>388</v>
      </c>
      <c r="E1395" s="56" t="s">
        <v>2939</v>
      </c>
      <c r="F1395" s="56" t="s">
        <v>6519</v>
      </c>
      <c r="G1395" s="56">
        <v>152</v>
      </c>
      <c r="H1395" s="56">
        <v>68</v>
      </c>
      <c r="I1395" s="56">
        <v>0.44736842105263158</v>
      </c>
      <c r="J1395" s="56" t="s">
        <v>6520</v>
      </c>
      <c r="K1395" s="56" t="s">
        <v>5593</v>
      </c>
      <c r="L1395" s="56" t="s">
        <v>3358</v>
      </c>
      <c r="M1395" s="56" t="str">
        <f>HYPERLINK("https://dribble.octin.io/?mode=Single+log&amp;log_id=c84a9deb-15aa-480b-a13a-86827ac0cd89","URL")</f>
        <v>URL</v>
      </c>
      <c r="N1395" s="56" t="s">
        <v>3446</v>
      </c>
      <c r="O1395" t="str">
        <f>_xlfn.XLOOKUP(N1395,'Error-codes'!$C$2:$C$130,'Error-codes'!$B$2:$B$130, "None")</f>
        <v>end of lane wall sensor error</v>
      </c>
      <c r="U1395" s="81">
        <f>DATEVALUE(LEFT(F1395,10))</f>
        <v>44992</v>
      </c>
    </row>
    <row r="1396" spans="1:21">
      <c r="A1396" s="56" t="s">
        <v>6521</v>
      </c>
      <c r="B1396" s="56" t="s">
        <v>29</v>
      </c>
      <c r="C1396" s="56" t="s">
        <v>6481</v>
      </c>
      <c r="D1396" s="56" t="s">
        <v>388</v>
      </c>
      <c r="E1396" s="56" t="s">
        <v>2939</v>
      </c>
      <c r="F1396" s="56" t="s">
        <v>6522</v>
      </c>
      <c r="G1396" s="56">
        <v>152</v>
      </c>
      <c r="H1396" s="56">
        <v>69</v>
      </c>
      <c r="I1396" s="56">
        <v>0.45394736842105265</v>
      </c>
      <c r="J1396" s="56" t="s">
        <v>6523</v>
      </c>
      <c r="K1396" s="56" t="s">
        <v>5593</v>
      </c>
      <c r="L1396" s="56" t="s">
        <v>3358</v>
      </c>
      <c r="M1396" s="56" t="str">
        <f>HYPERLINK("https://dribble.octin.io/?mode=Single+log&amp;log_id=be5e474b-3d37-4d1b-8682-d9671b26dc7e","URL")</f>
        <v>URL</v>
      </c>
      <c r="N1396" s="56" t="s">
        <v>3446</v>
      </c>
      <c r="O1396" t="str">
        <f>_xlfn.XLOOKUP(N1396,'Error-codes'!$C$2:$C$130,'Error-codes'!$B$2:$B$130, "None")</f>
        <v>end of lane wall sensor error</v>
      </c>
      <c r="U1396" s="81">
        <f>DATEVALUE(LEFT(F1396,10))</f>
        <v>44992</v>
      </c>
    </row>
    <row r="1397" spans="1:21">
      <c r="A1397" s="56"/>
      <c r="B1397" s="56" t="s">
        <v>228</v>
      </c>
      <c r="C1397" s="56" t="s">
        <v>6506</v>
      </c>
      <c r="D1397" s="56" t="s">
        <v>388</v>
      </c>
      <c r="E1397" s="56" t="s">
        <v>2939</v>
      </c>
      <c r="F1397" s="56" t="s">
        <v>6524</v>
      </c>
      <c r="G1397" s="56">
        <v>96</v>
      </c>
      <c r="H1397" s="56">
        <v>36</v>
      </c>
      <c r="I1397" s="56">
        <v>0.375</v>
      </c>
      <c r="J1397" s="56" t="s">
        <v>3125</v>
      </c>
      <c r="K1397" s="56" t="s">
        <v>2166</v>
      </c>
      <c r="L1397" s="56" t="s">
        <v>2932</v>
      </c>
      <c r="N1397" s="56" t="s">
        <v>3472</v>
      </c>
      <c r="O1397" t="str">
        <f>_xlfn.XLOOKUP(N1397,'Error-codes'!$C$2:$C$130,'Error-codes'!$B$2:$B$130, "None")</f>
        <v>Excessive slip detected</v>
      </c>
      <c r="U1397" s="81">
        <f>DATEVALUE(LEFT(F1397,10))</f>
        <v>44992</v>
      </c>
    </row>
    <row r="1398" spans="1:21">
      <c r="B1398" s="56" t="s">
        <v>228</v>
      </c>
      <c r="C1398" s="56" t="s">
        <v>6506</v>
      </c>
      <c r="D1398" s="56" t="s">
        <v>388</v>
      </c>
      <c r="F1398" s="56" t="s">
        <v>6524</v>
      </c>
      <c r="G1398" s="56">
        <v>96</v>
      </c>
      <c r="H1398" s="56">
        <v>93</v>
      </c>
      <c r="I1398" s="56">
        <v>0.96875</v>
      </c>
      <c r="K1398" s="56" t="s">
        <v>2166</v>
      </c>
      <c r="L1398" s="56" t="s">
        <v>2932</v>
      </c>
      <c r="O1398">
        <f>_xlfn.XLOOKUP(N1398,'Error-codes'!$C$2:$C$130,'Error-codes'!$B$2:$B$130, "None")</f>
        <v>0</v>
      </c>
      <c r="U1398" s="81">
        <f>DATEVALUE(LEFT(F1398,10))</f>
        <v>44992</v>
      </c>
    </row>
    <row r="1399" spans="1:21">
      <c r="B1399" s="56" t="s">
        <v>29</v>
      </c>
      <c r="C1399" s="56" t="s">
        <v>6481</v>
      </c>
      <c r="D1399" s="56" t="s">
        <v>388</v>
      </c>
      <c r="F1399" s="56" t="s">
        <v>6525</v>
      </c>
      <c r="G1399" s="56">
        <v>152</v>
      </c>
      <c r="H1399" s="56">
        <v>140</v>
      </c>
      <c r="I1399" s="56">
        <v>0.92105263157894735</v>
      </c>
      <c r="K1399" s="56" t="s">
        <v>5593</v>
      </c>
      <c r="L1399" s="56" t="s">
        <v>3358</v>
      </c>
      <c r="O1399">
        <f>_xlfn.XLOOKUP(N1399,'Error-codes'!$C$2:$C$130,'Error-codes'!$B$2:$B$130, "None")</f>
        <v>0</v>
      </c>
      <c r="U1399" s="81">
        <f>DATEVALUE(LEFT(F1399,10))</f>
        <v>44993</v>
      </c>
    </row>
    <row r="1400" spans="1:21">
      <c r="A1400" s="56" t="s">
        <v>6526</v>
      </c>
      <c r="B1400" s="56" t="s">
        <v>3771</v>
      </c>
      <c r="C1400" s="56" t="s">
        <v>6527</v>
      </c>
      <c r="D1400" s="56" t="s">
        <v>37</v>
      </c>
      <c r="E1400" s="56" t="s">
        <v>2939</v>
      </c>
      <c r="F1400" s="56" t="s">
        <v>6528</v>
      </c>
      <c r="G1400" s="56">
        <v>73</v>
      </c>
      <c r="H1400" s="56">
        <v>3</v>
      </c>
      <c r="I1400" s="56">
        <v>4.1095890410958902E-2</v>
      </c>
      <c r="J1400" s="56" t="s">
        <v>6529</v>
      </c>
      <c r="K1400" s="56" t="s">
        <v>5210</v>
      </c>
      <c r="L1400" s="56" t="s">
        <v>3775</v>
      </c>
      <c r="M1400" s="56" t="str">
        <f>HYPERLINK("https://dribble.octin.io/?mode=Single+log&amp;log_id=2c8feb13-0306-449d-aa57-b36b625e5749","URL")</f>
        <v>URL</v>
      </c>
      <c r="N1400" s="56" t="s">
        <v>3458</v>
      </c>
      <c r="O1400" t="str">
        <f>_xlfn.XLOOKUP(N1400,'Error-codes'!$C$2:$C$130,'Error-codes'!$B$2:$B$130, "None")</f>
        <v>motor drive: UNDER VOLTAGE</v>
      </c>
      <c r="U1400" s="81">
        <f>DATEVALUE(LEFT(F1400,10))</f>
        <v>44993</v>
      </c>
    </row>
    <row r="1401" spans="1:21">
      <c r="A1401" s="56" t="s">
        <v>6530</v>
      </c>
      <c r="B1401" s="56" t="s">
        <v>3771</v>
      </c>
      <c r="C1401" s="56" t="s">
        <v>6527</v>
      </c>
      <c r="D1401" s="56" t="s">
        <v>37</v>
      </c>
      <c r="E1401" s="56" t="s">
        <v>4564</v>
      </c>
      <c r="F1401" s="56" t="s">
        <v>6531</v>
      </c>
      <c r="G1401" s="56">
        <v>73</v>
      </c>
      <c r="H1401" s="56">
        <v>29</v>
      </c>
      <c r="I1401" s="56">
        <v>0.39726027397260272</v>
      </c>
      <c r="J1401" s="56" t="s">
        <v>6532</v>
      </c>
      <c r="K1401" s="56" t="s">
        <v>5210</v>
      </c>
      <c r="L1401" s="56" t="s">
        <v>3775</v>
      </c>
      <c r="M1401" s="56" t="str">
        <f>HYPERLINK("https://dribble.octin.io/?mode=Single+log&amp;log_id=296ae966-4a96-4980-9a0b-4958406ef78f","URL")</f>
        <v>URL</v>
      </c>
      <c r="N1401" s="56" t="s">
        <v>3452</v>
      </c>
      <c r="O1401" t="str">
        <f>_xlfn.XLOOKUP(N1401,'Error-codes'!$C$2:$C$130,'Error-codes'!$B$2:$B$130, "None")</f>
        <v>ytheta sensor error</v>
      </c>
      <c r="U1401" s="81">
        <f>DATEVALUE(LEFT(F1401,10))</f>
        <v>44993</v>
      </c>
    </row>
    <row r="1402" spans="1:21">
      <c r="B1402" s="56" t="s">
        <v>3263</v>
      </c>
      <c r="C1402" s="56" t="s">
        <v>6533</v>
      </c>
      <c r="D1402" s="56" t="s">
        <v>388</v>
      </c>
      <c r="F1402" s="56" t="s">
        <v>6534</v>
      </c>
      <c r="G1402" s="56">
        <v>82</v>
      </c>
      <c r="H1402" s="56">
        <v>82</v>
      </c>
      <c r="I1402" s="56">
        <v>1</v>
      </c>
      <c r="K1402" s="56" t="s">
        <v>3280</v>
      </c>
      <c r="L1402" s="56" t="s">
        <v>3269</v>
      </c>
      <c r="O1402">
        <f>_xlfn.XLOOKUP(N1402,'Error-codes'!$C$2:$C$130,'Error-codes'!$B$2:$B$130, "None")</f>
        <v>0</v>
      </c>
      <c r="U1402" s="81">
        <f>DATEVALUE(LEFT(F1402,10))</f>
        <v>44993</v>
      </c>
    </row>
    <row r="1403" spans="1:21">
      <c r="B1403" s="56" t="s">
        <v>3771</v>
      </c>
      <c r="C1403" s="56" t="s">
        <v>6535</v>
      </c>
      <c r="D1403" s="56" t="s">
        <v>388</v>
      </c>
      <c r="F1403" s="56" t="s">
        <v>6536</v>
      </c>
      <c r="G1403" s="56">
        <v>34</v>
      </c>
      <c r="H1403" s="56">
        <v>34</v>
      </c>
      <c r="I1403" s="56">
        <v>1</v>
      </c>
      <c r="K1403" s="56" t="s">
        <v>5210</v>
      </c>
      <c r="L1403" s="56" t="s">
        <v>3775</v>
      </c>
      <c r="O1403">
        <f>_xlfn.XLOOKUP(N1403,'Error-codes'!$C$2:$C$130,'Error-codes'!$B$2:$B$130, "None")</f>
        <v>0</v>
      </c>
      <c r="U1403" s="81">
        <f>DATEVALUE(LEFT(F1403,10))</f>
        <v>44993</v>
      </c>
    </row>
    <row r="1404" spans="1:21">
      <c r="A1404" s="56" t="s">
        <v>6537</v>
      </c>
      <c r="B1404" s="56" t="s">
        <v>3771</v>
      </c>
      <c r="C1404" s="56" t="s">
        <v>6538</v>
      </c>
      <c r="D1404" s="56" t="s">
        <v>37</v>
      </c>
      <c r="E1404" s="56" t="s">
        <v>4564</v>
      </c>
      <c r="F1404" s="56" t="s">
        <v>6539</v>
      </c>
      <c r="G1404" s="56">
        <v>50</v>
      </c>
      <c r="H1404" s="56">
        <v>7</v>
      </c>
      <c r="I1404" s="56">
        <v>0.14000000000000001</v>
      </c>
      <c r="J1404" s="56" t="s">
        <v>6540</v>
      </c>
      <c r="K1404" s="56" t="s">
        <v>1893</v>
      </c>
      <c r="L1404" s="56" t="s">
        <v>6394</v>
      </c>
      <c r="M1404" s="56" t="str">
        <f>HYPERLINK("https://dribble.octin.io/?mode=Single+log&amp;log_id=4e829898-b612-4913-99f7-3b1c3328ae15","URL")</f>
        <v>URL</v>
      </c>
      <c r="N1404" s="56" t="s">
        <v>3452</v>
      </c>
      <c r="O1404" t="str">
        <f>_xlfn.XLOOKUP(N1404,'Error-codes'!$C$2:$C$130,'Error-codes'!$B$2:$B$130, "None")</f>
        <v>ytheta sensor error</v>
      </c>
      <c r="U1404" s="81">
        <f>DATEVALUE(LEFT(F1404,10))</f>
        <v>44994</v>
      </c>
    </row>
    <row r="1405" spans="1:21">
      <c r="A1405" s="56" t="s">
        <v>6541</v>
      </c>
      <c r="B1405" s="56" t="s">
        <v>3771</v>
      </c>
      <c r="C1405" s="56" t="s">
        <v>6542</v>
      </c>
      <c r="D1405" s="56" t="s">
        <v>37</v>
      </c>
      <c r="E1405" s="56" t="s">
        <v>4564</v>
      </c>
      <c r="F1405" s="56" t="s">
        <v>6543</v>
      </c>
      <c r="G1405" s="56">
        <v>48</v>
      </c>
      <c r="H1405" s="56">
        <v>7</v>
      </c>
      <c r="I1405" s="56">
        <v>0.14583333333333334</v>
      </c>
      <c r="J1405" s="56" t="s">
        <v>6544</v>
      </c>
      <c r="K1405" s="56" t="s">
        <v>1873</v>
      </c>
      <c r="L1405" s="56" t="s">
        <v>6394</v>
      </c>
      <c r="M1405" s="56" t="str">
        <f>HYPERLINK("https://dribble.octin.io/?mode=Single+log&amp;log_id=0c9d588a-f1bc-4b38-8866-728ddb78e353","URL")</f>
        <v>URL</v>
      </c>
      <c r="N1405" s="56" t="s">
        <v>3452</v>
      </c>
      <c r="O1405" t="str">
        <f>_xlfn.XLOOKUP(N1405,'Error-codes'!$C$2:$C$130,'Error-codes'!$B$2:$B$130, "None")</f>
        <v>ytheta sensor error</v>
      </c>
      <c r="U1405" s="81">
        <f>DATEVALUE(LEFT(F1405,10))</f>
        <v>44994</v>
      </c>
    </row>
    <row r="1406" spans="1:21">
      <c r="A1406" s="56" t="s">
        <v>6545</v>
      </c>
      <c r="B1406" s="56" t="s">
        <v>3771</v>
      </c>
      <c r="C1406" s="56" t="s">
        <v>6546</v>
      </c>
      <c r="D1406" s="56" t="s">
        <v>37</v>
      </c>
      <c r="E1406" s="56" t="s">
        <v>4564</v>
      </c>
      <c r="F1406" s="56" t="s">
        <v>6547</v>
      </c>
      <c r="G1406" s="56">
        <v>25</v>
      </c>
      <c r="H1406" s="56">
        <v>1</v>
      </c>
      <c r="I1406" s="56">
        <v>0.04</v>
      </c>
      <c r="J1406" s="56" t="s">
        <v>6548</v>
      </c>
      <c r="K1406" s="56" t="s">
        <v>1893</v>
      </c>
      <c r="L1406" s="56" t="s">
        <v>6394</v>
      </c>
      <c r="M1406" s="56" t="str">
        <f>HYPERLINK("https://dribble.octin.io/?mode=Single+log&amp;log_id=bc931ce6-da08-4c96-8a0b-785e4cde1bf4","URL")</f>
        <v>URL</v>
      </c>
      <c r="N1406" s="56" t="s">
        <v>3432</v>
      </c>
      <c r="O1406" t="str">
        <f>_xlfn.XLOOKUP(N1406,'Error-codes'!$C$2:$C$130,'Error-codes'!$B$2:$B$130, "None")</f>
        <v>vision did not initialize in time</v>
      </c>
      <c r="U1406" s="81">
        <f>DATEVALUE(LEFT(F1406,10))</f>
        <v>44994</v>
      </c>
    </row>
    <row r="1407" spans="1:21">
      <c r="A1407" s="56" t="s">
        <v>6545</v>
      </c>
      <c r="B1407" s="56" t="s">
        <v>3771</v>
      </c>
      <c r="C1407" s="56" t="s">
        <v>6549</v>
      </c>
      <c r="D1407" s="56" t="s">
        <v>37</v>
      </c>
      <c r="E1407" s="56" t="s">
        <v>4564</v>
      </c>
      <c r="F1407" s="56" t="s">
        <v>6547</v>
      </c>
      <c r="G1407" s="56">
        <v>51</v>
      </c>
      <c r="H1407" s="56">
        <v>1</v>
      </c>
      <c r="I1407" s="56">
        <v>1.9607843137254902E-2</v>
      </c>
      <c r="J1407" s="56" t="s">
        <v>6548</v>
      </c>
      <c r="K1407" s="56" t="s">
        <v>6550</v>
      </c>
      <c r="L1407" s="56" t="s">
        <v>6394</v>
      </c>
      <c r="M1407" s="56" t="str">
        <f>HYPERLINK("https://dribble.octin.io/?mode=Single+log&amp;log_id=bc931ce6-da08-4c96-8a0b-785e4cde1bf4","URL")</f>
        <v>URL</v>
      </c>
      <c r="N1407" s="56" t="s">
        <v>3432</v>
      </c>
      <c r="O1407" t="str">
        <f>_xlfn.XLOOKUP(N1407,'Error-codes'!$C$2:$C$130,'Error-codes'!$B$2:$B$130, "None")</f>
        <v>vision did not initialize in time</v>
      </c>
      <c r="U1407" s="81">
        <f>DATEVALUE(LEFT(F1407,10))</f>
        <v>44994</v>
      </c>
    </row>
    <row r="1408" spans="1:21">
      <c r="A1408" s="56" t="s">
        <v>6551</v>
      </c>
      <c r="B1408" s="56" t="s">
        <v>3771</v>
      </c>
      <c r="C1408" s="56" t="s">
        <v>6552</v>
      </c>
      <c r="D1408" s="56" t="s">
        <v>37</v>
      </c>
      <c r="E1408" s="56" t="s">
        <v>2939</v>
      </c>
      <c r="F1408" s="56" t="s">
        <v>6553</v>
      </c>
      <c r="G1408" s="56">
        <v>25</v>
      </c>
      <c r="H1408" s="56">
        <v>5</v>
      </c>
      <c r="I1408" s="56">
        <v>0.2</v>
      </c>
      <c r="J1408" s="56" t="s">
        <v>6554</v>
      </c>
      <c r="K1408" s="56" t="s">
        <v>1893</v>
      </c>
      <c r="L1408" s="56" t="s">
        <v>6394</v>
      </c>
      <c r="M1408" s="56" t="str">
        <f>HYPERLINK("https://dribble.octin.io/?mode=Single+log&amp;log_id=4183e75c-a963-44f2-b61f-5af408c04ab6","URL")</f>
        <v>URL</v>
      </c>
      <c r="N1408" s="56" t="s">
        <v>3452</v>
      </c>
      <c r="O1408" t="str">
        <f>_xlfn.XLOOKUP(N1408,'Error-codes'!$C$2:$C$130,'Error-codes'!$B$2:$B$130, "None")</f>
        <v>ytheta sensor error</v>
      </c>
      <c r="U1408" s="81">
        <f>DATEVALUE(LEFT(F1408,10))</f>
        <v>44994</v>
      </c>
    </row>
    <row r="1409" spans="1:21">
      <c r="A1409" s="56" t="s">
        <v>6555</v>
      </c>
      <c r="B1409" s="56" t="s">
        <v>228</v>
      </c>
      <c r="C1409" s="56" t="s">
        <v>6556</v>
      </c>
      <c r="D1409" s="56" t="s">
        <v>22</v>
      </c>
      <c r="E1409" s="56" t="s">
        <v>2939</v>
      </c>
      <c r="F1409" s="56" t="s">
        <v>6557</v>
      </c>
      <c r="G1409" s="56">
        <v>9</v>
      </c>
      <c r="H1409" s="56">
        <v>1</v>
      </c>
      <c r="I1409" s="56">
        <v>0.1111111111111111</v>
      </c>
      <c r="J1409" s="56" t="s">
        <v>289</v>
      </c>
      <c r="K1409" s="56" t="s">
        <v>2166</v>
      </c>
      <c r="L1409" s="56" t="s">
        <v>2932</v>
      </c>
      <c r="M1409" s="56" t="str">
        <f>HYPERLINK("https://dribble.octin.io/?mode=Single+log&amp;log_id=4e49431f-7a70-4498-ab4d-f40c83b27d31","URL")</f>
        <v>URL</v>
      </c>
      <c r="N1409" s="56" t="s">
        <v>3458</v>
      </c>
      <c r="O1409" t="str">
        <f>_xlfn.XLOOKUP(N1409,'Error-codes'!$C$2:$C$130,'Error-codes'!$B$2:$B$130, "None")</f>
        <v>motor drive: UNDER VOLTAGE</v>
      </c>
      <c r="U1409" s="81">
        <f>DATEVALUE(LEFT(F1409,10))</f>
        <v>44994</v>
      </c>
    </row>
    <row r="1410" spans="1:21">
      <c r="B1410" s="56" t="s">
        <v>228</v>
      </c>
      <c r="C1410" s="56" t="s">
        <v>6558</v>
      </c>
      <c r="D1410" s="56" t="s">
        <v>22</v>
      </c>
      <c r="F1410" s="56" t="s">
        <v>6559</v>
      </c>
      <c r="G1410" s="56">
        <v>6</v>
      </c>
      <c r="H1410" s="56">
        <v>1</v>
      </c>
      <c r="I1410" s="56">
        <v>0.16666666666666666</v>
      </c>
      <c r="K1410" s="56" t="s">
        <v>2171</v>
      </c>
      <c r="L1410" s="56" t="s">
        <v>2932</v>
      </c>
      <c r="O1410">
        <f>_xlfn.XLOOKUP(N1410,'Error-codes'!$C$2:$C$130,'Error-codes'!$B$2:$B$130, "None")</f>
        <v>0</v>
      </c>
      <c r="U1410" s="81">
        <f>DATEVALUE(LEFT(F1410,10))</f>
        <v>44994</v>
      </c>
    </row>
    <row r="1411" spans="1:21">
      <c r="A1411" s="56" t="s">
        <v>6560</v>
      </c>
      <c r="B1411" s="56" t="s">
        <v>3771</v>
      </c>
      <c r="C1411" s="56" t="s">
        <v>6552</v>
      </c>
      <c r="D1411" s="56" t="s">
        <v>37</v>
      </c>
      <c r="E1411" s="56" t="s">
        <v>4564</v>
      </c>
      <c r="F1411" s="56" t="s">
        <v>6561</v>
      </c>
      <c r="G1411" s="56">
        <v>25</v>
      </c>
      <c r="H1411" s="56">
        <v>8</v>
      </c>
      <c r="I1411" s="56">
        <v>0.32</v>
      </c>
      <c r="J1411" s="56" t="s">
        <v>6562</v>
      </c>
      <c r="K1411" s="56" t="s">
        <v>1893</v>
      </c>
      <c r="L1411" s="56" t="s">
        <v>6394</v>
      </c>
      <c r="M1411" s="56" t="str">
        <f>HYPERLINK("https://dribble.octin.io/?mode=Single+log&amp;log_id=008d1113-dac8-498d-a6df-0ca1d9212b7f","URL")</f>
        <v>URL</v>
      </c>
      <c r="N1411" s="56" t="s">
        <v>3452</v>
      </c>
      <c r="O1411" t="str">
        <f>_xlfn.XLOOKUP(N1411,'Error-codes'!$C$2:$C$130,'Error-codes'!$B$2:$B$130, "None")</f>
        <v>ytheta sensor error</v>
      </c>
      <c r="U1411" s="81">
        <f>DATEVALUE(LEFT(F1411,10))</f>
        <v>44994</v>
      </c>
    </row>
    <row r="1412" spans="1:21">
      <c r="A1412" s="56" t="s">
        <v>6563</v>
      </c>
      <c r="B1412" s="56" t="s">
        <v>228</v>
      </c>
      <c r="C1412" s="56" t="s">
        <v>6564</v>
      </c>
      <c r="D1412" s="56" t="s">
        <v>37</v>
      </c>
      <c r="E1412" s="56" t="s">
        <v>4774</v>
      </c>
      <c r="F1412" s="56" t="s">
        <v>6565</v>
      </c>
      <c r="G1412" s="56">
        <v>5</v>
      </c>
      <c r="H1412" s="56">
        <v>1</v>
      </c>
      <c r="I1412" s="56">
        <v>0.2</v>
      </c>
      <c r="J1412" s="56" t="s">
        <v>289</v>
      </c>
      <c r="K1412" s="56" t="s">
        <v>2166</v>
      </c>
      <c r="L1412" s="56" t="s">
        <v>2932</v>
      </c>
      <c r="M1412" s="56" t="str">
        <f>HYPERLINK("https://dribble.octin.io/?mode=Single+log&amp;log_id=d05f9912-0389-4a08-9a53-db20b02f5c1e","URL")</f>
        <v>URL</v>
      </c>
      <c r="N1412" s="56" t="s">
        <v>3450</v>
      </c>
      <c r="O1412" t="str">
        <f>_xlfn.XLOOKUP(N1412,'Error-codes'!$C$2:$C$130,'Error-codes'!$B$2:$B$130, "None")</f>
        <v>xtheta sensor error</v>
      </c>
      <c r="U1412" s="81">
        <f>DATEVALUE(LEFT(F1412,10))</f>
        <v>44994</v>
      </c>
    </row>
    <row r="1413" spans="1:21">
      <c r="B1413" s="56" t="s">
        <v>228</v>
      </c>
      <c r="C1413" s="56" t="s">
        <v>6566</v>
      </c>
      <c r="D1413" s="56" t="s">
        <v>22</v>
      </c>
      <c r="F1413" s="56" t="s">
        <v>6567</v>
      </c>
      <c r="G1413" s="56">
        <v>6</v>
      </c>
      <c r="H1413" s="56">
        <v>1</v>
      </c>
      <c r="I1413" s="56">
        <v>0.16666666666666666</v>
      </c>
      <c r="K1413" s="56" t="s">
        <v>2171</v>
      </c>
      <c r="L1413" s="56" t="s">
        <v>2932</v>
      </c>
      <c r="O1413">
        <f>_xlfn.XLOOKUP(N1413,'Error-codes'!$C$2:$C$130,'Error-codes'!$B$2:$B$130, "None")</f>
        <v>0</v>
      </c>
      <c r="U1413" s="81">
        <f>DATEVALUE(LEFT(F1413,10))</f>
        <v>44994</v>
      </c>
    </row>
    <row r="1414" spans="1:21">
      <c r="A1414" s="56" t="s">
        <v>6568</v>
      </c>
      <c r="B1414" s="56" t="s">
        <v>3771</v>
      </c>
      <c r="C1414" s="56" t="s">
        <v>6569</v>
      </c>
      <c r="D1414" s="56" t="s">
        <v>37</v>
      </c>
      <c r="E1414" s="56" t="s">
        <v>4564</v>
      </c>
      <c r="F1414" s="56" t="s">
        <v>6570</v>
      </c>
      <c r="G1414" s="56">
        <v>19</v>
      </c>
      <c r="H1414" s="56">
        <v>2</v>
      </c>
      <c r="I1414" s="56">
        <v>0.10526315789473684</v>
      </c>
      <c r="J1414" s="56" t="s">
        <v>6562</v>
      </c>
      <c r="K1414" s="56" t="s">
        <v>1893</v>
      </c>
      <c r="L1414" s="56" t="s">
        <v>6394</v>
      </c>
      <c r="M1414" s="56" t="str">
        <f>HYPERLINK("https://dribble.octin.io/?mode=Single+log&amp;log_id=ea9bdd68-8685-40d4-9ad7-8aa1e95cabe9","URL")</f>
        <v>URL</v>
      </c>
      <c r="N1414" s="56" t="s">
        <v>3452</v>
      </c>
      <c r="O1414" t="str">
        <f>_xlfn.XLOOKUP(N1414,'Error-codes'!$C$2:$C$130,'Error-codes'!$B$2:$B$130, "None")</f>
        <v>ytheta sensor error</v>
      </c>
      <c r="U1414" s="81">
        <f>DATEVALUE(LEFT(F1414,10))</f>
        <v>44994</v>
      </c>
    </row>
    <row r="1415" spans="1:21">
      <c r="A1415" s="56" t="s">
        <v>6571</v>
      </c>
      <c r="B1415" s="56" t="s">
        <v>3771</v>
      </c>
      <c r="C1415" s="56" t="s">
        <v>6572</v>
      </c>
      <c r="D1415" s="56" t="s">
        <v>22</v>
      </c>
      <c r="E1415" s="56" t="s">
        <v>2939</v>
      </c>
      <c r="F1415" s="56" t="s">
        <v>6573</v>
      </c>
      <c r="G1415" s="56">
        <v>19</v>
      </c>
      <c r="H1415" s="56">
        <v>1</v>
      </c>
      <c r="I1415" s="56">
        <v>5.2631578947368418E-2</v>
      </c>
      <c r="J1415" s="56" t="s">
        <v>3315</v>
      </c>
      <c r="K1415" s="56" t="s">
        <v>1893</v>
      </c>
      <c r="L1415" s="56" t="s">
        <v>6394</v>
      </c>
      <c r="M1415" s="56" t="str">
        <f>HYPERLINK("https://dribble.octin.io/?mode=Single+log&amp;log_id=15dac5ab-ad21-490a-830d-4a5872de932b","URL")</f>
        <v>URL</v>
      </c>
      <c r="N1415" s="56" t="s">
        <v>3432</v>
      </c>
      <c r="O1415" t="str">
        <f>_xlfn.XLOOKUP(N1415,'Error-codes'!$C$2:$C$130,'Error-codes'!$B$2:$B$130, "None")</f>
        <v>vision did not initialize in time</v>
      </c>
      <c r="U1415" s="81">
        <f>DATEVALUE(LEFT(F1415,10))</f>
        <v>44994</v>
      </c>
    </row>
    <row r="1416" spans="1:21">
      <c r="B1416" s="56" t="s">
        <v>3771</v>
      </c>
      <c r="C1416" s="56" t="s">
        <v>6574</v>
      </c>
      <c r="D1416" s="56" t="s">
        <v>22</v>
      </c>
      <c r="F1416" s="56" t="s">
        <v>6575</v>
      </c>
      <c r="G1416" s="56">
        <v>152</v>
      </c>
      <c r="H1416" s="56">
        <v>3</v>
      </c>
      <c r="I1416" s="56">
        <v>1.9736842105263157E-2</v>
      </c>
      <c r="K1416" s="56" t="s">
        <v>5210</v>
      </c>
      <c r="L1416" s="56" t="s">
        <v>3775</v>
      </c>
      <c r="O1416">
        <f>_xlfn.XLOOKUP(N1416,'Error-codes'!$C$2:$C$130,'Error-codes'!$B$2:$B$130, "None")</f>
        <v>0</v>
      </c>
      <c r="U1416" s="81">
        <f>DATEVALUE(LEFT(F1416,10))</f>
        <v>44994</v>
      </c>
    </row>
    <row r="1417" spans="1:21">
      <c r="A1417" s="56"/>
      <c r="B1417" s="56" t="s">
        <v>3771</v>
      </c>
      <c r="C1417" s="56" t="s">
        <v>6576</v>
      </c>
      <c r="D1417" s="56" t="s">
        <v>37</v>
      </c>
      <c r="E1417" s="56" t="s">
        <v>4564</v>
      </c>
      <c r="F1417" s="56" t="s">
        <v>6577</v>
      </c>
      <c r="G1417" s="56">
        <v>150</v>
      </c>
      <c r="H1417" s="56">
        <v>1</v>
      </c>
      <c r="I1417" s="56">
        <v>6.6666666666666671E-3</v>
      </c>
      <c r="J1417" s="56" t="s">
        <v>3315</v>
      </c>
      <c r="K1417" s="56" t="s">
        <v>5210</v>
      </c>
      <c r="L1417" s="56" t="s">
        <v>3775</v>
      </c>
      <c r="N1417" s="56" t="s">
        <v>3432</v>
      </c>
      <c r="O1417" t="str">
        <f>_xlfn.XLOOKUP(N1417,'Error-codes'!$C$2:$C$130,'Error-codes'!$B$2:$B$130, "None")</f>
        <v>vision did not initialize in time</v>
      </c>
      <c r="U1417" s="81">
        <f>DATEVALUE(LEFT(F1417,10))</f>
        <v>44994</v>
      </c>
    </row>
    <row r="1418" spans="1:21">
      <c r="A1418" s="56"/>
      <c r="B1418" s="56" t="s">
        <v>3771</v>
      </c>
      <c r="C1418" s="56" t="s">
        <v>6578</v>
      </c>
      <c r="D1418" s="56" t="s">
        <v>37</v>
      </c>
      <c r="E1418" s="56" t="s">
        <v>4564</v>
      </c>
      <c r="F1418" s="56" t="s">
        <v>6579</v>
      </c>
      <c r="G1418" s="56">
        <v>152</v>
      </c>
      <c r="H1418" s="56">
        <v>27</v>
      </c>
      <c r="I1418" s="56">
        <v>0.17763157894736842</v>
      </c>
      <c r="J1418" s="56" t="s">
        <v>6580</v>
      </c>
      <c r="K1418" s="56" t="s">
        <v>5210</v>
      </c>
      <c r="L1418" s="56" t="s">
        <v>3775</v>
      </c>
      <c r="N1418" s="56" t="s">
        <v>3452</v>
      </c>
      <c r="O1418" t="str">
        <f>_xlfn.XLOOKUP(N1418,'Error-codes'!$C$2:$C$130,'Error-codes'!$B$2:$B$130, "None")</f>
        <v>ytheta sensor error</v>
      </c>
      <c r="U1418" s="81">
        <f>DATEVALUE(LEFT(F1418,10))</f>
        <v>44994</v>
      </c>
    </row>
    <row r="1419" spans="1:21">
      <c r="B1419" s="56" t="s">
        <v>228</v>
      </c>
      <c r="C1419" s="56" t="s">
        <v>6581</v>
      </c>
      <c r="D1419" s="56" t="s">
        <v>22</v>
      </c>
      <c r="F1419" s="56" t="s">
        <v>6582</v>
      </c>
      <c r="G1419" s="56">
        <v>190</v>
      </c>
      <c r="H1419" s="56">
        <v>7</v>
      </c>
      <c r="I1419" s="56">
        <v>3.6842105263157891E-2</v>
      </c>
      <c r="K1419" s="56" t="s">
        <v>6583</v>
      </c>
      <c r="L1419" s="56" t="s">
        <v>2932</v>
      </c>
      <c r="O1419">
        <f>_xlfn.XLOOKUP(N1419,'Error-codes'!$C$2:$C$130,'Error-codes'!$B$2:$B$130, "None")</f>
        <v>0</v>
      </c>
      <c r="U1419" s="81">
        <f>DATEVALUE(LEFT(F1419,10))</f>
        <v>44994</v>
      </c>
    </row>
    <row r="1420" spans="1:21">
      <c r="A1420" s="56"/>
      <c r="B1420" s="56" t="s">
        <v>29</v>
      </c>
      <c r="C1420" s="56" t="s">
        <v>6584</v>
      </c>
      <c r="D1420" s="56" t="s">
        <v>37</v>
      </c>
      <c r="E1420" s="56" t="s">
        <v>2939</v>
      </c>
      <c r="F1420" s="56" t="s">
        <v>6585</v>
      </c>
      <c r="G1420" s="56">
        <v>154</v>
      </c>
      <c r="H1420" s="56">
        <v>42</v>
      </c>
      <c r="I1420" s="56">
        <v>0.27272727272727271</v>
      </c>
      <c r="J1420" s="56" t="s">
        <v>6138</v>
      </c>
      <c r="K1420" s="56" t="s">
        <v>5612</v>
      </c>
      <c r="L1420" s="56" t="s">
        <v>3358</v>
      </c>
      <c r="N1420" s="56" t="s">
        <v>2933</v>
      </c>
      <c r="O1420" t="str">
        <f>_xlfn.XLOOKUP(N1420,'Error-codes'!$C$2:$C$130,'Error-codes'!$B$2:$B$130, "None")</f>
        <v>inductive sensor error</v>
      </c>
      <c r="U1420" s="81">
        <f>DATEVALUE(LEFT(F1420,10))</f>
        <v>44994</v>
      </c>
    </row>
    <row r="1421" spans="1:21">
      <c r="B1421" s="56" t="s">
        <v>3293</v>
      </c>
      <c r="C1421" s="56" t="s">
        <v>6586</v>
      </c>
      <c r="D1421" s="56" t="s">
        <v>388</v>
      </c>
      <c r="F1421" s="56" t="s">
        <v>6587</v>
      </c>
      <c r="G1421" s="56">
        <v>11</v>
      </c>
      <c r="H1421" s="56">
        <v>11</v>
      </c>
      <c r="I1421" s="56">
        <v>1</v>
      </c>
      <c r="K1421" s="56" t="s">
        <v>3207</v>
      </c>
      <c r="L1421" s="56" t="s">
        <v>6110</v>
      </c>
      <c r="O1421">
        <f>_xlfn.XLOOKUP(N1421,'Error-codes'!$C$2:$C$130,'Error-codes'!$B$2:$B$130, "None")</f>
        <v>0</v>
      </c>
      <c r="U1421" s="81">
        <f>DATEVALUE(LEFT(F1421,10))</f>
        <v>44994</v>
      </c>
    </row>
    <row r="1422" spans="1:21">
      <c r="A1422" s="56" t="s">
        <v>6588</v>
      </c>
      <c r="B1422" s="56" t="s">
        <v>2886</v>
      </c>
      <c r="C1422" s="56" t="s">
        <v>6589</v>
      </c>
      <c r="D1422" s="56" t="s">
        <v>37</v>
      </c>
      <c r="E1422" s="56" t="s">
        <v>4731</v>
      </c>
      <c r="F1422" s="56" t="s">
        <v>6590</v>
      </c>
      <c r="G1422" s="56">
        <v>198</v>
      </c>
      <c r="H1422" s="56">
        <v>53</v>
      </c>
      <c r="I1422" s="56">
        <v>0.26767676767676768</v>
      </c>
      <c r="J1422" s="56" t="s">
        <v>6591</v>
      </c>
      <c r="K1422" s="56" t="s">
        <v>6592</v>
      </c>
      <c r="L1422" s="56" t="s">
        <v>2948</v>
      </c>
      <c r="M1422" s="56" t="str">
        <f>HYPERLINK("https://dribble.octin.io/?mode=Single+log&amp;log_id=be082572-748a-4994-b8ad-687c90265c3f","URL")</f>
        <v>URL</v>
      </c>
      <c r="N1422" s="56" t="s">
        <v>3460</v>
      </c>
      <c r="O1422" t="str">
        <f>_xlfn.XLOOKUP(N1422,'Error-codes'!$C$2:$C$130,'Error-codes'!$B$2:$B$130, "None")</f>
        <v>motor drive: DRV8353 FAULT</v>
      </c>
      <c r="U1422" s="81">
        <f>DATEVALUE(LEFT(F1422,10))</f>
        <v>44994</v>
      </c>
    </row>
    <row r="1423" spans="1:21">
      <c r="A1423" s="56" t="s">
        <v>6593</v>
      </c>
      <c r="B1423" s="56" t="s">
        <v>228</v>
      </c>
      <c r="C1423" s="56" t="s">
        <v>6594</v>
      </c>
      <c r="D1423" s="56" t="s">
        <v>37</v>
      </c>
      <c r="E1423" s="56" t="s">
        <v>2939</v>
      </c>
      <c r="F1423" s="56" t="s">
        <v>6595</v>
      </c>
      <c r="G1423" s="56">
        <v>185</v>
      </c>
      <c r="H1423" s="56">
        <v>54</v>
      </c>
      <c r="I1423" s="56">
        <v>0.29189189189189191</v>
      </c>
      <c r="J1423" s="56" t="s">
        <v>6508</v>
      </c>
      <c r="K1423" s="56" t="s">
        <v>6583</v>
      </c>
      <c r="L1423" s="56" t="s">
        <v>2932</v>
      </c>
      <c r="M1423" s="56" t="str">
        <f>HYPERLINK("https://dribble.octin.io/?mode=Single+log&amp;log_id=deed9c2d-85ba-4528-bf1c-93de861563a4","URL")</f>
        <v>URL</v>
      </c>
      <c r="N1423" s="56" t="s">
        <v>3472</v>
      </c>
      <c r="O1423" t="str">
        <f>_xlfn.XLOOKUP(N1423,'Error-codes'!$C$2:$C$130,'Error-codes'!$B$2:$B$130, "None")</f>
        <v>Excessive slip detected</v>
      </c>
      <c r="U1423" s="81">
        <f>DATEVALUE(LEFT(F1423,10))</f>
        <v>44994</v>
      </c>
    </row>
    <row r="1424" spans="1:21">
      <c r="A1424" s="56" t="s">
        <v>6596</v>
      </c>
      <c r="B1424" s="56" t="s">
        <v>5394</v>
      </c>
      <c r="C1424" s="56" t="s">
        <v>6597</v>
      </c>
      <c r="D1424" s="56" t="s">
        <v>388</v>
      </c>
      <c r="E1424" s="56" t="s">
        <v>2939</v>
      </c>
      <c r="F1424" s="56" t="s">
        <v>6598</v>
      </c>
      <c r="G1424" s="56">
        <v>121</v>
      </c>
      <c r="H1424" s="56">
        <v>51</v>
      </c>
      <c r="I1424" s="56">
        <v>0.42148760330578511</v>
      </c>
      <c r="J1424" s="56" t="s">
        <v>6599</v>
      </c>
      <c r="K1424" s="56" t="s">
        <v>1893</v>
      </c>
      <c r="L1424" s="56" t="s">
        <v>6059</v>
      </c>
      <c r="M1424" s="56" t="str">
        <f>HYPERLINK("https://dribble.octin.io/?mode=Single+log&amp;log_id=6baf6460-47f9-472f-9bb3-00a14b684048","URL")</f>
        <v>URL</v>
      </c>
      <c r="N1424" s="56" t="s">
        <v>3468</v>
      </c>
      <c r="O1424" t="str">
        <f>_xlfn.XLOOKUP(N1424,'Error-codes'!$C$2:$C$130,'Error-codes'!$B$2:$B$130, "None")</f>
        <v>no vision heartbeat</v>
      </c>
      <c r="U1424" s="81">
        <f>DATEVALUE(LEFT(F1424,10))</f>
        <v>44994</v>
      </c>
    </row>
    <row r="1425" spans="1:21">
      <c r="B1425" s="56" t="s">
        <v>3771</v>
      </c>
      <c r="C1425" s="56" t="s">
        <v>6600</v>
      </c>
      <c r="D1425" s="56" t="s">
        <v>388</v>
      </c>
      <c r="F1425" s="56" t="s">
        <v>6601</v>
      </c>
      <c r="G1425" s="56">
        <v>152</v>
      </c>
      <c r="H1425" s="56">
        <v>152</v>
      </c>
      <c r="I1425" s="56">
        <v>1</v>
      </c>
      <c r="K1425" s="56" t="s">
        <v>5210</v>
      </c>
      <c r="L1425" s="56" t="s">
        <v>3775</v>
      </c>
      <c r="O1425">
        <f>_xlfn.XLOOKUP(N1425,'Error-codes'!$C$2:$C$130,'Error-codes'!$B$2:$B$130, "None")</f>
        <v>0</v>
      </c>
      <c r="U1425" s="81">
        <f>DATEVALUE(LEFT(F1425,10))</f>
        <v>44994</v>
      </c>
    </row>
    <row r="1426" spans="1:21">
      <c r="A1426" s="56" t="s">
        <v>6602</v>
      </c>
      <c r="B1426" s="56" t="s">
        <v>228</v>
      </c>
      <c r="C1426" s="56" t="s">
        <v>6594</v>
      </c>
      <c r="D1426" s="56" t="s">
        <v>37</v>
      </c>
      <c r="E1426" s="56" t="s">
        <v>4731</v>
      </c>
      <c r="F1426" s="56" t="s">
        <v>6603</v>
      </c>
      <c r="G1426" s="56">
        <v>185</v>
      </c>
      <c r="H1426" s="56">
        <v>85</v>
      </c>
      <c r="I1426" s="56">
        <v>0.45945945945945948</v>
      </c>
      <c r="J1426" s="56" t="s">
        <v>6604</v>
      </c>
      <c r="K1426" s="56" t="s">
        <v>6583</v>
      </c>
      <c r="L1426" s="56" t="s">
        <v>2932</v>
      </c>
      <c r="M1426" s="56" t="str">
        <f>HYPERLINK("https://dribble.octin.io/?mode=Single+log&amp;log_id=1f387626-2040-4be2-8328-4125c256de03","URL")</f>
        <v>URL</v>
      </c>
      <c r="N1426" s="56" t="s">
        <v>3460</v>
      </c>
      <c r="O1426" t="str">
        <f>_xlfn.XLOOKUP(N1426,'Error-codes'!$C$2:$C$130,'Error-codes'!$B$2:$B$130, "None")</f>
        <v>motor drive: DRV8353 FAULT</v>
      </c>
      <c r="U1426" s="81">
        <f>DATEVALUE(LEFT(F1426,10))</f>
        <v>44994</v>
      </c>
    </row>
    <row r="1427" spans="1:21">
      <c r="A1427" s="56"/>
      <c r="B1427" s="56" t="s">
        <v>29</v>
      </c>
      <c r="C1427" s="56" t="s">
        <v>6584</v>
      </c>
      <c r="D1427" s="56" t="s">
        <v>37</v>
      </c>
      <c r="E1427" s="56" t="s">
        <v>2939</v>
      </c>
      <c r="F1427" s="56" t="s">
        <v>6605</v>
      </c>
      <c r="G1427" s="56">
        <v>154</v>
      </c>
      <c r="H1427" s="56">
        <v>92</v>
      </c>
      <c r="I1427" s="56">
        <v>0.59740259740259738</v>
      </c>
      <c r="J1427" s="56" t="s">
        <v>6606</v>
      </c>
      <c r="K1427" s="56" t="s">
        <v>5612</v>
      </c>
      <c r="L1427" s="56" t="s">
        <v>3358</v>
      </c>
      <c r="N1427" s="56" t="s">
        <v>3446</v>
      </c>
      <c r="O1427" t="str">
        <f>_xlfn.XLOOKUP(N1427,'Error-codes'!$C$2:$C$130,'Error-codes'!$B$2:$B$130, "None")</f>
        <v>end of lane wall sensor error</v>
      </c>
      <c r="U1427" s="81">
        <f>DATEVALUE(LEFT(F1427,10))</f>
        <v>44994</v>
      </c>
    </row>
    <row r="1428" spans="1:21">
      <c r="A1428" s="56"/>
      <c r="B1428" s="56" t="s">
        <v>29</v>
      </c>
      <c r="C1428" s="56" t="s">
        <v>6584</v>
      </c>
      <c r="D1428" s="56" t="s">
        <v>37</v>
      </c>
      <c r="E1428" s="56" t="s">
        <v>6607</v>
      </c>
      <c r="F1428" s="56" t="s">
        <v>6608</v>
      </c>
      <c r="G1428" s="56">
        <v>154</v>
      </c>
      <c r="H1428" s="56">
        <v>93</v>
      </c>
      <c r="I1428" s="56">
        <v>0.60389610389610393</v>
      </c>
      <c r="J1428" s="56" t="s">
        <v>6424</v>
      </c>
      <c r="K1428" s="56" t="s">
        <v>5612</v>
      </c>
      <c r="L1428" s="56" t="s">
        <v>3358</v>
      </c>
      <c r="N1428" s="56" t="s">
        <v>3456</v>
      </c>
      <c r="O1428" t="str">
        <f>_xlfn.XLOOKUP(N1428,'Error-codes'!$C$2:$C$130,'Error-codes'!$B$2:$B$130, "None")</f>
        <v>motor drive: OVER VOLTAGE</v>
      </c>
      <c r="U1428" s="81">
        <f>DATEVALUE(LEFT(F1428,10))</f>
        <v>44994</v>
      </c>
    </row>
    <row r="1429" spans="1:21">
      <c r="A1429" s="56"/>
      <c r="B1429" s="56" t="s">
        <v>295</v>
      </c>
      <c r="C1429" s="56" t="s">
        <v>6609</v>
      </c>
      <c r="D1429" s="56" t="s">
        <v>388</v>
      </c>
      <c r="E1429" s="56" t="s">
        <v>2939</v>
      </c>
      <c r="F1429" s="56" t="s">
        <v>6610</v>
      </c>
      <c r="G1429" s="56">
        <v>210</v>
      </c>
      <c r="H1429" s="56">
        <v>120</v>
      </c>
      <c r="I1429" s="56">
        <v>0.5714285714285714</v>
      </c>
      <c r="J1429" s="56" t="s">
        <v>5760</v>
      </c>
      <c r="K1429" s="56" t="s">
        <v>5593</v>
      </c>
      <c r="L1429" s="56" t="s">
        <v>3325</v>
      </c>
      <c r="N1429" s="56" t="s">
        <v>3444</v>
      </c>
      <c r="O1429" t="str">
        <f>_xlfn.XLOOKUP(N1429,'Error-codes'!$C$2:$C$130,'Error-codes'!$B$2:$B$130, "None")</f>
        <v>collision detected in operational state for the 4th time in a row</v>
      </c>
      <c r="U1429" s="81">
        <f>DATEVALUE(LEFT(F1429,10))</f>
        <v>44995</v>
      </c>
    </row>
    <row r="1430" spans="1:21">
      <c r="B1430" s="56" t="s">
        <v>5394</v>
      </c>
      <c r="C1430" s="56" t="s">
        <v>6597</v>
      </c>
      <c r="D1430" s="56" t="s">
        <v>388</v>
      </c>
      <c r="F1430" s="56" t="s">
        <v>6611</v>
      </c>
      <c r="G1430" s="56">
        <v>121</v>
      </c>
      <c r="H1430" s="56">
        <v>120</v>
      </c>
      <c r="I1430" s="56">
        <v>0.99173553719008267</v>
      </c>
      <c r="K1430" s="56" t="s">
        <v>1893</v>
      </c>
      <c r="L1430" s="56" t="s">
        <v>6059</v>
      </c>
      <c r="O1430">
        <f>_xlfn.XLOOKUP(N1430,'Error-codes'!$C$2:$C$130,'Error-codes'!$B$2:$B$130, "None")</f>
        <v>0</v>
      </c>
      <c r="U1430" s="81">
        <f>DATEVALUE(LEFT(F1430,10))</f>
        <v>44995</v>
      </c>
    </row>
    <row r="1431" spans="1:21">
      <c r="A1431" s="56"/>
      <c r="B1431" s="56" t="s">
        <v>29</v>
      </c>
      <c r="C1431" s="56" t="s">
        <v>6612</v>
      </c>
      <c r="D1431" s="56" t="s">
        <v>37</v>
      </c>
      <c r="E1431" s="56" t="s">
        <v>2939</v>
      </c>
      <c r="F1431" s="56" t="s">
        <v>6613</v>
      </c>
      <c r="G1431" s="56">
        <v>6</v>
      </c>
      <c r="H1431" s="56">
        <v>0</v>
      </c>
      <c r="I1431" s="56">
        <v>0</v>
      </c>
      <c r="J1431" s="56" t="s">
        <v>3315</v>
      </c>
      <c r="K1431" s="56" t="s">
        <v>5612</v>
      </c>
      <c r="L1431" s="56" t="s">
        <v>3358</v>
      </c>
      <c r="N1431" s="56" t="s">
        <v>3468</v>
      </c>
      <c r="O1431" t="str">
        <f>_xlfn.XLOOKUP(N1431,'Error-codes'!$C$2:$C$130,'Error-codes'!$B$2:$B$130, "None")</f>
        <v>no vision heartbeat</v>
      </c>
      <c r="U1431" s="81">
        <f>DATEVALUE(LEFT(F1431,10))</f>
        <v>44995</v>
      </c>
    </row>
    <row r="1432" spans="1:21">
      <c r="A1432" s="56"/>
      <c r="B1432" s="56" t="s">
        <v>29</v>
      </c>
      <c r="C1432" s="56" t="s">
        <v>6612</v>
      </c>
      <c r="D1432" s="56" t="s">
        <v>37</v>
      </c>
      <c r="E1432" s="56" t="s">
        <v>3242</v>
      </c>
      <c r="F1432" s="56" t="s">
        <v>6614</v>
      </c>
      <c r="G1432" s="56">
        <v>6</v>
      </c>
      <c r="H1432" s="56">
        <v>1</v>
      </c>
      <c r="I1432" s="56">
        <v>0.16666666666666666</v>
      </c>
      <c r="J1432" s="56" t="s">
        <v>6615</v>
      </c>
      <c r="K1432" s="56" t="s">
        <v>5612</v>
      </c>
      <c r="L1432" s="56" t="s">
        <v>3358</v>
      </c>
      <c r="N1432" s="56" t="s">
        <v>3468</v>
      </c>
      <c r="O1432" t="str">
        <f>_xlfn.XLOOKUP(N1432,'Error-codes'!$C$2:$C$130,'Error-codes'!$B$2:$B$130, "None")</f>
        <v>no vision heartbeat</v>
      </c>
      <c r="U1432" s="81">
        <f>DATEVALUE(LEFT(F1432,10))</f>
        <v>44995</v>
      </c>
    </row>
    <row r="1433" spans="1:21">
      <c r="A1433" s="56"/>
      <c r="B1433" s="56" t="s">
        <v>29</v>
      </c>
      <c r="C1433" s="56" t="s">
        <v>6616</v>
      </c>
      <c r="D1433" s="56" t="s">
        <v>37</v>
      </c>
      <c r="E1433" s="56" t="s">
        <v>3242</v>
      </c>
      <c r="F1433" s="56" t="s">
        <v>6617</v>
      </c>
      <c r="G1433" s="56">
        <v>5</v>
      </c>
      <c r="H1433" s="56">
        <v>0</v>
      </c>
      <c r="I1433" s="56">
        <v>0</v>
      </c>
      <c r="J1433" s="56" t="s">
        <v>3315</v>
      </c>
      <c r="K1433" s="56" t="s">
        <v>5612</v>
      </c>
      <c r="L1433" s="56" t="s">
        <v>3358</v>
      </c>
      <c r="N1433" s="56" t="s">
        <v>3468</v>
      </c>
      <c r="O1433" t="str">
        <f>_xlfn.XLOOKUP(N1433,'Error-codes'!$C$2:$C$130,'Error-codes'!$B$2:$B$130, "None")</f>
        <v>no vision heartbeat</v>
      </c>
      <c r="U1433" s="81">
        <f>DATEVALUE(LEFT(F1433,10))</f>
        <v>44995</v>
      </c>
    </row>
    <row r="1434" spans="1:21">
      <c r="B1434" s="56" t="s">
        <v>295</v>
      </c>
      <c r="C1434" s="56" t="s">
        <v>6609</v>
      </c>
      <c r="D1434" s="56" t="s">
        <v>388</v>
      </c>
      <c r="F1434" s="56" t="s">
        <v>6618</v>
      </c>
      <c r="G1434" s="56">
        <v>210</v>
      </c>
      <c r="H1434" s="56">
        <v>209</v>
      </c>
      <c r="I1434" s="56">
        <v>0.99523809523809526</v>
      </c>
      <c r="K1434" s="56" t="s">
        <v>5593</v>
      </c>
      <c r="L1434" s="56" t="s">
        <v>3325</v>
      </c>
      <c r="O1434">
        <f>_xlfn.XLOOKUP(N1434,'Error-codes'!$C$2:$C$130,'Error-codes'!$B$2:$B$130, "None")</f>
        <v>0</v>
      </c>
      <c r="U1434" s="81">
        <f>DATEVALUE(LEFT(F1434,10))</f>
        <v>44995</v>
      </c>
    </row>
    <row r="1435" spans="1:21">
      <c r="B1435" s="56" t="s">
        <v>3263</v>
      </c>
      <c r="C1435" s="56" t="s">
        <v>6619</v>
      </c>
      <c r="D1435" s="56" t="s">
        <v>388</v>
      </c>
      <c r="F1435" s="56" t="s">
        <v>6620</v>
      </c>
      <c r="G1435" s="56">
        <v>82</v>
      </c>
      <c r="H1435" s="56">
        <v>82</v>
      </c>
      <c r="I1435" s="56">
        <v>1</v>
      </c>
      <c r="K1435" s="56" t="s">
        <v>3280</v>
      </c>
      <c r="L1435" s="56" t="s">
        <v>3269</v>
      </c>
      <c r="O1435">
        <f>_xlfn.XLOOKUP(N1435,'Error-codes'!$C$2:$C$130,'Error-codes'!$B$2:$B$130, "None")</f>
        <v>0</v>
      </c>
      <c r="U1435" s="81">
        <f>DATEVALUE(LEFT(F1435,10))</f>
        <v>44995</v>
      </c>
    </row>
    <row r="1436" spans="1:21">
      <c r="B1436" s="56" t="s">
        <v>29</v>
      </c>
      <c r="C1436" s="56" t="s">
        <v>6621</v>
      </c>
      <c r="D1436" s="56" t="s">
        <v>388</v>
      </c>
      <c r="F1436" s="56" t="s">
        <v>6622</v>
      </c>
      <c r="G1436" s="56">
        <v>6</v>
      </c>
      <c r="H1436" s="56">
        <v>6</v>
      </c>
      <c r="I1436" s="56">
        <v>1</v>
      </c>
      <c r="K1436" s="56" t="s">
        <v>5612</v>
      </c>
      <c r="L1436" s="56" t="s">
        <v>3358</v>
      </c>
      <c r="O1436">
        <f>_xlfn.XLOOKUP(N1436,'Error-codes'!$C$2:$C$130,'Error-codes'!$B$2:$B$130, "None")</f>
        <v>0</v>
      </c>
      <c r="U1436" s="81">
        <f>DATEVALUE(LEFT(F1436,10))</f>
        <v>44995</v>
      </c>
    </row>
    <row r="1437" spans="1:21">
      <c r="B1437" s="56" t="s">
        <v>3202</v>
      </c>
      <c r="C1437" s="56" t="s">
        <v>6623</v>
      </c>
      <c r="D1437" s="56" t="s">
        <v>22</v>
      </c>
      <c r="F1437" s="56" t="s">
        <v>6624</v>
      </c>
      <c r="G1437" s="56">
        <v>37</v>
      </c>
      <c r="H1437" s="56">
        <v>0</v>
      </c>
      <c r="I1437" s="56">
        <v>0</v>
      </c>
      <c r="K1437" s="56" t="s">
        <v>3207</v>
      </c>
      <c r="L1437" s="56" t="s">
        <v>5214</v>
      </c>
      <c r="O1437">
        <f>_xlfn.XLOOKUP(N1437,'Error-codes'!$C$2:$C$130,'Error-codes'!$B$2:$B$130, "None")</f>
        <v>0</v>
      </c>
      <c r="U1437" s="81">
        <f>DATEVALUE(LEFT(F1437,10))</f>
        <v>44995</v>
      </c>
    </row>
    <row r="1438" spans="1:21">
      <c r="A1438" s="56" t="s">
        <v>6625</v>
      </c>
      <c r="B1438" s="56" t="s">
        <v>295</v>
      </c>
      <c r="C1438" s="56" t="s">
        <v>6626</v>
      </c>
      <c r="D1438" s="56" t="s">
        <v>388</v>
      </c>
      <c r="E1438" s="56" t="s">
        <v>2939</v>
      </c>
      <c r="F1438" s="56" t="s">
        <v>6627</v>
      </c>
      <c r="G1438" s="56">
        <v>223</v>
      </c>
      <c r="H1438" s="56">
        <v>6</v>
      </c>
      <c r="I1438" s="56">
        <v>2.6905829596412557E-2</v>
      </c>
      <c r="J1438" s="56" t="s">
        <v>5782</v>
      </c>
      <c r="K1438" s="56" t="s">
        <v>5612</v>
      </c>
      <c r="L1438" s="56" t="s">
        <v>3325</v>
      </c>
      <c r="M1438" s="56" t="str">
        <f>HYPERLINK("https://dribble.octin.io/?mode=Single+log&amp;log_id=e766110f-21c1-47d8-99e8-72a97bd5d6c2","URL")</f>
        <v>URL</v>
      </c>
      <c r="N1438" s="56" t="s">
        <v>3446</v>
      </c>
      <c r="O1438" t="str">
        <f>_xlfn.XLOOKUP(N1438,'Error-codes'!$C$2:$C$130,'Error-codes'!$B$2:$B$130, "None")</f>
        <v>end of lane wall sensor error</v>
      </c>
      <c r="U1438" s="81">
        <f>DATEVALUE(LEFT(F1438,10))</f>
        <v>44995</v>
      </c>
    </row>
    <row r="1439" spans="1:21">
      <c r="A1439" s="56" t="s">
        <v>6628</v>
      </c>
      <c r="B1439" s="56" t="s">
        <v>295</v>
      </c>
      <c r="C1439" s="56" t="s">
        <v>6626</v>
      </c>
      <c r="D1439" s="56" t="s">
        <v>388</v>
      </c>
      <c r="E1439" s="56" t="s">
        <v>2939</v>
      </c>
      <c r="F1439" s="56" t="s">
        <v>6629</v>
      </c>
      <c r="G1439" s="56">
        <v>223</v>
      </c>
      <c r="H1439" s="56">
        <v>43</v>
      </c>
      <c r="I1439" s="56">
        <v>0.19282511210762332</v>
      </c>
      <c r="J1439" s="56" t="s">
        <v>6630</v>
      </c>
      <c r="K1439" s="56" t="s">
        <v>5612</v>
      </c>
      <c r="L1439" s="56" t="s">
        <v>3325</v>
      </c>
      <c r="M1439" s="56" t="str">
        <f>HYPERLINK("https://dribble.octin.io/?mode=Single+log&amp;log_id=894f665c-06f7-432f-beb3-69674e6562fe","URL")</f>
        <v>URL</v>
      </c>
      <c r="N1439" s="56" t="s">
        <v>2933</v>
      </c>
      <c r="O1439" t="str">
        <f>_xlfn.XLOOKUP(N1439,'Error-codes'!$C$2:$C$130,'Error-codes'!$B$2:$B$130, "None")</f>
        <v>inductive sensor error</v>
      </c>
      <c r="R1439" t="s">
        <v>2901</v>
      </c>
      <c r="U1439" s="81">
        <f>DATEVALUE(LEFT(F1439,10))</f>
        <v>44995</v>
      </c>
    </row>
    <row r="1440" spans="1:21">
      <c r="A1440" s="56" t="s">
        <v>6631</v>
      </c>
      <c r="B1440" s="56" t="s">
        <v>29</v>
      </c>
      <c r="C1440" s="56" t="s">
        <v>6632</v>
      </c>
      <c r="D1440" s="56" t="s">
        <v>388</v>
      </c>
      <c r="E1440" s="56" t="s">
        <v>2939</v>
      </c>
      <c r="F1440" s="56" t="s">
        <v>6633</v>
      </c>
      <c r="G1440" s="56">
        <v>150</v>
      </c>
      <c r="H1440" s="56">
        <v>43</v>
      </c>
      <c r="I1440" s="56">
        <v>0.28666666666666668</v>
      </c>
      <c r="J1440" s="56" t="s">
        <v>6419</v>
      </c>
      <c r="K1440" s="56" t="s">
        <v>5612</v>
      </c>
      <c r="L1440" s="56" t="s">
        <v>3358</v>
      </c>
      <c r="M1440" s="56" t="str">
        <f>HYPERLINK("https://dribble.octin.io/?mode=Single+log&amp;log_id=f7dc375d-9da5-4dbb-9ad9-ab434088f3f7","URL")</f>
        <v>URL</v>
      </c>
      <c r="N1440" s="56" t="s">
        <v>3446</v>
      </c>
      <c r="O1440" t="str">
        <f>_xlfn.XLOOKUP(N1440,'Error-codes'!$C$2:$C$130,'Error-codes'!$B$2:$B$130, "None")</f>
        <v>end of lane wall sensor error</v>
      </c>
      <c r="U1440" s="81">
        <f>DATEVALUE(LEFT(F1440,10))</f>
        <v>44995</v>
      </c>
    </row>
    <row r="1441" spans="1:21">
      <c r="B1441" s="56" t="s">
        <v>3202</v>
      </c>
      <c r="C1441" s="56" t="s">
        <v>6634</v>
      </c>
      <c r="D1441" s="56" t="s">
        <v>388</v>
      </c>
      <c r="F1441" s="56" t="s">
        <v>6635</v>
      </c>
      <c r="G1441" s="56">
        <v>37</v>
      </c>
      <c r="H1441" s="56">
        <v>37</v>
      </c>
      <c r="I1441" s="56">
        <v>1</v>
      </c>
      <c r="K1441" s="56" t="s">
        <v>3207</v>
      </c>
      <c r="L1441" s="56" t="s">
        <v>5214</v>
      </c>
      <c r="O1441">
        <f>_xlfn.XLOOKUP(N1441,'Error-codes'!$C$2:$C$130,'Error-codes'!$B$2:$B$130, "None")</f>
        <v>0</v>
      </c>
      <c r="U1441" s="81">
        <f>DATEVALUE(LEFT(F1441,10))</f>
        <v>44995</v>
      </c>
    </row>
    <row r="1442" spans="1:21">
      <c r="A1442" s="56" t="s">
        <v>6636</v>
      </c>
      <c r="B1442" s="56" t="s">
        <v>295</v>
      </c>
      <c r="C1442" s="56" t="s">
        <v>6626</v>
      </c>
      <c r="D1442" s="56" t="s">
        <v>388</v>
      </c>
      <c r="E1442" s="56" t="s">
        <v>2939</v>
      </c>
      <c r="F1442" s="56" t="s">
        <v>6637</v>
      </c>
      <c r="G1442" s="56">
        <v>223</v>
      </c>
      <c r="H1442" s="56">
        <v>52</v>
      </c>
      <c r="I1442" s="56">
        <v>0.23318385650224216</v>
      </c>
      <c r="J1442" s="56" t="s">
        <v>6638</v>
      </c>
      <c r="K1442" s="56" t="s">
        <v>5612</v>
      </c>
      <c r="L1442" s="56" t="s">
        <v>3325</v>
      </c>
      <c r="M1442" s="56" t="str">
        <f>HYPERLINK("https://dribble.octin.io/?mode=Single+log&amp;log_id=cfbc33f7-b6c6-4c60-852d-a3a675ddbd8a","URL")</f>
        <v>URL</v>
      </c>
      <c r="N1442" s="56" t="s">
        <v>2933</v>
      </c>
      <c r="O1442" t="str">
        <f>_xlfn.XLOOKUP(N1442,'Error-codes'!$C$2:$C$130,'Error-codes'!$B$2:$B$130, "None")</f>
        <v>inductive sensor error</v>
      </c>
      <c r="R1442" t="s">
        <v>2901</v>
      </c>
      <c r="U1442" s="81">
        <f>DATEVALUE(LEFT(F1442,10))</f>
        <v>44995</v>
      </c>
    </row>
    <row r="1443" spans="1:21">
      <c r="A1443" s="56" t="s">
        <v>6639</v>
      </c>
      <c r="B1443" s="56" t="s">
        <v>29</v>
      </c>
      <c r="C1443" s="56" t="s">
        <v>6632</v>
      </c>
      <c r="D1443" s="56" t="s">
        <v>388</v>
      </c>
      <c r="E1443" s="56" t="s">
        <v>2939</v>
      </c>
      <c r="F1443" s="56" t="s">
        <v>6640</v>
      </c>
      <c r="G1443" s="56">
        <v>150</v>
      </c>
      <c r="H1443" s="56">
        <v>56</v>
      </c>
      <c r="I1443" s="56">
        <v>0.37333333333333335</v>
      </c>
      <c r="J1443" s="56" t="s">
        <v>6606</v>
      </c>
      <c r="K1443" s="56" t="s">
        <v>5612</v>
      </c>
      <c r="L1443" s="56" t="s">
        <v>3358</v>
      </c>
      <c r="M1443" s="56" t="str">
        <f>HYPERLINK("https://dribble.octin.io/?mode=Single+log&amp;log_id=e383d86b-3a43-4eac-b5fd-9be357317375","URL")</f>
        <v>URL</v>
      </c>
      <c r="N1443" s="56" t="s">
        <v>3446</v>
      </c>
      <c r="O1443" t="str">
        <f>_xlfn.XLOOKUP(N1443,'Error-codes'!$C$2:$C$130,'Error-codes'!$B$2:$B$130, "None")</f>
        <v>end of lane wall sensor error</v>
      </c>
      <c r="U1443" s="81">
        <f>DATEVALUE(LEFT(F1443,10))</f>
        <v>44995</v>
      </c>
    </row>
    <row r="1444" spans="1:21">
      <c r="A1444" s="56" t="s">
        <v>6641</v>
      </c>
      <c r="B1444" s="56" t="s">
        <v>29</v>
      </c>
      <c r="C1444" s="56" t="s">
        <v>6632</v>
      </c>
      <c r="D1444" s="56" t="s">
        <v>388</v>
      </c>
      <c r="E1444" s="56" t="s">
        <v>2939</v>
      </c>
      <c r="F1444" s="56" t="s">
        <v>6642</v>
      </c>
      <c r="G1444" s="56">
        <v>150</v>
      </c>
      <c r="H1444" s="56">
        <v>91</v>
      </c>
      <c r="I1444" s="56">
        <v>0.60666666666666669</v>
      </c>
      <c r="J1444" s="56" t="s">
        <v>6643</v>
      </c>
      <c r="K1444" s="56" t="s">
        <v>5612</v>
      </c>
      <c r="L1444" s="56" t="s">
        <v>3358</v>
      </c>
      <c r="M1444" s="56" t="str">
        <f>HYPERLINK("https://dribble.octin.io/?mode=Single+log&amp;log_id=f16270b5-8e3d-4fc1-b004-0f08c8d4036a","URL")</f>
        <v>URL</v>
      </c>
      <c r="N1444" s="56" t="s">
        <v>3446</v>
      </c>
      <c r="O1444" t="str">
        <f>_xlfn.XLOOKUP(N1444,'Error-codes'!$C$2:$C$130,'Error-codes'!$B$2:$B$130, "None")</f>
        <v>end of lane wall sensor error</v>
      </c>
      <c r="U1444" s="81">
        <f>DATEVALUE(LEFT(F1444,10))</f>
        <v>44995</v>
      </c>
    </row>
    <row r="1445" spans="1:21">
      <c r="A1445" s="56" t="s">
        <v>6644</v>
      </c>
      <c r="B1445" s="56" t="s">
        <v>29</v>
      </c>
      <c r="C1445" s="56" t="s">
        <v>6632</v>
      </c>
      <c r="D1445" s="56" t="s">
        <v>388</v>
      </c>
      <c r="E1445" s="56" t="s">
        <v>2939</v>
      </c>
      <c r="F1445" s="56" t="s">
        <v>6645</v>
      </c>
      <c r="G1445" s="56">
        <v>150</v>
      </c>
      <c r="H1445" s="56">
        <v>94</v>
      </c>
      <c r="I1445" s="56">
        <v>0.62666666666666671</v>
      </c>
      <c r="J1445" s="56" t="s">
        <v>6646</v>
      </c>
      <c r="K1445" s="56" t="s">
        <v>5612</v>
      </c>
      <c r="L1445" s="56" t="s">
        <v>3358</v>
      </c>
      <c r="M1445" s="56" t="str">
        <f>HYPERLINK("https://dribble.octin.io/?mode=Single+log&amp;log_id=0855d5a9-3f90-4b04-943d-587f3753b0dd","URL")</f>
        <v>URL</v>
      </c>
      <c r="N1445" s="56" t="s">
        <v>3446</v>
      </c>
      <c r="O1445" t="str">
        <f>_xlfn.XLOOKUP(N1445,'Error-codes'!$C$2:$C$130,'Error-codes'!$B$2:$B$130, "None")</f>
        <v>end of lane wall sensor error</v>
      </c>
      <c r="U1445" s="81">
        <f>DATEVALUE(LEFT(F1445,10))</f>
        <v>44995</v>
      </c>
    </row>
    <row r="1446" spans="1:21">
      <c r="A1446" s="56" t="s">
        <v>6647</v>
      </c>
      <c r="B1446" s="56" t="s">
        <v>29</v>
      </c>
      <c r="C1446" s="56" t="s">
        <v>6632</v>
      </c>
      <c r="D1446" s="56" t="s">
        <v>388</v>
      </c>
      <c r="E1446" s="56" t="s">
        <v>2939</v>
      </c>
      <c r="F1446" s="56" t="s">
        <v>6648</v>
      </c>
      <c r="G1446" s="56">
        <v>150</v>
      </c>
      <c r="H1446" s="56">
        <v>98</v>
      </c>
      <c r="I1446" s="56">
        <v>0.65333333333333332</v>
      </c>
      <c r="J1446" s="56" t="s">
        <v>6649</v>
      </c>
      <c r="K1446" s="56" t="s">
        <v>5612</v>
      </c>
      <c r="L1446" s="56" t="s">
        <v>3358</v>
      </c>
      <c r="M1446" s="56" t="str">
        <f>HYPERLINK("https://dribble.octin.io/?mode=Single+log&amp;log_id=fd4e88df-fd8f-4dd0-ae10-821f2935f4b8","URL")</f>
        <v>URL</v>
      </c>
      <c r="N1446" s="56" t="s">
        <v>3446</v>
      </c>
      <c r="O1446" t="str">
        <f>_xlfn.XLOOKUP(N1446,'Error-codes'!$C$2:$C$130,'Error-codes'!$B$2:$B$130, "None")</f>
        <v>end of lane wall sensor error</v>
      </c>
      <c r="U1446" s="81">
        <f>DATEVALUE(LEFT(F1446,10))</f>
        <v>44995</v>
      </c>
    </row>
    <row r="1447" spans="1:21">
      <c r="A1447" s="56" t="s">
        <v>6650</v>
      </c>
      <c r="B1447" s="56" t="s">
        <v>29</v>
      </c>
      <c r="C1447" s="56" t="s">
        <v>6632</v>
      </c>
      <c r="D1447" s="56" t="s">
        <v>388</v>
      </c>
      <c r="E1447" s="56" t="s">
        <v>2939</v>
      </c>
      <c r="F1447" s="56" t="s">
        <v>6651</v>
      </c>
      <c r="G1447" s="56">
        <v>150</v>
      </c>
      <c r="H1447" s="56">
        <v>105</v>
      </c>
      <c r="I1447" s="56">
        <v>0.7</v>
      </c>
      <c r="J1447" s="56" t="s">
        <v>6652</v>
      </c>
      <c r="K1447" s="56" t="s">
        <v>5612</v>
      </c>
      <c r="L1447" s="56" t="s">
        <v>3358</v>
      </c>
      <c r="M1447" s="56" t="str">
        <f>HYPERLINK("https://dribble.octin.io/?mode=Single+log&amp;log_id=d909a0c9-6c4c-4db6-8890-501bf42bd0c4","URL")</f>
        <v>URL</v>
      </c>
      <c r="N1447" s="56" t="s">
        <v>3446</v>
      </c>
      <c r="O1447" t="str">
        <f>_xlfn.XLOOKUP(N1447,'Error-codes'!$C$2:$C$130,'Error-codes'!$B$2:$B$130, "None")</f>
        <v>end of lane wall sensor error</v>
      </c>
      <c r="U1447" s="81">
        <f>DATEVALUE(LEFT(F1447,10))</f>
        <v>44995</v>
      </c>
    </row>
    <row r="1448" spans="1:21">
      <c r="A1448" s="56" t="s">
        <v>6653</v>
      </c>
      <c r="B1448" s="56" t="s">
        <v>29</v>
      </c>
      <c r="C1448" s="56" t="s">
        <v>6632</v>
      </c>
      <c r="D1448" s="56" t="s">
        <v>388</v>
      </c>
      <c r="E1448" s="56" t="s">
        <v>2939</v>
      </c>
      <c r="F1448" s="56" t="s">
        <v>6654</v>
      </c>
      <c r="G1448" s="56">
        <v>150</v>
      </c>
      <c r="H1448" s="56">
        <v>106</v>
      </c>
      <c r="I1448" s="56">
        <v>0.70666666666666667</v>
      </c>
      <c r="J1448" s="56" t="s">
        <v>6138</v>
      </c>
      <c r="K1448" s="56" t="s">
        <v>5612</v>
      </c>
      <c r="L1448" s="56" t="s">
        <v>3358</v>
      </c>
      <c r="M1448" s="56" t="str">
        <f>HYPERLINK("https://dribble.octin.io/?mode=Single+log&amp;log_id=0d624031-8311-43f2-aa21-4652aef293e7","URL")</f>
        <v>URL</v>
      </c>
      <c r="N1448" s="56" t="s">
        <v>2933</v>
      </c>
      <c r="O1448" t="str">
        <f>_xlfn.XLOOKUP(N1448,'Error-codes'!$C$2:$C$130,'Error-codes'!$B$2:$B$130, "None")</f>
        <v>inductive sensor error</v>
      </c>
      <c r="R1448" t="s">
        <v>2901</v>
      </c>
      <c r="U1448" s="81">
        <f>DATEVALUE(LEFT(F1448,10))</f>
        <v>44995</v>
      </c>
    </row>
    <row r="1449" spans="1:21">
      <c r="A1449" s="56" t="s">
        <v>6655</v>
      </c>
      <c r="B1449" s="56" t="s">
        <v>29</v>
      </c>
      <c r="C1449" s="56" t="s">
        <v>6632</v>
      </c>
      <c r="D1449" s="56" t="s">
        <v>388</v>
      </c>
      <c r="E1449" s="56" t="s">
        <v>2939</v>
      </c>
      <c r="F1449" s="56" t="s">
        <v>6656</v>
      </c>
      <c r="G1449" s="56">
        <v>150</v>
      </c>
      <c r="H1449" s="56">
        <v>111</v>
      </c>
      <c r="I1449" s="56">
        <v>0.74</v>
      </c>
      <c r="J1449" s="56" t="s">
        <v>6657</v>
      </c>
      <c r="K1449" s="56" t="s">
        <v>5612</v>
      </c>
      <c r="L1449" s="56" t="s">
        <v>3358</v>
      </c>
      <c r="M1449" s="56" t="str">
        <f>HYPERLINK("https://dribble.octin.io/?mode=Single+log&amp;log_id=b4413ddd-9288-44fe-88df-977f7b2a7e1c","URL")</f>
        <v>URL</v>
      </c>
      <c r="N1449" s="56" t="s">
        <v>3446</v>
      </c>
      <c r="O1449" t="str">
        <f>_xlfn.XLOOKUP(N1449,'Error-codes'!$C$2:$C$130,'Error-codes'!$B$2:$B$130, "None")</f>
        <v>end of lane wall sensor error</v>
      </c>
      <c r="U1449" s="81">
        <f>DATEVALUE(LEFT(F1449,10))</f>
        <v>44995</v>
      </c>
    </row>
    <row r="1450" spans="1:21">
      <c r="B1450" s="56" t="s">
        <v>29</v>
      </c>
      <c r="C1450" s="56" t="s">
        <v>6632</v>
      </c>
      <c r="D1450" s="56" t="s">
        <v>388</v>
      </c>
      <c r="F1450" s="56" t="s">
        <v>6658</v>
      </c>
      <c r="G1450" s="56">
        <v>150</v>
      </c>
      <c r="H1450" s="56">
        <v>142</v>
      </c>
      <c r="I1450" s="56">
        <v>0.94666666666666666</v>
      </c>
      <c r="K1450" s="56" t="s">
        <v>5612</v>
      </c>
      <c r="L1450" s="56" t="s">
        <v>3358</v>
      </c>
      <c r="O1450">
        <f>_xlfn.XLOOKUP(N1450,'Error-codes'!$C$2:$C$130,'Error-codes'!$B$2:$B$130, "None")</f>
        <v>0</v>
      </c>
      <c r="U1450" s="81">
        <f>DATEVALUE(LEFT(F1450,10))</f>
        <v>44996</v>
      </c>
    </row>
    <row r="1451" spans="1:21">
      <c r="B1451" s="56" t="s">
        <v>5394</v>
      </c>
      <c r="C1451" s="56" t="s">
        <v>6659</v>
      </c>
      <c r="D1451" s="56" t="s">
        <v>388</v>
      </c>
      <c r="F1451" s="56" t="s">
        <v>6660</v>
      </c>
      <c r="G1451" s="56">
        <v>120</v>
      </c>
      <c r="H1451" s="56">
        <v>120</v>
      </c>
      <c r="I1451" s="56">
        <v>1</v>
      </c>
      <c r="K1451" s="56" t="s">
        <v>1873</v>
      </c>
      <c r="L1451" s="56" t="s">
        <v>6059</v>
      </c>
      <c r="O1451">
        <f>_xlfn.XLOOKUP(N1451,'Error-codes'!$C$2:$C$130,'Error-codes'!$B$2:$B$130, "None")</f>
        <v>0</v>
      </c>
      <c r="U1451" s="81">
        <f>DATEVALUE(LEFT(F1451,10))</f>
        <v>44996</v>
      </c>
    </row>
    <row r="1452" spans="1:21">
      <c r="B1452" s="56" t="s">
        <v>295</v>
      </c>
      <c r="C1452" s="56" t="s">
        <v>6626</v>
      </c>
      <c r="D1452" s="56" t="s">
        <v>388</v>
      </c>
      <c r="F1452" s="56" t="s">
        <v>6661</v>
      </c>
      <c r="G1452" s="56">
        <v>223</v>
      </c>
      <c r="H1452" s="56">
        <v>220</v>
      </c>
      <c r="I1452" s="56">
        <v>0.98654708520179368</v>
      </c>
      <c r="K1452" s="56" t="s">
        <v>5612</v>
      </c>
      <c r="L1452" s="56" t="s">
        <v>3325</v>
      </c>
      <c r="O1452">
        <f>_xlfn.XLOOKUP(N1452,'Error-codes'!$C$2:$C$130,'Error-codes'!$B$2:$B$130, "None")</f>
        <v>0</v>
      </c>
      <c r="U1452" s="81">
        <f>DATEVALUE(LEFT(F1452,10))</f>
        <v>44996</v>
      </c>
    </row>
    <row r="1453" spans="1:21">
      <c r="B1453" s="56" t="s">
        <v>3263</v>
      </c>
      <c r="C1453" s="56" t="s">
        <v>6662</v>
      </c>
      <c r="D1453" s="56" t="s">
        <v>388</v>
      </c>
      <c r="F1453" s="56" t="s">
        <v>6663</v>
      </c>
      <c r="G1453" s="56">
        <v>81</v>
      </c>
      <c r="H1453" s="56">
        <v>81</v>
      </c>
      <c r="I1453" s="56">
        <v>1</v>
      </c>
      <c r="K1453" s="56" t="s">
        <v>3268</v>
      </c>
      <c r="L1453" s="56" t="s">
        <v>3269</v>
      </c>
      <c r="O1453">
        <f>_xlfn.XLOOKUP(N1453,'Error-codes'!$C$2:$C$130,'Error-codes'!$B$2:$B$130, "None")</f>
        <v>0</v>
      </c>
      <c r="U1453" s="81">
        <f>DATEVALUE(LEFT(F1453,10))</f>
        <v>44996</v>
      </c>
    </row>
    <row r="1454" spans="1:21">
      <c r="A1454" s="56" t="s">
        <v>6664</v>
      </c>
      <c r="B1454" s="56" t="s">
        <v>29</v>
      </c>
      <c r="C1454" s="56" t="s">
        <v>6665</v>
      </c>
      <c r="D1454" s="56" t="s">
        <v>37</v>
      </c>
      <c r="E1454" s="56" t="s">
        <v>2939</v>
      </c>
      <c r="F1454" s="56" t="s">
        <v>6666</v>
      </c>
      <c r="G1454" s="56">
        <v>211</v>
      </c>
      <c r="H1454" s="56">
        <v>4</v>
      </c>
      <c r="I1454" s="56">
        <v>1.8957345971563982E-2</v>
      </c>
      <c r="J1454" s="56" t="s">
        <v>3357</v>
      </c>
      <c r="K1454" s="56" t="s">
        <v>5593</v>
      </c>
      <c r="L1454" s="56" t="s">
        <v>3325</v>
      </c>
      <c r="M1454" s="56" t="str">
        <f>HYPERLINK("https://dribble.octin.io/?mode=Single+log&amp;log_id=1a1e87ef-8b51-4f9e-90f4-7607eb0d1b44","URL")</f>
        <v>URL</v>
      </c>
      <c r="N1454" s="56" t="s">
        <v>3446</v>
      </c>
      <c r="O1454" t="str">
        <f>_xlfn.XLOOKUP(N1454,'Error-codes'!$C$2:$C$130,'Error-codes'!$B$2:$B$130, "None")</f>
        <v>end of lane wall sensor error</v>
      </c>
      <c r="U1454" s="81">
        <f>DATEVALUE(LEFT(F1454,10))</f>
        <v>44996</v>
      </c>
    </row>
    <row r="1455" spans="1:21">
      <c r="A1455" s="56" t="s">
        <v>6667</v>
      </c>
      <c r="B1455" s="56" t="s">
        <v>29</v>
      </c>
      <c r="C1455" s="56" t="s">
        <v>6665</v>
      </c>
      <c r="D1455" s="56" t="s">
        <v>37</v>
      </c>
      <c r="E1455" s="56" t="s">
        <v>2939</v>
      </c>
      <c r="F1455" s="56" t="s">
        <v>6668</v>
      </c>
      <c r="G1455" s="56">
        <v>211</v>
      </c>
      <c r="H1455" s="56">
        <v>13</v>
      </c>
      <c r="I1455" s="56">
        <v>6.1611374407582936E-2</v>
      </c>
      <c r="J1455" s="56" t="s">
        <v>6669</v>
      </c>
      <c r="K1455" s="56" t="s">
        <v>5593</v>
      </c>
      <c r="L1455" s="56" t="s">
        <v>3325</v>
      </c>
      <c r="M1455" s="56" t="str">
        <f>HYPERLINK("https://dribble.octin.io/?mode=Single+log&amp;log_id=ed1cb445-1154-443c-9e4a-63be831f920e","URL")</f>
        <v>URL</v>
      </c>
      <c r="N1455" s="56" t="s">
        <v>3446</v>
      </c>
      <c r="O1455" t="str">
        <f>_xlfn.XLOOKUP(N1455,'Error-codes'!$C$2:$C$130,'Error-codes'!$B$2:$B$130, "None")</f>
        <v>end of lane wall sensor error</v>
      </c>
      <c r="U1455" s="81">
        <f>DATEVALUE(LEFT(F1455,10))</f>
        <v>44996</v>
      </c>
    </row>
    <row r="1456" spans="1:21">
      <c r="A1456" s="56" t="s">
        <v>6670</v>
      </c>
      <c r="B1456" s="56" t="s">
        <v>29</v>
      </c>
      <c r="C1456" s="56" t="s">
        <v>6665</v>
      </c>
      <c r="D1456" s="56" t="s">
        <v>37</v>
      </c>
      <c r="E1456" s="56" t="s">
        <v>2939</v>
      </c>
      <c r="F1456" s="56" t="s">
        <v>6671</v>
      </c>
      <c r="G1456" s="56">
        <v>211</v>
      </c>
      <c r="H1456" s="56">
        <v>14</v>
      </c>
      <c r="I1456" s="56">
        <v>6.6350710900473939E-2</v>
      </c>
      <c r="J1456" s="56" t="s">
        <v>3361</v>
      </c>
      <c r="K1456" s="56" t="s">
        <v>5593</v>
      </c>
      <c r="L1456" s="56" t="s">
        <v>3325</v>
      </c>
      <c r="M1456" s="56" t="str">
        <f>HYPERLINK("https://dribble.octin.io/?mode=Single+log&amp;log_id=67828b24-15dd-4bb8-9a3a-801ce59f3efa","URL")</f>
        <v>URL</v>
      </c>
      <c r="N1456" s="56" t="s">
        <v>3446</v>
      </c>
      <c r="O1456" t="str">
        <f>_xlfn.XLOOKUP(N1456,'Error-codes'!$C$2:$C$130,'Error-codes'!$B$2:$B$130, "None")</f>
        <v>end of lane wall sensor error</v>
      </c>
      <c r="U1456" s="81">
        <f>DATEVALUE(LEFT(F1456,10))</f>
        <v>44996</v>
      </c>
    </row>
    <row r="1457" spans="1:21">
      <c r="A1457" s="56" t="s">
        <v>6672</v>
      </c>
      <c r="B1457" s="56" t="s">
        <v>29</v>
      </c>
      <c r="C1457" s="56" t="s">
        <v>6665</v>
      </c>
      <c r="D1457" s="56" t="s">
        <v>37</v>
      </c>
      <c r="E1457" s="56" t="s">
        <v>2939</v>
      </c>
      <c r="F1457" s="56" t="s">
        <v>6673</v>
      </c>
      <c r="G1457" s="56">
        <v>211</v>
      </c>
      <c r="H1457" s="56">
        <v>18</v>
      </c>
      <c r="I1457" s="56">
        <v>8.5308056872037921E-2</v>
      </c>
      <c r="J1457" s="56" t="s">
        <v>5285</v>
      </c>
      <c r="K1457" s="56" t="s">
        <v>5593</v>
      </c>
      <c r="L1457" s="56" t="s">
        <v>3325</v>
      </c>
      <c r="M1457" s="56" t="str">
        <f>HYPERLINK("https://dribble.octin.io/?mode=Single+log&amp;log_id=32d559d6-9cb8-46cd-925e-67d16647f052","URL")</f>
        <v>URL</v>
      </c>
      <c r="N1457" s="56" t="s">
        <v>3446</v>
      </c>
      <c r="O1457" t="str">
        <f>_xlfn.XLOOKUP(N1457,'Error-codes'!$C$2:$C$130,'Error-codes'!$B$2:$B$130, "None")</f>
        <v>end of lane wall sensor error</v>
      </c>
      <c r="U1457" s="81">
        <f>DATEVALUE(LEFT(F1457,10))</f>
        <v>44996</v>
      </c>
    </row>
    <row r="1458" spans="1:21">
      <c r="A1458" s="56" t="s">
        <v>6674</v>
      </c>
      <c r="B1458" s="56" t="s">
        <v>29</v>
      </c>
      <c r="C1458" s="56" t="s">
        <v>6665</v>
      </c>
      <c r="D1458" s="56" t="s">
        <v>37</v>
      </c>
      <c r="E1458" s="56" t="s">
        <v>2939</v>
      </c>
      <c r="F1458" s="56" t="s">
        <v>6675</v>
      </c>
      <c r="G1458" s="56">
        <v>211</v>
      </c>
      <c r="H1458" s="56">
        <v>20</v>
      </c>
      <c r="I1458" s="56">
        <v>9.4786729857819899E-2</v>
      </c>
      <c r="J1458" s="56" t="s">
        <v>5228</v>
      </c>
      <c r="K1458" s="56" t="s">
        <v>5593</v>
      </c>
      <c r="L1458" s="56" t="s">
        <v>3325</v>
      </c>
      <c r="M1458" s="56" t="str">
        <f>HYPERLINK("https://dribble.octin.io/?mode=Single+log&amp;log_id=a7c146a5-f470-4f3e-8b2c-1e3744af566e","URL")</f>
        <v>URL</v>
      </c>
      <c r="N1458" s="56" t="s">
        <v>3446</v>
      </c>
      <c r="O1458" t="str">
        <f>_xlfn.XLOOKUP(N1458,'Error-codes'!$C$2:$C$130,'Error-codes'!$B$2:$B$130, "None")</f>
        <v>end of lane wall sensor error</v>
      </c>
      <c r="U1458" s="81">
        <f>DATEVALUE(LEFT(F1458,10))</f>
        <v>44996</v>
      </c>
    </row>
    <row r="1459" spans="1:21">
      <c r="A1459" s="56" t="s">
        <v>6676</v>
      </c>
      <c r="B1459" s="56" t="s">
        <v>29</v>
      </c>
      <c r="C1459" s="56" t="s">
        <v>6665</v>
      </c>
      <c r="D1459" s="56" t="s">
        <v>37</v>
      </c>
      <c r="E1459" s="56" t="s">
        <v>2939</v>
      </c>
      <c r="F1459" s="56" t="s">
        <v>6677</v>
      </c>
      <c r="G1459" s="56">
        <v>211</v>
      </c>
      <c r="H1459" s="56">
        <v>21</v>
      </c>
      <c r="I1459" s="56">
        <v>9.9526066350710901E-2</v>
      </c>
      <c r="J1459" s="56" t="s">
        <v>6678</v>
      </c>
      <c r="K1459" s="56" t="s">
        <v>5593</v>
      </c>
      <c r="L1459" s="56" t="s">
        <v>3325</v>
      </c>
      <c r="M1459" s="56" t="str">
        <f>HYPERLINK("https://dribble.octin.io/?mode=Single+log&amp;log_id=3d527505-73f9-4504-8b1c-4a2e855be28a","URL")</f>
        <v>URL</v>
      </c>
      <c r="N1459" s="56" t="s">
        <v>3446</v>
      </c>
      <c r="O1459" t="str">
        <f>_xlfn.XLOOKUP(N1459,'Error-codes'!$C$2:$C$130,'Error-codes'!$B$2:$B$130, "None")</f>
        <v>end of lane wall sensor error</v>
      </c>
      <c r="U1459" s="81">
        <f>DATEVALUE(LEFT(F1459,10))</f>
        <v>44996</v>
      </c>
    </row>
    <row r="1460" spans="1:21">
      <c r="A1460" s="56" t="s">
        <v>6679</v>
      </c>
      <c r="B1460" s="56" t="s">
        <v>3293</v>
      </c>
      <c r="C1460" s="56" t="s">
        <v>6680</v>
      </c>
      <c r="D1460" s="56" t="s">
        <v>37</v>
      </c>
      <c r="E1460" s="56" t="s">
        <v>3253</v>
      </c>
      <c r="F1460" s="56" t="s">
        <v>6681</v>
      </c>
      <c r="G1460" s="56">
        <v>11</v>
      </c>
      <c r="H1460" s="56">
        <v>10</v>
      </c>
      <c r="I1460" s="56">
        <v>0.90909090909090906</v>
      </c>
      <c r="J1460" s="56" t="s">
        <v>5252</v>
      </c>
      <c r="K1460" s="56" t="s">
        <v>3207</v>
      </c>
      <c r="L1460" s="56" t="s">
        <v>6110</v>
      </c>
      <c r="M1460" s="56" t="str">
        <f>HYPERLINK("https://dribble.octin.io/?mode=Single+log&amp;log_id=23b42de9-139d-4beb-bfda-4dc21398ded3","URL")</f>
        <v>URL</v>
      </c>
      <c r="N1460" s="56" t="s">
        <v>3454</v>
      </c>
      <c r="O1460" t="str">
        <f>_xlfn.XLOOKUP(N1460,'Error-codes'!$C$2:$C$130,'Error-codes'!$B$2:$B$130, "None")</f>
        <v>Veh low level FSM: safety was triggered</v>
      </c>
      <c r="U1460" s="81">
        <f>DATEVALUE(LEFT(F1460,10))</f>
        <v>44996</v>
      </c>
    </row>
    <row r="1461" spans="1:21">
      <c r="A1461" s="56" t="s">
        <v>6682</v>
      </c>
      <c r="B1461" s="56" t="s">
        <v>29</v>
      </c>
      <c r="C1461" s="56" t="s">
        <v>6665</v>
      </c>
      <c r="D1461" s="56" t="s">
        <v>37</v>
      </c>
      <c r="E1461" s="56" t="s">
        <v>2939</v>
      </c>
      <c r="F1461" s="56" t="s">
        <v>6683</v>
      </c>
      <c r="G1461" s="56">
        <v>211</v>
      </c>
      <c r="H1461" s="56">
        <v>48</v>
      </c>
      <c r="I1461" s="56">
        <v>0.22748815165876776</v>
      </c>
      <c r="J1461" s="56" t="s">
        <v>6684</v>
      </c>
      <c r="K1461" s="56" t="s">
        <v>5593</v>
      </c>
      <c r="L1461" s="56" t="s">
        <v>3325</v>
      </c>
      <c r="M1461" s="56" t="str">
        <f>HYPERLINK("https://dribble.octin.io/?mode=Single+log&amp;log_id=ac5b0bea-63ce-4635-85f9-ef3b9a61537f","URL")</f>
        <v>URL</v>
      </c>
      <c r="N1461" s="56" t="s">
        <v>3446</v>
      </c>
      <c r="O1461" t="str">
        <f>_xlfn.XLOOKUP(N1461,'Error-codes'!$C$2:$C$130,'Error-codes'!$B$2:$B$130, "None")</f>
        <v>end of lane wall sensor error</v>
      </c>
      <c r="U1461" s="81">
        <f>DATEVALUE(LEFT(F1461,10))</f>
        <v>44996</v>
      </c>
    </row>
    <row r="1462" spans="1:21">
      <c r="A1462" s="56" t="s">
        <v>6685</v>
      </c>
      <c r="B1462" s="56" t="s">
        <v>29</v>
      </c>
      <c r="C1462" s="56" t="s">
        <v>6665</v>
      </c>
      <c r="D1462" s="56" t="s">
        <v>37</v>
      </c>
      <c r="E1462" s="56" t="s">
        <v>2939</v>
      </c>
      <c r="F1462" s="56" t="s">
        <v>6686</v>
      </c>
      <c r="G1462" s="56">
        <v>211</v>
      </c>
      <c r="H1462" s="56">
        <v>55</v>
      </c>
      <c r="I1462" s="56">
        <v>0.26066350710900477</v>
      </c>
      <c r="J1462" s="56" t="s">
        <v>5771</v>
      </c>
      <c r="K1462" s="56" t="s">
        <v>5593</v>
      </c>
      <c r="L1462" s="56" t="s">
        <v>3325</v>
      </c>
      <c r="M1462" s="56" t="str">
        <f>HYPERLINK("https://dribble.octin.io/?mode=Single+log&amp;log_id=d8268a1c-39b6-48bd-8d69-b9b95c7ddb98","URL")</f>
        <v>URL</v>
      </c>
      <c r="N1462" s="56" t="s">
        <v>3446</v>
      </c>
      <c r="O1462" t="str">
        <f>_xlfn.XLOOKUP(N1462,'Error-codes'!$C$2:$C$130,'Error-codes'!$B$2:$B$130, "None")</f>
        <v>end of lane wall sensor error</v>
      </c>
      <c r="U1462" s="81">
        <f>DATEVALUE(LEFT(F1462,10))</f>
        <v>44996</v>
      </c>
    </row>
    <row r="1463" spans="1:21">
      <c r="A1463" s="56" t="s">
        <v>6687</v>
      </c>
      <c r="B1463" s="56" t="s">
        <v>29</v>
      </c>
      <c r="C1463" s="56" t="s">
        <v>6665</v>
      </c>
      <c r="D1463" s="56" t="s">
        <v>37</v>
      </c>
      <c r="E1463" s="56" t="s">
        <v>2939</v>
      </c>
      <c r="F1463" s="56" t="s">
        <v>6688</v>
      </c>
      <c r="G1463" s="56">
        <v>211</v>
      </c>
      <c r="H1463" s="56">
        <v>62</v>
      </c>
      <c r="I1463" s="56">
        <v>0.29383886255924169</v>
      </c>
      <c r="J1463" s="56" t="s">
        <v>6513</v>
      </c>
      <c r="K1463" s="56" t="s">
        <v>5593</v>
      </c>
      <c r="L1463" s="56" t="s">
        <v>3325</v>
      </c>
      <c r="M1463" s="56" t="str">
        <f>HYPERLINK("https://dribble.octin.io/?mode=Single+log&amp;log_id=5de36005-92cf-4731-b25b-fd8e1deed9e8","URL")</f>
        <v>URL</v>
      </c>
      <c r="N1463" s="56" t="s">
        <v>3446</v>
      </c>
      <c r="O1463" t="str">
        <f>_xlfn.XLOOKUP(N1463,'Error-codes'!$C$2:$C$130,'Error-codes'!$B$2:$B$130, "None")</f>
        <v>end of lane wall sensor error</v>
      </c>
      <c r="U1463" s="81">
        <f>DATEVALUE(LEFT(F1463,10))</f>
        <v>44996</v>
      </c>
    </row>
    <row r="1464" spans="1:21">
      <c r="A1464" s="56" t="s">
        <v>6689</v>
      </c>
      <c r="B1464" s="56" t="s">
        <v>29</v>
      </c>
      <c r="C1464" s="56" t="s">
        <v>6665</v>
      </c>
      <c r="D1464" s="56" t="s">
        <v>37</v>
      </c>
      <c r="E1464" s="56" t="s">
        <v>2939</v>
      </c>
      <c r="F1464" s="56" t="s">
        <v>6690</v>
      </c>
      <c r="G1464" s="56">
        <v>211</v>
      </c>
      <c r="H1464" s="56">
        <v>68</v>
      </c>
      <c r="I1464" s="56">
        <v>0.32227488151658767</v>
      </c>
      <c r="J1464" s="56" t="s">
        <v>6691</v>
      </c>
      <c r="K1464" s="56" t="s">
        <v>5593</v>
      </c>
      <c r="L1464" s="56" t="s">
        <v>3325</v>
      </c>
      <c r="M1464" s="56" t="str">
        <f>HYPERLINK("https://dribble.octin.io/?mode=Single+log&amp;log_id=625343e5-0a0e-4390-985f-41398202f1ce","URL")</f>
        <v>URL</v>
      </c>
      <c r="N1464" s="56" t="s">
        <v>2933</v>
      </c>
      <c r="O1464" t="str">
        <f>_xlfn.XLOOKUP(N1464,'Error-codes'!$C$2:$C$130,'Error-codes'!$B$2:$B$130, "None")</f>
        <v>inductive sensor error</v>
      </c>
      <c r="R1464" t="s">
        <v>2901</v>
      </c>
      <c r="U1464" s="81">
        <f>DATEVALUE(LEFT(F1464,10))</f>
        <v>44996</v>
      </c>
    </row>
    <row r="1465" spans="1:21">
      <c r="A1465" s="56" t="s">
        <v>6692</v>
      </c>
      <c r="B1465" s="56" t="s">
        <v>29</v>
      </c>
      <c r="C1465" s="56" t="s">
        <v>6665</v>
      </c>
      <c r="D1465" s="56" t="s">
        <v>37</v>
      </c>
      <c r="E1465" s="56" t="s">
        <v>2939</v>
      </c>
      <c r="F1465" s="56" t="s">
        <v>6693</v>
      </c>
      <c r="G1465" s="56">
        <v>211</v>
      </c>
      <c r="H1465" s="56">
        <v>90</v>
      </c>
      <c r="I1465" s="56">
        <v>0.42654028436018959</v>
      </c>
      <c r="J1465" s="56" t="s">
        <v>5818</v>
      </c>
      <c r="K1465" s="56" t="s">
        <v>5593</v>
      </c>
      <c r="L1465" s="56" t="s">
        <v>3325</v>
      </c>
      <c r="M1465" s="56" t="str">
        <f>HYPERLINK("https://dribble.octin.io/?mode=Single+log&amp;log_id=d1069129-de98-4782-a7a4-eee33c99d6b0","URL")</f>
        <v>URL</v>
      </c>
      <c r="N1465" s="56" t="s">
        <v>3446</v>
      </c>
      <c r="O1465" t="str">
        <f>_xlfn.XLOOKUP(N1465,'Error-codes'!$C$2:$C$130,'Error-codes'!$B$2:$B$130, "None")</f>
        <v>end of lane wall sensor error</v>
      </c>
      <c r="U1465" s="81">
        <f>DATEVALUE(LEFT(F1465,10))</f>
        <v>44996</v>
      </c>
    </row>
    <row r="1466" spans="1:21">
      <c r="A1466" s="56" t="s">
        <v>6694</v>
      </c>
      <c r="B1466" s="56" t="s">
        <v>29</v>
      </c>
      <c r="C1466" s="56" t="s">
        <v>6665</v>
      </c>
      <c r="D1466" s="56" t="s">
        <v>37</v>
      </c>
      <c r="E1466" s="56" t="s">
        <v>2939</v>
      </c>
      <c r="F1466" s="56" t="s">
        <v>6695</v>
      </c>
      <c r="G1466" s="56">
        <v>211</v>
      </c>
      <c r="H1466" s="56">
        <v>114</v>
      </c>
      <c r="I1466" s="56">
        <v>0.54028436018957349</v>
      </c>
      <c r="J1466" s="56" t="s">
        <v>6696</v>
      </c>
      <c r="K1466" s="56" t="s">
        <v>5593</v>
      </c>
      <c r="L1466" s="56" t="s">
        <v>3325</v>
      </c>
      <c r="M1466" s="56" t="str">
        <f>HYPERLINK("https://dribble.octin.io/?mode=Single+log&amp;log_id=122d403f-6e3d-4bbe-b38d-14c20a24ac49","URL")</f>
        <v>URL</v>
      </c>
      <c r="N1466" s="56" t="s">
        <v>3472</v>
      </c>
      <c r="O1466" t="str">
        <f>_xlfn.XLOOKUP(N1466,'Error-codes'!$C$2:$C$130,'Error-codes'!$B$2:$B$130, "None")</f>
        <v>Excessive slip detected</v>
      </c>
      <c r="U1466" s="81">
        <f>DATEVALUE(LEFT(F1466,10))</f>
        <v>44997</v>
      </c>
    </row>
    <row r="1467" spans="1:21">
      <c r="A1467" s="56" t="s">
        <v>6697</v>
      </c>
      <c r="B1467" s="56" t="s">
        <v>29</v>
      </c>
      <c r="C1467" s="56" t="s">
        <v>6665</v>
      </c>
      <c r="D1467" s="56" t="s">
        <v>37</v>
      </c>
      <c r="E1467" s="56" t="s">
        <v>2939</v>
      </c>
      <c r="F1467" s="56" t="s">
        <v>6698</v>
      </c>
      <c r="G1467" s="56">
        <v>211</v>
      </c>
      <c r="H1467" s="56">
        <v>126</v>
      </c>
      <c r="I1467" s="56">
        <v>0.59715639810426535</v>
      </c>
      <c r="J1467" s="56" t="s">
        <v>6699</v>
      </c>
      <c r="K1467" s="56" t="s">
        <v>5593</v>
      </c>
      <c r="L1467" s="56" t="s">
        <v>3325</v>
      </c>
      <c r="M1467" s="56" t="str">
        <f>HYPERLINK("https://dribble.octin.io/?mode=Single+log&amp;log_id=40795df2-ed55-4936-a1ea-8dc67ed1457b","URL")</f>
        <v>URL</v>
      </c>
      <c r="N1467" s="56" t="s">
        <v>2933</v>
      </c>
      <c r="O1467" t="str">
        <f>_xlfn.XLOOKUP(N1467,'Error-codes'!$C$2:$C$130,'Error-codes'!$B$2:$B$130, "None")</f>
        <v>inductive sensor error</v>
      </c>
      <c r="R1467" t="s">
        <v>2901</v>
      </c>
      <c r="U1467" s="81">
        <f>DATEVALUE(LEFT(F1467,10))</f>
        <v>44997</v>
      </c>
    </row>
    <row r="1468" spans="1:21">
      <c r="B1468" s="56" t="s">
        <v>5394</v>
      </c>
      <c r="C1468" s="56" t="s">
        <v>6700</v>
      </c>
      <c r="D1468" s="56" t="s">
        <v>388</v>
      </c>
      <c r="F1468" s="56" t="s">
        <v>6701</v>
      </c>
      <c r="G1468" s="56">
        <v>120</v>
      </c>
      <c r="H1468" s="56">
        <v>120</v>
      </c>
      <c r="I1468" s="56">
        <v>1</v>
      </c>
      <c r="K1468" s="56" t="s">
        <v>1893</v>
      </c>
      <c r="L1468" s="56" t="s">
        <v>6059</v>
      </c>
      <c r="O1468">
        <f>_xlfn.XLOOKUP(N1468,'Error-codes'!$C$2:$C$130,'Error-codes'!$B$2:$B$130, "None")</f>
        <v>0</v>
      </c>
      <c r="U1468" s="81">
        <f>DATEVALUE(LEFT(F1468,10))</f>
        <v>44997</v>
      </c>
    </row>
    <row r="1469" spans="1:21">
      <c r="A1469" s="56" t="s">
        <v>6702</v>
      </c>
      <c r="B1469" s="56" t="s">
        <v>295</v>
      </c>
      <c r="C1469" s="56" t="s">
        <v>6703</v>
      </c>
      <c r="D1469" s="56" t="s">
        <v>37</v>
      </c>
      <c r="E1469" s="56" t="s">
        <v>3253</v>
      </c>
      <c r="F1469" s="56" t="s">
        <v>6704</v>
      </c>
      <c r="G1469" s="56">
        <v>155</v>
      </c>
      <c r="H1469" s="56">
        <v>153</v>
      </c>
      <c r="I1469" s="56">
        <v>0.98709677419354835</v>
      </c>
      <c r="J1469" s="56" t="s">
        <v>5343</v>
      </c>
      <c r="K1469" s="56" t="s">
        <v>5593</v>
      </c>
      <c r="L1469" s="56" t="s">
        <v>3358</v>
      </c>
      <c r="M1469" s="56" t="str">
        <f>HYPERLINK("https://dribble.octin.io/?mode=Single+log&amp;log_id=80fbca26-2975-4e61-bb44-2e29c29e595b","URL")</f>
        <v>URL</v>
      </c>
      <c r="N1469" s="56" t="s">
        <v>3454</v>
      </c>
      <c r="O1469" t="str">
        <f>_xlfn.XLOOKUP(N1469,'Error-codes'!$C$2:$C$130,'Error-codes'!$B$2:$B$130, "None")</f>
        <v>Veh low level FSM: safety was triggered</v>
      </c>
      <c r="U1469" s="81">
        <f>DATEVALUE(LEFT(F1469,10))</f>
        <v>44997</v>
      </c>
    </row>
    <row r="1470" spans="1:21">
      <c r="A1470" s="56" t="s">
        <v>6705</v>
      </c>
      <c r="B1470" s="56" t="s">
        <v>29</v>
      </c>
      <c r="C1470" s="56" t="s">
        <v>6665</v>
      </c>
      <c r="D1470" s="56" t="s">
        <v>37</v>
      </c>
      <c r="E1470" s="56" t="s">
        <v>2939</v>
      </c>
      <c r="F1470" s="56" t="s">
        <v>6706</v>
      </c>
      <c r="G1470" s="56">
        <v>211</v>
      </c>
      <c r="H1470" s="56">
        <v>161</v>
      </c>
      <c r="I1470" s="56">
        <v>0.76303317535545023</v>
      </c>
      <c r="J1470" s="56" t="s">
        <v>6707</v>
      </c>
      <c r="K1470" s="56" t="s">
        <v>5593</v>
      </c>
      <c r="L1470" s="56" t="s">
        <v>3325</v>
      </c>
      <c r="M1470" s="56" t="str">
        <f>HYPERLINK("https://dribble.octin.io/?mode=Single+log&amp;log_id=dc1b7831-5e3b-4c0b-9adf-9d764ea93c1c","URL")</f>
        <v>URL</v>
      </c>
      <c r="N1470" s="56" t="s">
        <v>3446</v>
      </c>
      <c r="O1470" t="str">
        <f>_xlfn.XLOOKUP(N1470,'Error-codes'!$C$2:$C$130,'Error-codes'!$B$2:$B$130, "None")</f>
        <v>end of lane wall sensor error</v>
      </c>
      <c r="U1470" s="81">
        <f>DATEVALUE(LEFT(F1470,10))</f>
        <v>44997</v>
      </c>
    </row>
    <row r="1471" spans="1:21">
      <c r="A1471" s="56" t="s">
        <v>6708</v>
      </c>
      <c r="B1471" s="56" t="s">
        <v>29</v>
      </c>
      <c r="C1471" s="56" t="s">
        <v>6665</v>
      </c>
      <c r="D1471" s="56" t="s">
        <v>37</v>
      </c>
      <c r="E1471" s="56" t="s">
        <v>3288</v>
      </c>
      <c r="F1471" s="56" t="s">
        <v>6709</v>
      </c>
      <c r="G1471" s="56">
        <v>211</v>
      </c>
      <c r="H1471" s="56">
        <v>209</v>
      </c>
      <c r="I1471" s="56">
        <v>0.99052132701421802</v>
      </c>
      <c r="J1471" s="56" t="s">
        <v>6710</v>
      </c>
      <c r="K1471" s="56" t="s">
        <v>5593</v>
      </c>
      <c r="L1471" s="56" t="s">
        <v>3325</v>
      </c>
      <c r="M1471" s="56" t="str">
        <f>HYPERLINK("https://dribble.octin.io/?mode=Single+log&amp;log_id=4a20f7d6-7637-461f-8adf-a82bd75e4ac3","URL")</f>
        <v>URL</v>
      </c>
      <c r="N1471" s="56" t="s">
        <v>2933</v>
      </c>
      <c r="O1471" t="str">
        <f>_xlfn.XLOOKUP(N1471,'Error-codes'!$C$2:$C$130,'Error-codes'!$B$2:$B$130, "None")</f>
        <v>inductive sensor error</v>
      </c>
      <c r="Q1471" t="s">
        <v>6711</v>
      </c>
      <c r="R1471" t="s">
        <v>2901</v>
      </c>
      <c r="U1471" s="81">
        <f>DATEVALUE(LEFT(F1471,10))</f>
        <v>44997</v>
      </c>
    </row>
    <row r="1472" spans="1:21">
      <c r="A1472" s="56" t="s">
        <v>6712</v>
      </c>
      <c r="B1472" s="56" t="s">
        <v>29</v>
      </c>
      <c r="C1472" s="56" t="s">
        <v>6713</v>
      </c>
      <c r="D1472" s="56" t="s">
        <v>37</v>
      </c>
      <c r="E1472" s="56" t="s">
        <v>2939</v>
      </c>
      <c r="F1472" s="56" t="s">
        <v>6714</v>
      </c>
      <c r="G1472" s="56">
        <v>224</v>
      </c>
      <c r="H1472" s="56">
        <v>7</v>
      </c>
      <c r="I1472" s="56">
        <v>3.125E-2</v>
      </c>
      <c r="J1472" s="56" t="s">
        <v>5782</v>
      </c>
      <c r="K1472" s="56" t="s">
        <v>5612</v>
      </c>
      <c r="L1472" s="56" t="s">
        <v>3325</v>
      </c>
      <c r="M1472" s="56" t="str">
        <f>HYPERLINK("https://dribble.octin.io/?mode=Single+log&amp;log_id=f60d0ada-c26f-41bf-a572-c8658c9f7e21","URL")</f>
        <v>URL</v>
      </c>
      <c r="N1472" s="56" t="s">
        <v>3446</v>
      </c>
      <c r="O1472" t="str">
        <f>_xlfn.XLOOKUP(N1472,'Error-codes'!$C$2:$C$130,'Error-codes'!$B$2:$B$130, "None")</f>
        <v>end of lane wall sensor error</v>
      </c>
      <c r="U1472" s="81">
        <f>DATEVALUE(LEFT(F1472,10))</f>
        <v>44997</v>
      </c>
    </row>
    <row r="1473" spans="1:21">
      <c r="A1473" s="56" t="s">
        <v>6715</v>
      </c>
      <c r="B1473" s="56" t="s">
        <v>29</v>
      </c>
      <c r="C1473" s="56" t="s">
        <v>6713</v>
      </c>
      <c r="D1473" s="56" t="s">
        <v>37</v>
      </c>
      <c r="E1473" s="56" t="s">
        <v>2939</v>
      </c>
      <c r="F1473" s="56" t="s">
        <v>6716</v>
      </c>
      <c r="G1473" s="56">
        <v>224</v>
      </c>
      <c r="H1473" s="56">
        <v>35</v>
      </c>
      <c r="I1473" s="56">
        <v>0.15625</v>
      </c>
      <c r="J1473" s="56" t="s">
        <v>6239</v>
      </c>
      <c r="K1473" s="56" t="s">
        <v>5612</v>
      </c>
      <c r="L1473" s="56" t="s">
        <v>3325</v>
      </c>
      <c r="M1473" s="56" t="str">
        <f>HYPERLINK("https://dribble.octin.io/?mode=Single+log&amp;log_id=c198357e-42d8-48f9-8937-b4f6727c503c","URL")</f>
        <v>URL</v>
      </c>
      <c r="N1473" s="56" t="s">
        <v>2933</v>
      </c>
      <c r="O1473" t="str">
        <f>_xlfn.XLOOKUP(N1473,'Error-codes'!$C$2:$C$130,'Error-codes'!$B$2:$B$130, "None")</f>
        <v>inductive sensor error</v>
      </c>
      <c r="R1473" t="s">
        <v>2901</v>
      </c>
      <c r="U1473" s="81">
        <f>DATEVALUE(LEFT(F1473,10))</f>
        <v>44997</v>
      </c>
    </row>
    <row r="1474" spans="1:21">
      <c r="A1474" s="56"/>
      <c r="B1474" s="56" t="s">
        <v>5394</v>
      </c>
      <c r="C1474" s="56" t="s">
        <v>6717</v>
      </c>
      <c r="D1474" s="56" t="s">
        <v>37</v>
      </c>
      <c r="E1474" s="56" t="s">
        <v>2939</v>
      </c>
      <c r="F1474" s="56" t="s">
        <v>6718</v>
      </c>
      <c r="G1474" s="56">
        <v>120</v>
      </c>
      <c r="H1474" s="56">
        <v>24</v>
      </c>
      <c r="I1474" s="56">
        <v>0.2</v>
      </c>
      <c r="J1474" s="56" t="s">
        <v>6719</v>
      </c>
      <c r="K1474" s="56" t="s">
        <v>1873</v>
      </c>
      <c r="L1474" s="56" t="s">
        <v>6059</v>
      </c>
      <c r="N1474" s="56" t="s">
        <v>2933</v>
      </c>
      <c r="O1474" t="str">
        <f>_xlfn.XLOOKUP(N1474,'Error-codes'!$C$2:$C$130,'Error-codes'!$B$2:$B$130, "None")</f>
        <v>inductive sensor error</v>
      </c>
      <c r="U1474" s="81">
        <f>DATEVALUE(LEFT(F1474,10))</f>
        <v>44997</v>
      </c>
    </row>
    <row r="1475" spans="1:21">
      <c r="A1475" s="56"/>
      <c r="B1475" s="56" t="s">
        <v>228</v>
      </c>
      <c r="C1475" s="56" t="s">
        <v>6720</v>
      </c>
      <c r="D1475" s="56" t="s">
        <v>37</v>
      </c>
      <c r="E1475" s="56" t="s">
        <v>2939</v>
      </c>
      <c r="F1475" s="56" t="s">
        <v>6721</v>
      </c>
      <c r="G1475" s="56">
        <v>205</v>
      </c>
      <c r="H1475" s="56">
        <v>35</v>
      </c>
      <c r="I1475" s="56">
        <v>0.17073170731707318</v>
      </c>
      <c r="J1475" s="56" t="s">
        <v>6722</v>
      </c>
      <c r="K1475" s="56" t="s">
        <v>6583</v>
      </c>
      <c r="L1475" s="56" t="s">
        <v>2932</v>
      </c>
      <c r="N1475" s="56" t="s">
        <v>2933</v>
      </c>
      <c r="O1475" t="str">
        <f>_xlfn.XLOOKUP(N1475,'Error-codes'!$C$2:$C$130,'Error-codes'!$B$2:$B$130, "None")</f>
        <v>inductive sensor error</v>
      </c>
      <c r="U1475" s="81">
        <f>DATEVALUE(LEFT(F1475,10))</f>
        <v>44997</v>
      </c>
    </row>
    <row r="1476" spans="1:21">
      <c r="A1476" s="56"/>
      <c r="B1476" s="56" t="s">
        <v>228</v>
      </c>
      <c r="C1476" s="56" t="s">
        <v>6720</v>
      </c>
      <c r="D1476" s="56" t="s">
        <v>37</v>
      </c>
      <c r="E1476" s="56" t="s">
        <v>2939</v>
      </c>
      <c r="F1476" s="56" t="s">
        <v>6723</v>
      </c>
      <c r="G1476" s="56">
        <v>205</v>
      </c>
      <c r="H1476" s="56">
        <v>66</v>
      </c>
      <c r="I1476" s="56">
        <v>0.32195121951219513</v>
      </c>
      <c r="J1476" s="56" t="s">
        <v>6724</v>
      </c>
      <c r="K1476" s="56" t="s">
        <v>6583</v>
      </c>
      <c r="L1476" s="56" t="s">
        <v>2932</v>
      </c>
      <c r="N1476" s="56" t="s">
        <v>2933</v>
      </c>
      <c r="O1476" t="str">
        <f>_xlfn.XLOOKUP(N1476,'Error-codes'!$C$2:$C$130,'Error-codes'!$B$2:$B$130, "None")</f>
        <v>inductive sensor error</v>
      </c>
      <c r="U1476" s="81">
        <f>DATEVALUE(LEFT(F1476,10))</f>
        <v>44997</v>
      </c>
    </row>
    <row r="1477" spans="1:21">
      <c r="A1477" s="56"/>
      <c r="B1477" s="56" t="s">
        <v>228</v>
      </c>
      <c r="C1477" s="56" t="s">
        <v>6720</v>
      </c>
      <c r="D1477" s="56" t="s">
        <v>37</v>
      </c>
      <c r="E1477" s="56" t="s">
        <v>2939</v>
      </c>
      <c r="F1477" s="56" t="s">
        <v>6725</v>
      </c>
      <c r="G1477" s="56">
        <v>205</v>
      </c>
      <c r="H1477" s="56">
        <v>73</v>
      </c>
      <c r="I1477" s="56">
        <v>0.35609756097560974</v>
      </c>
      <c r="J1477" s="56" t="s">
        <v>6726</v>
      </c>
      <c r="K1477" s="56" t="s">
        <v>6583</v>
      </c>
      <c r="L1477" s="56" t="s">
        <v>2932</v>
      </c>
      <c r="N1477" s="56" t="s">
        <v>2933</v>
      </c>
      <c r="O1477" t="str">
        <f>_xlfn.XLOOKUP(N1477,'Error-codes'!$C$2:$C$130,'Error-codes'!$B$2:$B$130, "None")</f>
        <v>inductive sensor error</v>
      </c>
      <c r="U1477" s="81">
        <f>DATEVALUE(LEFT(F1477,10))</f>
        <v>44997</v>
      </c>
    </row>
    <row r="1478" spans="1:21">
      <c r="A1478" s="56"/>
      <c r="B1478" s="56" t="s">
        <v>228</v>
      </c>
      <c r="C1478" s="56" t="s">
        <v>6720</v>
      </c>
      <c r="D1478" s="56" t="s">
        <v>37</v>
      </c>
      <c r="E1478" s="56" t="s">
        <v>5174</v>
      </c>
      <c r="F1478" s="56" t="s">
        <v>6727</v>
      </c>
      <c r="G1478" s="56">
        <v>205</v>
      </c>
      <c r="H1478" s="56">
        <v>80</v>
      </c>
      <c r="I1478" s="56">
        <v>0.3902439024390244</v>
      </c>
      <c r="J1478" s="56" t="s">
        <v>3122</v>
      </c>
      <c r="K1478" s="56" t="s">
        <v>6583</v>
      </c>
      <c r="L1478" s="56" t="s">
        <v>2932</v>
      </c>
      <c r="N1478" s="56" t="s">
        <v>3426</v>
      </c>
      <c r="O1478" t="str">
        <f>_xlfn.XLOOKUP(N1478,'Error-codes'!$C$2:$C$130,'Error-codes'!$B$2:$B$130, "None")</f>
        <v>low level fsm is no longer executing the given command</v>
      </c>
      <c r="U1478" s="81">
        <f>DATEVALUE(LEFT(F1478,10))</f>
        <v>44997</v>
      </c>
    </row>
    <row r="1479" spans="1:21">
      <c r="A1479" s="56" t="s">
        <v>6728</v>
      </c>
      <c r="B1479" s="56" t="s">
        <v>29</v>
      </c>
      <c r="C1479" s="56" t="s">
        <v>6713</v>
      </c>
      <c r="D1479" s="56" t="s">
        <v>37</v>
      </c>
      <c r="E1479" s="56" t="s">
        <v>2939</v>
      </c>
      <c r="F1479" s="56" t="s">
        <v>6729</v>
      </c>
      <c r="G1479" s="56">
        <v>224</v>
      </c>
      <c r="H1479" s="56">
        <v>105</v>
      </c>
      <c r="I1479" s="56">
        <v>0.46875</v>
      </c>
      <c r="J1479" s="56" t="s">
        <v>6247</v>
      </c>
      <c r="K1479" s="56" t="s">
        <v>5612</v>
      </c>
      <c r="L1479" s="56" t="s">
        <v>3325</v>
      </c>
      <c r="M1479" s="56" t="str">
        <f>HYPERLINK("https://dribble.octin.io/?mode=Single+log&amp;log_id=dc7cd09f-e731-4955-bf58-412b9cdb9aad","URL")</f>
        <v>URL</v>
      </c>
      <c r="N1479" s="56" t="s">
        <v>2933</v>
      </c>
      <c r="O1479" t="str">
        <f>_xlfn.XLOOKUP(N1479,'Error-codes'!$C$2:$C$130,'Error-codes'!$B$2:$B$130, "None")</f>
        <v>inductive sensor error</v>
      </c>
      <c r="R1479" t="s">
        <v>2901</v>
      </c>
      <c r="U1479" s="81">
        <f>DATEVALUE(LEFT(F1479,10))</f>
        <v>44997</v>
      </c>
    </row>
    <row r="1480" spans="1:21">
      <c r="A1480" s="56"/>
      <c r="B1480" s="56" t="s">
        <v>5394</v>
      </c>
      <c r="C1480" s="56" t="s">
        <v>6717</v>
      </c>
      <c r="D1480" s="56" t="s">
        <v>37</v>
      </c>
      <c r="E1480" s="56" t="s">
        <v>4398</v>
      </c>
      <c r="F1480" s="56" t="s">
        <v>6730</v>
      </c>
      <c r="G1480" s="56">
        <v>120</v>
      </c>
      <c r="H1480" s="56">
        <v>95</v>
      </c>
      <c r="I1480" s="56">
        <v>0.79166666666666663</v>
      </c>
      <c r="J1480" s="56" t="s">
        <v>6731</v>
      </c>
      <c r="K1480" s="56" t="s">
        <v>1873</v>
      </c>
      <c r="L1480" s="56" t="s">
        <v>6059</v>
      </c>
      <c r="N1480" s="56" t="s">
        <v>3466</v>
      </c>
      <c r="O1480" t="str">
        <f>_xlfn.XLOOKUP(N1480,'Error-codes'!$C$2:$C$130,'Error-codes'!$B$2:$B$130, "None")</f>
        <v>vision error</v>
      </c>
      <c r="U1480" s="81">
        <f>DATEVALUE(LEFT(F1480,10))</f>
        <v>44998</v>
      </c>
    </row>
    <row r="1481" spans="1:21">
      <c r="A1481" s="56" t="s">
        <v>6732</v>
      </c>
      <c r="B1481" s="56" t="s">
        <v>29</v>
      </c>
      <c r="C1481" s="56" t="s">
        <v>6713</v>
      </c>
      <c r="D1481" s="56" t="s">
        <v>37</v>
      </c>
      <c r="E1481" s="56" t="s">
        <v>5226</v>
      </c>
      <c r="F1481" s="56" t="s">
        <v>6733</v>
      </c>
      <c r="G1481" s="56">
        <v>224</v>
      </c>
      <c r="H1481" s="56">
        <v>137</v>
      </c>
      <c r="I1481" s="56">
        <v>0.6116071428571429</v>
      </c>
      <c r="J1481" s="56" t="s">
        <v>6734</v>
      </c>
      <c r="K1481" s="56" t="s">
        <v>5612</v>
      </c>
      <c r="L1481" s="56" t="s">
        <v>3325</v>
      </c>
      <c r="M1481" s="56" t="str">
        <f>HYPERLINK("https://dribble.octin.io/?mode=Single+log&amp;log_id=76e8f883-cd7e-46bd-b047-94b4b7226b39","URL")</f>
        <v>URL</v>
      </c>
      <c r="N1481" s="56" t="s">
        <v>3456</v>
      </c>
      <c r="O1481" t="str">
        <f>_xlfn.XLOOKUP(N1481,'Error-codes'!$C$2:$C$130,'Error-codes'!$B$2:$B$130, "None")</f>
        <v>motor drive: OVER VOLTAGE</v>
      </c>
      <c r="U1481" s="81">
        <f>DATEVALUE(LEFT(F1481,10))</f>
        <v>44998</v>
      </c>
    </row>
    <row r="1482" spans="1:21">
      <c r="A1482" s="56" t="s">
        <v>6735</v>
      </c>
      <c r="B1482" s="56" t="s">
        <v>3293</v>
      </c>
      <c r="C1482" s="56" t="s">
        <v>6736</v>
      </c>
      <c r="D1482" s="56" t="s">
        <v>37</v>
      </c>
      <c r="E1482" s="56" t="s">
        <v>4253</v>
      </c>
      <c r="F1482" s="56" t="s">
        <v>6737</v>
      </c>
      <c r="G1482" s="56">
        <v>10</v>
      </c>
      <c r="H1482" s="56">
        <v>1</v>
      </c>
      <c r="I1482" s="56">
        <v>0.1</v>
      </c>
      <c r="J1482" s="56" t="s">
        <v>6102</v>
      </c>
      <c r="K1482" s="56" t="s">
        <v>3207</v>
      </c>
      <c r="L1482" s="56" t="s">
        <v>6099</v>
      </c>
      <c r="M1482" s="56" t="str">
        <f>HYPERLINK("https://dribble.octin.io/?mode=Single+log&amp;log_id=a01ea91d-8606-417a-9771-1e1a60f086d8","URL")</f>
        <v>URL</v>
      </c>
      <c r="N1482" s="56" t="s">
        <v>3460</v>
      </c>
      <c r="O1482" t="str">
        <f>_xlfn.XLOOKUP(N1482,'Error-codes'!$C$2:$C$130,'Error-codes'!$B$2:$B$130, "None")</f>
        <v>motor drive: DRV8353 FAULT</v>
      </c>
      <c r="U1482" s="81">
        <f>DATEVALUE(LEFT(F1482,10))</f>
        <v>44998</v>
      </c>
    </row>
    <row r="1483" spans="1:21">
      <c r="B1483" s="56" t="s">
        <v>3293</v>
      </c>
      <c r="C1483" s="56" t="s">
        <v>6738</v>
      </c>
      <c r="D1483" s="56" t="s">
        <v>22</v>
      </c>
      <c r="F1483" s="56" t="s">
        <v>6739</v>
      </c>
      <c r="G1483" s="56">
        <v>10</v>
      </c>
      <c r="H1483" s="56">
        <v>0</v>
      </c>
      <c r="I1483" s="56">
        <v>0</v>
      </c>
      <c r="K1483" s="56" t="s">
        <v>3207</v>
      </c>
      <c r="L1483" s="56" t="s">
        <v>6099</v>
      </c>
      <c r="O1483">
        <f>_xlfn.XLOOKUP(N1483,'Error-codes'!$C$2:$C$130,'Error-codes'!$B$2:$B$130, "None")</f>
        <v>0</v>
      </c>
      <c r="U1483" s="81">
        <f>DATEVALUE(LEFT(F1483,10))</f>
        <v>44998</v>
      </c>
    </row>
    <row r="1484" spans="1:21">
      <c r="A1484" s="56" t="s">
        <v>6740</v>
      </c>
      <c r="B1484" s="56" t="s">
        <v>3293</v>
      </c>
      <c r="C1484" s="56" t="s">
        <v>6741</v>
      </c>
      <c r="D1484" s="56" t="s">
        <v>37</v>
      </c>
      <c r="E1484" s="56" t="s">
        <v>4774</v>
      </c>
      <c r="F1484" s="56" t="s">
        <v>6742</v>
      </c>
      <c r="G1484" s="56">
        <v>10</v>
      </c>
      <c r="H1484" s="56">
        <v>1</v>
      </c>
      <c r="I1484" s="56">
        <v>0.1</v>
      </c>
      <c r="J1484" s="56" t="s">
        <v>6102</v>
      </c>
      <c r="K1484" s="56" t="s">
        <v>3207</v>
      </c>
      <c r="L1484" s="56" t="s">
        <v>6099</v>
      </c>
      <c r="M1484" s="56" t="str">
        <f>HYPERLINK("https://dribble.octin.io/?mode=Single+log&amp;log_id=33d0028d-8468-425f-a872-9eae0f982a05","URL")</f>
        <v>URL</v>
      </c>
      <c r="N1484" s="56" t="s">
        <v>3450</v>
      </c>
      <c r="O1484" t="str">
        <f>_xlfn.XLOOKUP(N1484,'Error-codes'!$C$2:$C$130,'Error-codes'!$B$2:$B$130, "None")</f>
        <v>xtheta sensor error</v>
      </c>
      <c r="R1484" t="s">
        <v>2908</v>
      </c>
      <c r="U1484" s="81">
        <f>DATEVALUE(LEFT(F1484,10))</f>
        <v>44998</v>
      </c>
    </row>
    <row r="1485" spans="1:21">
      <c r="A1485" s="56" t="s">
        <v>6743</v>
      </c>
      <c r="B1485" s="56" t="s">
        <v>3293</v>
      </c>
      <c r="C1485" s="56" t="s">
        <v>6744</v>
      </c>
      <c r="D1485" s="56" t="s">
        <v>388</v>
      </c>
      <c r="E1485" s="56" t="s">
        <v>2939</v>
      </c>
      <c r="F1485" s="56" t="s">
        <v>6745</v>
      </c>
      <c r="G1485" s="56">
        <v>10</v>
      </c>
      <c r="H1485" s="56">
        <v>6</v>
      </c>
      <c r="I1485" s="56">
        <v>0.6</v>
      </c>
      <c r="J1485" s="56" t="s">
        <v>5521</v>
      </c>
      <c r="K1485" s="56" t="s">
        <v>3207</v>
      </c>
      <c r="L1485" s="56" t="s">
        <v>6099</v>
      </c>
      <c r="M1485" s="56" t="str">
        <f>HYPERLINK("https://dribble.octin.io/?mode=Single+log&amp;log_id=92a218f9-298e-4d54-a04d-3b9e12dfd986","URL")</f>
        <v>URL</v>
      </c>
      <c r="N1485" s="56" t="s">
        <v>3446</v>
      </c>
      <c r="O1485" t="str">
        <f>_xlfn.XLOOKUP(N1485,'Error-codes'!$C$2:$C$130,'Error-codes'!$B$2:$B$130, "None")</f>
        <v>end of lane wall sensor error</v>
      </c>
      <c r="U1485" s="81">
        <f>DATEVALUE(LEFT(F1485,10))</f>
        <v>44998</v>
      </c>
    </row>
    <row r="1486" spans="1:21">
      <c r="B1486" s="56" t="s">
        <v>3293</v>
      </c>
      <c r="C1486" s="56" t="s">
        <v>6744</v>
      </c>
      <c r="D1486" s="56" t="s">
        <v>388</v>
      </c>
      <c r="F1486" s="56" t="s">
        <v>6746</v>
      </c>
      <c r="G1486" s="56">
        <v>10</v>
      </c>
      <c r="H1486" s="56">
        <v>9</v>
      </c>
      <c r="I1486" s="56">
        <v>0.9</v>
      </c>
      <c r="K1486" s="56" t="s">
        <v>3207</v>
      </c>
      <c r="L1486" s="56" t="s">
        <v>6099</v>
      </c>
      <c r="O1486">
        <f>_xlfn.XLOOKUP(N1486,'Error-codes'!$C$2:$C$130,'Error-codes'!$B$2:$B$130, "None")</f>
        <v>0</v>
      </c>
      <c r="U1486" s="81">
        <f>DATEVALUE(LEFT(F1486,10))</f>
        <v>44998</v>
      </c>
    </row>
    <row r="1487" spans="1:21">
      <c r="B1487" s="56" t="s">
        <v>3293</v>
      </c>
      <c r="C1487" s="56" t="s">
        <v>6747</v>
      </c>
      <c r="D1487" s="56" t="s">
        <v>22</v>
      </c>
      <c r="F1487" s="56" t="s">
        <v>6748</v>
      </c>
      <c r="G1487" s="56">
        <v>22</v>
      </c>
      <c r="H1487" s="56">
        <v>2</v>
      </c>
      <c r="I1487" s="56">
        <v>9.0909090909090912E-2</v>
      </c>
      <c r="K1487" s="56" t="s">
        <v>3207</v>
      </c>
      <c r="L1487" s="56" t="s">
        <v>3297</v>
      </c>
      <c r="O1487">
        <f>_xlfn.XLOOKUP(N1487,'Error-codes'!$C$2:$C$130,'Error-codes'!$B$2:$B$130, "None")</f>
        <v>0</v>
      </c>
      <c r="U1487" s="81">
        <f>DATEVALUE(LEFT(F1487,10))</f>
        <v>44998</v>
      </c>
    </row>
    <row r="1488" spans="1:21">
      <c r="A1488" s="56" t="s">
        <v>6749</v>
      </c>
      <c r="B1488" s="56" t="s">
        <v>3293</v>
      </c>
      <c r="C1488" s="56" t="s">
        <v>6750</v>
      </c>
      <c r="D1488" s="56" t="s">
        <v>4149</v>
      </c>
      <c r="E1488" s="56" t="s">
        <v>2939</v>
      </c>
      <c r="F1488" s="56" t="s">
        <v>6751</v>
      </c>
      <c r="G1488" s="56">
        <v>9</v>
      </c>
      <c r="H1488" s="56">
        <v>2</v>
      </c>
      <c r="I1488" s="56">
        <v>0.22222222222222221</v>
      </c>
      <c r="J1488" s="56" t="s">
        <v>5491</v>
      </c>
      <c r="K1488" s="56" t="s">
        <v>3207</v>
      </c>
      <c r="L1488" s="56" t="s">
        <v>3297</v>
      </c>
      <c r="M1488" s="56" t="str">
        <f>HYPERLINK("https://dribble.octin.io/?mode=Single+log&amp;log_id=78300d62-c6a6-4c83-b221-c8edb613c652","URL")</f>
        <v>URL</v>
      </c>
      <c r="N1488" s="56" t="s">
        <v>3446</v>
      </c>
      <c r="O1488" t="str">
        <f>_xlfn.XLOOKUP(N1488,'Error-codes'!$C$2:$C$130,'Error-codes'!$B$2:$B$130, "None")</f>
        <v>end of lane wall sensor error</v>
      </c>
      <c r="R1488" t="s">
        <v>2897</v>
      </c>
      <c r="U1488" s="81">
        <f>DATEVALUE(LEFT(F1488,10))</f>
        <v>44998</v>
      </c>
    </row>
    <row r="1489" spans="1:21">
      <c r="B1489" s="56" t="s">
        <v>5394</v>
      </c>
      <c r="C1489" s="56" t="s">
        <v>6752</v>
      </c>
      <c r="D1489" s="56" t="s">
        <v>388</v>
      </c>
      <c r="F1489" s="56" t="s">
        <v>6753</v>
      </c>
      <c r="G1489" s="56">
        <v>3</v>
      </c>
      <c r="H1489" s="56">
        <v>3</v>
      </c>
      <c r="I1489" s="56">
        <v>1</v>
      </c>
      <c r="K1489" s="56" t="s">
        <v>1873</v>
      </c>
      <c r="L1489" s="56" t="s">
        <v>6059</v>
      </c>
      <c r="O1489">
        <f>_xlfn.XLOOKUP(N1489,'Error-codes'!$C$2:$C$130,'Error-codes'!$B$2:$B$130, "None")</f>
        <v>0</v>
      </c>
      <c r="U1489" s="81">
        <f>DATEVALUE(LEFT(F1489,10))</f>
        <v>44998</v>
      </c>
    </row>
    <row r="1490" spans="1:21">
      <c r="B1490" s="56" t="s">
        <v>5394</v>
      </c>
      <c r="C1490" s="56" t="s">
        <v>6754</v>
      </c>
      <c r="D1490" s="56" t="s">
        <v>388</v>
      </c>
      <c r="F1490" s="56" t="s">
        <v>6755</v>
      </c>
      <c r="G1490" s="56">
        <v>3</v>
      </c>
      <c r="H1490" s="56">
        <v>3</v>
      </c>
      <c r="I1490" s="56">
        <v>1</v>
      </c>
      <c r="K1490" s="56" t="s">
        <v>1873</v>
      </c>
      <c r="L1490" s="56" t="s">
        <v>6059</v>
      </c>
      <c r="O1490">
        <f>_xlfn.XLOOKUP(N1490,'Error-codes'!$C$2:$C$130,'Error-codes'!$B$2:$B$130, "None")</f>
        <v>0</v>
      </c>
      <c r="U1490" s="81">
        <f>DATEVALUE(LEFT(F1490,10))</f>
        <v>44998</v>
      </c>
    </row>
    <row r="1491" spans="1:21">
      <c r="A1491" s="56" t="s">
        <v>6756</v>
      </c>
      <c r="B1491" s="56" t="s">
        <v>29</v>
      </c>
      <c r="C1491" s="56" t="s">
        <v>6757</v>
      </c>
      <c r="D1491" s="56" t="s">
        <v>388</v>
      </c>
      <c r="E1491" s="56" t="s">
        <v>2939</v>
      </c>
      <c r="F1491" s="56" t="s">
        <v>6758</v>
      </c>
      <c r="G1491" s="56">
        <v>223</v>
      </c>
      <c r="H1491" s="56">
        <v>40</v>
      </c>
      <c r="I1491" s="56">
        <v>0.17937219730941703</v>
      </c>
      <c r="J1491" s="56" t="s">
        <v>6138</v>
      </c>
      <c r="K1491" s="56" t="s">
        <v>5612</v>
      </c>
      <c r="L1491" s="56" t="s">
        <v>3325</v>
      </c>
      <c r="M1491" s="56" t="str">
        <f>HYPERLINK("https://dribble.octin.io/?mode=Single+log&amp;log_id=2181c71e-6df2-4cb8-b9e0-84174e8e9190","URL")</f>
        <v>URL</v>
      </c>
      <c r="N1491" s="56" t="s">
        <v>2933</v>
      </c>
      <c r="O1491" t="str">
        <f>_xlfn.XLOOKUP(N1491,'Error-codes'!$C$2:$C$130,'Error-codes'!$B$2:$B$130, "None")</f>
        <v>inductive sensor error</v>
      </c>
      <c r="U1491" s="81">
        <f>DATEVALUE(LEFT(F1491,10))</f>
        <v>44998</v>
      </c>
    </row>
    <row r="1492" spans="1:21">
      <c r="A1492" s="56" t="s">
        <v>6759</v>
      </c>
      <c r="B1492" s="56" t="s">
        <v>3293</v>
      </c>
      <c r="C1492" s="56" t="s">
        <v>6760</v>
      </c>
      <c r="D1492" s="56" t="s">
        <v>37</v>
      </c>
      <c r="E1492" s="56" t="s">
        <v>2939</v>
      </c>
      <c r="F1492" s="56" t="s">
        <v>6761</v>
      </c>
      <c r="G1492" s="56">
        <v>21</v>
      </c>
      <c r="H1492" s="56">
        <v>2</v>
      </c>
      <c r="I1492" s="56">
        <v>9.5238095238095233E-2</v>
      </c>
      <c r="J1492" s="56" t="s">
        <v>5285</v>
      </c>
      <c r="K1492" s="56" t="s">
        <v>3207</v>
      </c>
      <c r="L1492" s="56" t="s">
        <v>5286</v>
      </c>
      <c r="M1492" s="56" t="str">
        <f>HYPERLINK("https://dribble.octin.io/?mode=Single+log&amp;log_id=cb8b41bf-4008-416c-a65d-3e3f1824ae7d","URL")</f>
        <v>URL</v>
      </c>
      <c r="N1492" s="56" t="s">
        <v>2933</v>
      </c>
      <c r="O1492" t="str">
        <f>_xlfn.XLOOKUP(N1492,'Error-codes'!$C$2:$C$130,'Error-codes'!$B$2:$B$130, "None")</f>
        <v>inductive sensor error</v>
      </c>
      <c r="U1492" s="81">
        <f>DATEVALUE(LEFT(F1492,10))</f>
        <v>44998</v>
      </c>
    </row>
    <row r="1493" spans="1:21">
      <c r="A1493" s="56" t="s">
        <v>6762</v>
      </c>
      <c r="B1493" s="56" t="s">
        <v>3293</v>
      </c>
      <c r="C1493" s="56" t="s">
        <v>6760</v>
      </c>
      <c r="D1493" s="56" t="s">
        <v>37</v>
      </c>
      <c r="E1493" s="56" t="s">
        <v>2939</v>
      </c>
      <c r="F1493" s="56" t="s">
        <v>6763</v>
      </c>
      <c r="G1493" s="56">
        <v>21</v>
      </c>
      <c r="H1493" s="56">
        <v>5</v>
      </c>
      <c r="I1493" s="56">
        <v>0.23809523809523808</v>
      </c>
      <c r="J1493" s="56" t="s">
        <v>5491</v>
      </c>
      <c r="K1493" s="56" t="s">
        <v>3207</v>
      </c>
      <c r="L1493" s="56" t="s">
        <v>5286</v>
      </c>
      <c r="M1493" s="56" t="str">
        <f>HYPERLINK("https://dribble.octin.io/?mode=Single+log&amp;log_id=d81c1d8e-f19f-46cf-9375-4c40c3463cf2","URL")</f>
        <v>URL</v>
      </c>
      <c r="N1493" s="56" t="s">
        <v>3446</v>
      </c>
      <c r="O1493" t="str">
        <f>_xlfn.XLOOKUP(N1493,'Error-codes'!$C$2:$C$130,'Error-codes'!$B$2:$B$130, "None")</f>
        <v>end of lane wall sensor error</v>
      </c>
      <c r="U1493" s="81">
        <f>DATEVALUE(LEFT(F1493,10))</f>
        <v>44998</v>
      </c>
    </row>
    <row r="1494" spans="1:21">
      <c r="A1494" s="56" t="s">
        <v>6764</v>
      </c>
      <c r="B1494" s="56" t="s">
        <v>3293</v>
      </c>
      <c r="C1494" s="56" t="s">
        <v>6760</v>
      </c>
      <c r="D1494" s="56" t="s">
        <v>37</v>
      </c>
      <c r="E1494" s="56" t="s">
        <v>2939</v>
      </c>
      <c r="F1494" s="56" t="s">
        <v>6765</v>
      </c>
      <c r="G1494" s="56">
        <v>21</v>
      </c>
      <c r="H1494" s="56">
        <v>9</v>
      </c>
      <c r="I1494" s="56">
        <v>0.42857142857142855</v>
      </c>
      <c r="J1494" s="56" t="s">
        <v>5319</v>
      </c>
      <c r="K1494" s="56" t="s">
        <v>3207</v>
      </c>
      <c r="L1494" s="56" t="s">
        <v>5286</v>
      </c>
      <c r="M1494" s="56" t="str">
        <f>HYPERLINK("https://dribble.octin.io/?mode=Single+log&amp;log_id=4907989b-4161-4a7c-ad4e-3957390b3a75","URL")</f>
        <v>URL</v>
      </c>
      <c r="N1494" s="56" t="s">
        <v>3446</v>
      </c>
      <c r="O1494" t="str">
        <f>_xlfn.XLOOKUP(N1494,'Error-codes'!$C$2:$C$130,'Error-codes'!$B$2:$B$130, "None")</f>
        <v>end of lane wall sensor error</v>
      </c>
      <c r="U1494" s="81">
        <f>DATEVALUE(LEFT(F1494,10))</f>
        <v>44998</v>
      </c>
    </row>
    <row r="1495" spans="1:21">
      <c r="A1495" s="56" t="s">
        <v>6766</v>
      </c>
      <c r="B1495" s="56" t="s">
        <v>3293</v>
      </c>
      <c r="C1495" s="56" t="s">
        <v>6760</v>
      </c>
      <c r="D1495" s="56" t="s">
        <v>37</v>
      </c>
      <c r="E1495" s="56" t="s">
        <v>2939</v>
      </c>
      <c r="F1495" s="56" t="s">
        <v>6767</v>
      </c>
      <c r="G1495" s="56">
        <v>21</v>
      </c>
      <c r="H1495" s="56">
        <v>10</v>
      </c>
      <c r="I1495" s="56">
        <v>0.47619047619047616</v>
      </c>
      <c r="J1495" s="56" t="s">
        <v>6768</v>
      </c>
      <c r="K1495" s="56" t="s">
        <v>3207</v>
      </c>
      <c r="L1495" s="56" t="s">
        <v>5286</v>
      </c>
      <c r="M1495" s="56" t="str">
        <f>HYPERLINK("https://dribble.octin.io/?mode=Single+log&amp;log_id=7d954369-839a-4994-835f-7f0bcd903a54","URL")</f>
        <v>URL</v>
      </c>
      <c r="N1495" s="56" t="s">
        <v>3472</v>
      </c>
      <c r="O1495" t="str">
        <f>_xlfn.XLOOKUP(N1495,'Error-codes'!$C$2:$C$130,'Error-codes'!$B$2:$B$130, "None")</f>
        <v>Excessive slip detected</v>
      </c>
      <c r="U1495" s="81">
        <f>DATEVALUE(LEFT(F1495,10))</f>
        <v>44998</v>
      </c>
    </row>
    <row r="1496" spans="1:21">
      <c r="B1496" s="56" t="s">
        <v>5394</v>
      </c>
      <c r="C1496" s="56" t="s">
        <v>6769</v>
      </c>
      <c r="D1496" s="56" t="s">
        <v>388</v>
      </c>
      <c r="F1496" s="56" t="s">
        <v>6770</v>
      </c>
      <c r="G1496" s="56">
        <v>120</v>
      </c>
      <c r="H1496" s="56">
        <v>120</v>
      </c>
      <c r="I1496" s="56">
        <v>1</v>
      </c>
      <c r="K1496" s="56" t="s">
        <v>1893</v>
      </c>
      <c r="L1496" s="56" t="s">
        <v>6059</v>
      </c>
      <c r="O1496">
        <f>_xlfn.XLOOKUP(N1496,'Error-codes'!$C$2:$C$130,'Error-codes'!$B$2:$B$130, "None")</f>
        <v>0</v>
      </c>
      <c r="U1496" s="81">
        <f>DATEVALUE(LEFT(F1496,10))</f>
        <v>44999</v>
      </c>
    </row>
    <row r="1497" spans="1:21">
      <c r="A1497" s="56" t="s">
        <v>6771</v>
      </c>
      <c r="B1497" s="56" t="s">
        <v>3293</v>
      </c>
      <c r="C1497" s="56" t="s">
        <v>6760</v>
      </c>
      <c r="D1497" s="56" t="s">
        <v>37</v>
      </c>
      <c r="E1497" s="56" t="s">
        <v>6772</v>
      </c>
      <c r="F1497" s="56" t="s">
        <v>6773</v>
      </c>
      <c r="G1497" s="56">
        <v>21</v>
      </c>
      <c r="H1497" s="56">
        <v>16</v>
      </c>
      <c r="I1497" s="56">
        <v>0.76190476190476186</v>
      </c>
      <c r="J1497" s="56" t="s">
        <v>5224</v>
      </c>
      <c r="K1497" s="56" t="s">
        <v>3207</v>
      </c>
      <c r="L1497" s="56" t="s">
        <v>5286</v>
      </c>
      <c r="M1497" s="56" t="str">
        <f>HYPERLINK("https://dribble.octin.io/?mode=Single+log&amp;log_id=5f86b845-a443-4289-8af5-f0be5e9909ee","URL")</f>
        <v>URL</v>
      </c>
      <c r="N1497" s="56" t="s">
        <v>3444</v>
      </c>
      <c r="O1497" t="str">
        <f>_xlfn.XLOOKUP(N1497,'Error-codes'!$C$2:$C$130,'Error-codes'!$B$2:$B$130, "None")</f>
        <v>collision detected in operational state for the 4th time in a row</v>
      </c>
      <c r="U1497" s="81">
        <f>DATEVALUE(LEFT(F1497,10))</f>
        <v>44999</v>
      </c>
    </row>
    <row r="1498" spans="1:21">
      <c r="A1498" s="56" t="s">
        <v>6774</v>
      </c>
      <c r="B1498" s="56" t="s">
        <v>29</v>
      </c>
      <c r="C1498" s="56" t="s">
        <v>6757</v>
      </c>
      <c r="D1498" s="56" t="s">
        <v>388</v>
      </c>
      <c r="E1498" s="56" t="s">
        <v>2939</v>
      </c>
      <c r="F1498" s="56" t="s">
        <v>6775</v>
      </c>
      <c r="G1498" s="56">
        <v>223</v>
      </c>
      <c r="H1498" s="56">
        <v>215</v>
      </c>
      <c r="I1498" s="56">
        <v>0.9641255605381166</v>
      </c>
      <c r="J1498" s="56" t="s">
        <v>5782</v>
      </c>
      <c r="K1498" s="56" t="s">
        <v>5612</v>
      </c>
      <c r="L1498" s="56" t="s">
        <v>3325</v>
      </c>
      <c r="M1498" s="56" t="str">
        <f>HYPERLINK("https://dribble.octin.io/?mode=Single+log&amp;log_id=c24b8128-5b56-4aef-8c52-a6c91d458421","URL")</f>
        <v>URL</v>
      </c>
      <c r="N1498" s="56" t="s">
        <v>3446</v>
      </c>
      <c r="O1498" t="str">
        <f>_xlfn.XLOOKUP(N1498,'Error-codes'!$C$2:$C$130,'Error-codes'!$B$2:$B$130, "None")</f>
        <v>end of lane wall sensor error</v>
      </c>
      <c r="U1498" s="81">
        <f>DATEVALUE(LEFT(F1498,10))</f>
        <v>44999</v>
      </c>
    </row>
    <row r="1499" spans="1:21">
      <c r="B1499" s="56" t="s">
        <v>29</v>
      </c>
      <c r="C1499" s="56" t="s">
        <v>6757</v>
      </c>
      <c r="D1499" s="56" t="s">
        <v>388</v>
      </c>
      <c r="F1499" s="56" t="s">
        <v>6776</v>
      </c>
      <c r="G1499" s="56">
        <v>223</v>
      </c>
      <c r="H1499" s="56">
        <v>221</v>
      </c>
      <c r="I1499" s="56">
        <v>0.99103139013452912</v>
      </c>
      <c r="K1499" s="56" t="s">
        <v>5612</v>
      </c>
      <c r="L1499" s="56" t="s">
        <v>3325</v>
      </c>
      <c r="O1499">
        <f>_xlfn.XLOOKUP(N1499,'Error-codes'!$C$2:$C$130,'Error-codes'!$B$2:$B$130, "None")</f>
        <v>0</v>
      </c>
      <c r="U1499" s="81">
        <f>DATEVALUE(LEFT(F1499,10))</f>
        <v>44999</v>
      </c>
    </row>
    <row r="1500" spans="1:21">
      <c r="A1500" s="56"/>
      <c r="B1500" s="56" t="s">
        <v>3202</v>
      </c>
      <c r="C1500" s="56" t="s">
        <v>6777</v>
      </c>
      <c r="D1500" s="56" t="s">
        <v>37</v>
      </c>
      <c r="E1500" s="56" t="s">
        <v>3253</v>
      </c>
      <c r="F1500" s="56" t="s">
        <v>6778</v>
      </c>
      <c r="G1500" s="56">
        <v>37</v>
      </c>
      <c r="H1500" s="56">
        <v>4</v>
      </c>
      <c r="I1500" s="56">
        <v>0.10810810810810811</v>
      </c>
      <c r="J1500" s="56" t="s">
        <v>3353</v>
      </c>
      <c r="K1500" s="56" t="s">
        <v>3207</v>
      </c>
      <c r="L1500" s="56" t="s">
        <v>5214</v>
      </c>
      <c r="N1500" s="56" t="s">
        <v>3454</v>
      </c>
      <c r="O1500" t="str">
        <f>_xlfn.XLOOKUP(N1500,'Error-codes'!$C$2:$C$130,'Error-codes'!$B$2:$B$130, "None")</f>
        <v>Veh low level FSM: safety was triggered</v>
      </c>
      <c r="U1500" s="81">
        <f>DATEVALUE(LEFT(F1500,10))</f>
        <v>44999</v>
      </c>
    </row>
    <row r="1501" spans="1:21">
      <c r="A1501" s="56"/>
      <c r="B1501" s="56" t="s">
        <v>3202</v>
      </c>
      <c r="C1501" s="56" t="s">
        <v>6779</v>
      </c>
      <c r="D1501" s="56" t="s">
        <v>388</v>
      </c>
      <c r="E1501" s="56" t="s">
        <v>2939</v>
      </c>
      <c r="F1501" s="56" t="s">
        <v>6780</v>
      </c>
      <c r="G1501" s="56">
        <v>35</v>
      </c>
      <c r="H1501" s="56">
        <v>0</v>
      </c>
      <c r="I1501" s="56">
        <v>0</v>
      </c>
      <c r="J1501" s="56" t="s">
        <v>3353</v>
      </c>
      <c r="K1501" s="56" t="s">
        <v>3207</v>
      </c>
      <c r="L1501" s="56" t="s">
        <v>5214</v>
      </c>
      <c r="N1501" s="56" t="s">
        <v>3444</v>
      </c>
      <c r="O1501" t="str">
        <f>_xlfn.XLOOKUP(N1501,'Error-codes'!$C$2:$C$130,'Error-codes'!$B$2:$B$130, "None")</f>
        <v>collision detected in operational state for the 4th time in a row</v>
      </c>
      <c r="U1501" s="81">
        <f>DATEVALUE(LEFT(F1501,10))</f>
        <v>44999</v>
      </c>
    </row>
    <row r="1502" spans="1:21">
      <c r="A1502" s="56"/>
      <c r="B1502" s="56" t="s">
        <v>3202</v>
      </c>
      <c r="C1502" s="56" t="s">
        <v>6779</v>
      </c>
      <c r="D1502" s="56" t="s">
        <v>388</v>
      </c>
      <c r="E1502" s="56" t="s">
        <v>2939</v>
      </c>
      <c r="F1502" s="56" t="s">
        <v>6781</v>
      </c>
      <c r="G1502" s="56">
        <v>35</v>
      </c>
      <c r="H1502" s="56">
        <v>22</v>
      </c>
      <c r="I1502" s="56">
        <v>0.62857142857142856</v>
      </c>
      <c r="J1502" s="56" t="s">
        <v>3341</v>
      </c>
      <c r="K1502" s="56" t="s">
        <v>3207</v>
      </c>
      <c r="L1502" s="56" t="s">
        <v>5214</v>
      </c>
      <c r="N1502" s="56" t="s">
        <v>3450</v>
      </c>
      <c r="O1502" t="str">
        <f>_xlfn.XLOOKUP(N1502,'Error-codes'!$C$2:$C$130,'Error-codes'!$B$2:$B$130, "None")</f>
        <v>xtheta sensor error</v>
      </c>
      <c r="U1502" s="81">
        <f>DATEVALUE(LEFT(F1502,10))</f>
        <v>44999</v>
      </c>
    </row>
    <row r="1503" spans="1:21">
      <c r="B1503" s="56" t="s">
        <v>3293</v>
      </c>
      <c r="C1503" s="56" t="s">
        <v>6782</v>
      </c>
      <c r="D1503" s="56" t="s">
        <v>388</v>
      </c>
      <c r="F1503" s="56" t="s">
        <v>6783</v>
      </c>
      <c r="G1503" s="56">
        <v>11</v>
      </c>
      <c r="H1503" s="56">
        <v>11</v>
      </c>
      <c r="I1503" s="56">
        <v>1</v>
      </c>
      <c r="K1503" s="56" t="s">
        <v>3207</v>
      </c>
      <c r="L1503" s="56" t="s">
        <v>6099</v>
      </c>
      <c r="O1503">
        <f>_xlfn.XLOOKUP(N1503,'Error-codes'!$C$2:$C$130,'Error-codes'!$B$2:$B$130, "None")</f>
        <v>0</v>
      </c>
      <c r="U1503" s="81">
        <f>DATEVALUE(LEFT(F1503,10))</f>
        <v>44999</v>
      </c>
    </row>
    <row r="1504" spans="1:21">
      <c r="A1504" s="56"/>
      <c r="B1504" s="56" t="s">
        <v>3202</v>
      </c>
      <c r="C1504" s="56" t="s">
        <v>6779</v>
      </c>
      <c r="D1504" s="56" t="s">
        <v>388</v>
      </c>
      <c r="E1504" s="56" t="s">
        <v>2939</v>
      </c>
      <c r="F1504" s="56" t="s">
        <v>6784</v>
      </c>
      <c r="G1504" s="56">
        <v>35</v>
      </c>
      <c r="H1504" s="56">
        <v>32</v>
      </c>
      <c r="I1504" s="56">
        <v>0.91428571428571426</v>
      </c>
      <c r="J1504" s="56" t="s">
        <v>3367</v>
      </c>
      <c r="K1504" s="56" t="s">
        <v>3207</v>
      </c>
      <c r="L1504" s="56" t="s">
        <v>5214</v>
      </c>
      <c r="N1504" s="56" t="s">
        <v>2933</v>
      </c>
      <c r="O1504" t="str">
        <f>_xlfn.XLOOKUP(N1504,'Error-codes'!$C$2:$C$130,'Error-codes'!$B$2:$B$130, "None")</f>
        <v>inductive sensor error</v>
      </c>
      <c r="U1504" s="81">
        <f>DATEVALUE(LEFT(F1504,10))</f>
        <v>44999</v>
      </c>
    </row>
    <row r="1505" spans="1:21">
      <c r="B1505" s="56" t="s">
        <v>3202</v>
      </c>
      <c r="C1505" s="56" t="s">
        <v>6779</v>
      </c>
      <c r="D1505" s="56" t="s">
        <v>388</v>
      </c>
      <c r="F1505" s="56" t="s">
        <v>6785</v>
      </c>
      <c r="G1505" s="56">
        <v>35</v>
      </c>
      <c r="H1505" s="56">
        <v>32</v>
      </c>
      <c r="I1505" s="56">
        <v>0.91428571428571426</v>
      </c>
      <c r="K1505" s="56" t="s">
        <v>3207</v>
      </c>
      <c r="L1505" s="56" t="s">
        <v>5214</v>
      </c>
      <c r="O1505">
        <f>_xlfn.XLOOKUP(N1505,'Error-codes'!$C$2:$C$130,'Error-codes'!$B$2:$B$130, "None")</f>
        <v>0</v>
      </c>
      <c r="U1505" s="81">
        <f>DATEVALUE(LEFT(F1505,10))</f>
        <v>44999</v>
      </c>
    </row>
    <row r="1506" spans="1:21">
      <c r="B1506" s="56" t="s">
        <v>3293</v>
      </c>
      <c r="C1506" s="56" t="s">
        <v>6786</v>
      </c>
      <c r="D1506" s="56" t="s">
        <v>388</v>
      </c>
      <c r="F1506" s="56" t="s">
        <v>6787</v>
      </c>
      <c r="G1506" s="56">
        <v>10</v>
      </c>
      <c r="H1506" s="56">
        <v>10</v>
      </c>
      <c r="I1506" s="56">
        <v>1</v>
      </c>
      <c r="K1506" s="56" t="s">
        <v>3207</v>
      </c>
      <c r="L1506" s="56" t="s">
        <v>6110</v>
      </c>
      <c r="O1506">
        <f>_xlfn.XLOOKUP(N1506,'Error-codes'!$C$2:$C$130,'Error-codes'!$B$2:$B$130, "None")</f>
        <v>0</v>
      </c>
      <c r="U1506" s="81">
        <f>DATEVALUE(LEFT(F1506,10))</f>
        <v>44999</v>
      </c>
    </row>
    <row r="1507" spans="1:21">
      <c r="B1507" s="56" t="s">
        <v>3293</v>
      </c>
      <c r="C1507" s="56" t="s">
        <v>6788</v>
      </c>
      <c r="D1507" s="56" t="s">
        <v>388</v>
      </c>
      <c r="F1507" s="56" t="s">
        <v>6789</v>
      </c>
      <c r="G1507" s="56">
        <v>21</v>
      </c>
      <c r="H1507" s="56">
        <v>21</v>
      </c>
      <c r="I1507" s="56">
        <v>1</v>
      </c>
      <c r="K1507" s="56" t="s">
        <v>3207</v>
      </c>
      <c r="L1507" s="56" t="s">
        <v>3297</v>
      </c>
      <c r="O1507">
        <f>_xlfn.XLOOKUP(N1507,'Error-codes'!$C$2:$C$130,'Error-codes'!$B$2:$B$130, "None")</f>
        <v>0</v>
      </c>
      <c r="U1507" s="81">
        <f>DATEVALUE(LEFT(F1507,10))</f>
        <v>44999</v>
      </c>
    </row>
    <row r="1508" spans="1:21">
      <c r="A1508" s="56"/>
      <c r="B1508" s="56" t="s">
        <v>5394</v>
      </c>
      <c r="C1508" s="56" t="s">
        <v>6790</v>
      </c>
      <c r="D1508" s="56" t="s">
        <v>37</v>
      </c>
      <c r="E1508" s="56" t="s">
        <v>4731</v>
      </c>
      <c r="F1508" s="56" t="s">
        <v>6791</v>
      </c>
      <c r="G1508" s="56">
        <v>120</v>
      </c>
      <c r="H1508" s="56">
        <v>50</v>
      </c>
      <c r="I1508" s="56">
        <v>0.41666666666666669</v>
      </c>
      <c r="J1508" s="56" t="s">
        <v>6792</v>
      </c>
      <c r="K1508" s="56" t="s">
        <v>1873</v>
      </c>
      <c r="L1508" s="56" t="s">
        <v>6059</v>
      </c>
      <c r="N1508" s="56" t="s">
        <v>3460</v>
      </c>
      <c r="O1508" t="str">
        <f>_xlfn.XLOOKUP(N1508,'Error-codes'!$C$2:$C$130,'Error-codes'!$B$2:$B$130, "None")</f>
        <v>motor drive: DRV8353 FAULT</v>
      </c>
      <c r="U1508" s="81">
        <f>DATEVALUE(LEFT(F1508,10))</f>
        <v>44999</v>
      </c>
    </row>
    <row r="1509" spans="1:21">
      <c r="A1509" s="56" t="s">
        <v>6793</v>
      </c>
      <c r="B1509" s="56" t="s">
        <v>29</v>
      </c>
      <c r="C1509" s="56" t="s">
        <v>6794</v>
      </c>
      <c r="D1509" s="56" t="s">
        <v>37</v>
      </c>
      <c r="E1509" s="56" t="s">
        <v>2939</v>
      </c>
      <c r="F1509" s="56" t="s">
        <v>6795</v>
      </c>
      <c r="G1509" s="56">
        <v>209</v>
      </c>
      <c r="H1509" s="56">
        <v>87</v>
      </c>
      <c r="I1509" s="56">
        <v>0.41626794258373206</v>
      </c>
      <c r="J1509" s="56" t="s">
        <v>5760</v>
      </c>
      <c r="K1509" s="56" t="s">
        <v>5593</v>
      </c>
      <c r="L1509" s="56" t="s">
        <v>3325</v>
      </c>
      <c r="M1509" s="56" t="str">
        <f>HYPERLINK("https://dribble.octin.io/?mode=Single+log&amp;log_id=77121727-24b2-4917-9d76-321aaa47adcd","URL")</f>
        <v>URL</v>
      </c>
      <c r="N1509" s="56" t="s">
        <v>3444</v>
      </c>
      <c r="O1509" t="str">
        <f>_xlfn.XLOOKUP(N1509,'Error-codes'!$C$2:$C$130,'Error-codes'!$B$2:$B$130, "None")</f>
        <v>collision detected in operational state for the 4th time in a row</v>
      </c>
      <c r="U1509" s="81">
        <f>DATEVALUE(LEFT(F1509,10))</f>
        <v>44999</v>
      </c>
    </row>
    <row r="1510" spans="1:21">
      <c r="A1510" s="56" t="s">
        <v>6796</v>
      </c>
      <c r="B1510" s="56" t="s">
        <v>29</v>
      </c>
      <c r="C1510" s="56" t="s">
        <v>6794</v>
      </c>
      <c r="D1510" s="56" t="s">
        <v>37</v>
      </c>
      <c r="E1510" s="56" t="s">
        <v>4358</v>
      </c>
      <c r="F1510" s="56" t="s">
        <v>6797</v>
      </c>
      <c r="G1510" s="56">
        <v>209</v>
      </c>
      <c r="H1510" s="56">
        <v>153</v>
      </c>
      <c r="I1510" s="56">
        <v>0.73205741626794263</v>
      </c>
      <c r="J1510" s="56" t="s">
        <v>5771</v>
      </c>
      <c r="K1510" s="56" t="s">
        <v>5593</v>
      </c>
      <c r="L1510" s="56" t="s">
        <v>3325</v>
      </c>
      <c r="M1510" s="56" t="str">
        <f>HYPERLINK("https://dribble.octin.io/?mode=Single+log&amp;log_id=bb359d99-bbf0-4781-9695-b8d3216aa06f","URL")</f>
        <v>URL</v>
      </c>
      <c r="N1510" s="56" t="s">
        <v>3458</v>
      </c>
      <c r="O1510" t="str">
        <f>_xlfn.XLOOKUP(N1510,'Error-codes'!$C$2:$C$130,'Error-codes'!$B$2:$B$130, "None")</f>
        <v>motor drive: UNDER VOLTAGE</v>
      </c>
      <c r="U1510" s="81">
        <f>DATEVALUE(LEFT(F1510,10))</f>
        <v>45000</v>
      </c>
    </row>
    <row r="1511" spans="1:21">
      <c r="B1511" s="56" t="s">
        <v>3263</v>
      </c>
      <c r="C1511" s="56" t="s">
        <v>6798</v>
      </c>
      <c r="D1511" s="56" t="s">
        <v>388</v>
      </c>
      <c r="F1511" s="56" t="s">
        <v>6799</v>
      </c>
      <c r="G1511" s="56">
        <v>81</v>
      </c>
      <c r="H1511" s="56">
        <v>81</v>
      </c>
      <c r="I1511" s="56">
        <v>1</v>
      </c>
      <c r="K1511" s="56" t="s">
        <v>3268</v>
      </c>
      <c r="L1511" s="56" t="s">
        <v>3269</v>
      </c>
      <c r="O1511">
        <f>_xlfn.XLOOKUP(N1511,'Error-codes'!$C$2:$C$130,'Error-codes'!$B$2:$B$130, "None")</f>
        <v>0</v>
      </c>
      <c r="U1511" s="81">
        <f>DATEVALUE(LEFT(F1511,10))</f>
        <v>45000</v>
      </c>
    </row>
    <row r="1512" spans="1:21">
      <c r="A1512" s="56" t="s">
        <v>6800</v>
      </c>
      <c r="B1512" s="56" t="s">
        <v>29</v>
      </c>
      <c r="C1512" s="56" t="s">
        <v>6801</v>
      </c>
      <c r="D1512" s="56" t="s">
        <v>37</v>
      </c>
      <c r="E1512" s="56" t="s">
        <v>4371</v>
      </c>
      <c r="F1512" s="56" t="s">
        <v>6802</v>
      </c>
      <c r="G1512" s="56">
        <v>56</v>
      </c>
      <c r="H1512" s="56">
        <v>52</v>
      </c>
      <c r="I1512" s="56">
        <v>0.9285714285714286</v>
      </c>
      <c r="J1512" s="56" t="s">
        <v>5224</v>
      </c>
      <c r="K1512" s="56" t="s">
        <v>5593</v>
      </c>
      <c r="L1512" s="56" t="s">
        <v>3325</v>
      </c>
      <c r="M1512" s="56" t="str">
        <f>HYPERLINK("https://dribble.octin.io/?mode=Single+log&amp;log_id=db31329c-84e3-4d7e-b329-406c27eaa788","URL")</f>
        <v>URL</v>
      </c>
      <c r="N1512" s="56" t="s">
        <v>3470</v>
      </c>
      <c r="O1512" t="str">
        <f>_xlfn.XLOOKUP(N1512,'Error-codes'!$C$2:$C$130,'Error-codes'!$B$2:$B$130, "None")</f>
        <v>battery level critical low</v>
      </c>
      <c r="U1512" s="81">
        <f>DATEVALUE(LEFT(F1512,10))</f>
        <v>45000</v>
      </c>
    </row>
    <row r="1513" spans="1:21">
      <c r="A1513" s="56" t="s">
        <v>6803</v>
      </c>
      <c r="B1513" s="56" t="s">
        <v>3771</v>
      </c>
      <c r="C1513" s="56" t="s">
        <v>6804</v>
      </c>
      <c r="D1513" s="56" t="s">
        <v>37</v>
      </c>
      <c r="E1513" s="56" t="s">
        <v>4564</v>
      </c>
      <c r="F1513" s="56" t="s">
        <v>6805</v>
      </c>
      <c r="G1513" s="56">
        <v>56</v>
      </c>
      <c r="H1513" s="56">
        <v>1</v>
      </c>
      <c r="I1513" s="56">
        <v>1.7857142857142856E-2</v>
      </c>
      <c r="J1513" s="56" t="s">
        <v>3315</v>
      </c>
      <c r="K1513" s="56" t="s">
        <v>1873</v>
      </c>
      <c r="L1513" s="56" t="s">
        <v>6394</v>
      </c>
      <c r="M1513" s="56" t="str">
        <f>HYPERLINK("https://dribble.octin.io/?mode=Single+log&amp;log_id=c0592a2e-4f84-4779-b349-3b05cf0d245d","URL")</f>
        <v>URL</v>
      </c>
      <c r="N1513" s="56" t="s">
        <v>3458</v>
      </c>
      <c r="O1513" t="str">
        <f>_xlfn.XLOOKUP(N1513,'Error-codes'!$C$2:$C$130,'Error-codes'!$B$2:$B$130, "None")</f>
        <v>motor drive: UNDER VOLTAGE</v>
      </c>
      <c r="U1513" s="81">
        <f>DATEVALUE(LEFT(F1513,10))</f>
        <v>45000</v>
      </c>
    </row>
    <row r="1514" spans="1:21">
      <c r="A1514" s="56" t="s">
        <v>6806</v>
      </c>
      <c r="B1514" s="56" t="s">
        <v>3771</v>
      </c>
      <c r="C1514" s="56" t="s">
        <v>6807</v>
      </c>
      <c r="D1514" s="56" t="s">
        <v>37</v>
      </c>
      <c r="E1514" s="56" t="s">
        <v>4564</v>
      </c>
      <c r="F1514" s="56" t="s">
        <v>6808</v>
      </c>
      <c r="G1514" s="56">
        <v>56</v>
      </c>
      <c r="H1514" s="56">
        <v>1</v>
      </c>
      <c r="I1514" s="56">
        <v>1.7857142857142856E-2</v>
      </c>
      <c r="J1514" s="56" t="s">
        <v>6809</v>
      </c>
      <c r="K1514" s="56" t="s">
        <v>1873</v>
      </c>
      <c r="L1514" s="56" t="s">
        <v>6394</v>
      </c>
      <c r="M1514" s="56" t="str">
        <f>HYPERLINK("https://dribble.octin.io/?mode=Single+log&amp;log_id=5a6b7971-c4b3-46ee-b1e9-ccba91843643","URL")</f>
        <v>URL</v>
      </c>
      <c r="N1514" s="56" t="s">
        <v>3460</v>
      </c>
      <c r="O1514" t="str">
        <f>_xlfn.XLOOKUP(N1514,'Error-codes'!$C$2:$C$130,'Error-codes'!$B$2:$B$130, "None")</f>
        <v>motor drive: DRV8353 FAULT</v>
      </c>
      <c r="U1514" s="81">
        <f>DATEVALUE(LEFT(F1514,10))</f>
        <v>45000</v>
      </c>
    </row>
    <row r="1515" spans="1:21">
      <c r="A1515" s="56"/>
      <c r="B1515" s="56" t="s">
        <v>295</v>
      </c>
      <c r="C1515" s="56" t="s">
        <v>6810</v>
      </c>
      <c r="D1515" s="56" t="s">
        <v>37</v>
      </c>
      <c r="E1515" s="56" t="s">
        <v>3242</v>
      </c>
      <c r="F1515" s="56" t="s">
        <v>6811</v>
      </c>
      <c r="G1515" s="56">
        <v>214</v>
      </c>
      <c r="H1515" s="56">
        <v>0</v>
      </c>
      <c r="I1515" s="56">
        <v>0</v>
      </c>
      <c r="J1515" s="56" t="s">
        <v>293</v>
      </c>
      <c r="K1515" s="56" t="s">
        <v>1893</v>
      </c>
      <c r="L1515" s="56" t="s">
        <v>2942</v>
      </c>
      <c r="N1515" s="56" t="s">
        <v>3468</v>
      </c>
      <c r="O1515" t="str">
        <f>_xlfn.XLOOKUP(N1515,'Error-codes'!$C$2:$C$130,'Error-codes'!$B$2:$B$130, "None")</f>
        <v>no vision heartbeat</v>
      </c>
      <c r="U1515" s="81">
        <f>DATEVALUE(LEFT(F1515,10))</f>
        <v>45000</v>
      </c>
    </row>
    <row r="1516" spans="1:21">
      <c r="A1516" s="56" t="s">
        <v>6812</v>
      </c>
      <c r="B1516" s="56" t="s">
        <v>29</v>
      </c>
      <c r="C1516" s="56" t="s">
        <v>6813</v>
      </c>
      <c r="D1516" s="56" t="s">
        <v>37</v>
      </c>
      <c r="E1516" s="56" t="s">
        <v>2939</v>
      </c>
      <c r="F1516" s="56" t="s">
        <v>6814</v>
      </c>
      <c r="G1516" s="56">
        <v>155</v>
      </c>
      <c r="H1516" s="56">
        <v>7</v>
      </c>
      <c r="I1516" s="56">
        <v>4.5161290322580643E-2</v>
      </c>
      <c r="J1516" s="56" t="s">
        <v>6815</v>
      </c>
      <c r="K1516" s="56" t="s">
        <v>5612</v>
      </c>
      <c r="L1516" s="56" t="s">
        <v>3358</v>
      </c>
      <c r="M1516" s="56" t="str">
        <f>HYPERLINK("https://dribble.octin.io/?mode=Single+log&amp;log_id=a59aa88e-93a6-4652-b19c-5908d8e3ff11","URL")</f>
        <v>URL</v>
      </c>
      <c r="N1516" s="56" t="s">
        <v>3446</v>
      </c>
      <c r="O1516" t="str">
        <f>_xlfn.XLOOKUP(N1516,'Error-codes'!$C$2:$C$130,'Error-codes'!$B$2:$B$130, "None")</f>
        <v>end of lane wall sensor error</v>
      </c>
      <c r="U1516" s="81">
        <f>DATEVALUE(LEFT(F1516,10))</f>
        <v>45000</v>
      </c>
    </row>
    <row r="1517" spans="1:21">
      <c r="A1517" s="56"/>
      <c r="B1517" s="56" t="s">
        <v>5394</v>
      </c>
      <c r="C1517" s="56" t="s">
        <v>6816</v>
      </c>
      <c r="D1517" s="56" t="s">
        <v>37</v>
      </c>
      <c r="E1517" s="56" t="s">
        <v>6817</v>
      </c>
      <c r="F1517" s="56" t="s">
        <v>6818</v>
      </c>
      <c r="G1517" s="56">
        <v>120</v>
      </c>
      <c r="H1517" s="56">
        <v>9</v>
      </c>
      <c r="I1517" s="56">
        <v>7.4999999999999997E-2</v>
      </c>
      <c r="J1517" s="56" t="s">
        <v>6819</v>
      </c>
      <c r="K1517" s="56" t="s">
        <v>1873</v>
      </c>
      <c r="L1517" s="56" t="s">
        <v>6059</v>
      </c>
      <c r="N1517" s="56" t="s">
        <v>6820</v>
      </c>
      <c r="O1517" t="str">
        <f>_xlfn.XLOOKUP(N1517,'Error-codes'!$C$2:$C$130,'Error-codes'!$B$2:$B$130, "None")</f>
        <v>None</v>
      </c>
      <c r="U1517" s="81">
        <f>DATEVALUE(LEFT(F1517,10))</f>
        <v>45000</v>
      </c>
    </row>
    <row r="1518" spans="1:21">
      <c r="A1518" s="56" t="s">
        <v>6821</v>
      </c>
      <c r="B1518" s="56" t="s">
        <v>29</v>
      </c>
      <c r="C1518" s="56" t="s">
        <v>6813</v>
      </c>
      <c r="D1518" s="56" t="s">
        <v>37</v>
      </c>
      <c r="E1518" s="56" t="s">
        <v>2939</v>
      </c>
      <c r="F1518" s="56" t="s">
        <v>6822</v>
      </c>
      <c r="G1518" s="56">
        <v>155</v>
      </c>
      <c r="H1518" s="56">
        <v>39</v>
      </c>
      <c r="I1518" s="56">
        <v>0.25161290322580643</v>
      </c>
      <c r="J1518" s="56" t="s">
        <v>6823</v>
      </c>
      <c r="K1518" s="56" t="s">
        <v>5612</v>
      </c>
      <c r="L1518" s="56" t="s">
        <v>3358</v>
      </c>
      <c r="M1518" s="56" t="str">
        <f>HYPERLINK("https://dribble.octin.io/?mode=Single+log&amp;log_id=3d5d4286-564c-422f-b0ca-2f97e56f8a39","URL")</f>
        <v>URL</v>
      </c>
      <c r="N1518" s="56" t="s">
        <v>3446</v>
      </c>
      <c r="O1518" t="str">
        <f>_xlfn.XLOOKUP(N1518,'Error-codes'!$C$2:$C$130,'Error-codes'!$B$2:$B$130, "None")</f>
        <v>end of lane wall sensor error</v>
      </c>
      <c r="U1518" s="81">
        <f>DATEVALUE(LEFT(F1518,10))</f>
        <v>45000</v>
      </c>
    </row>
    <row r="1519" spans="1:21">
      <c r="A1519" s="56" t="s">
        <v>6824</v>
      </c>
      <c r="B1519" s="56" t="s">
        <v>228</v>
      </c>
      <c r="C1519" s="56" t="s">
        <v>6825</v>
      </c>
      <c r="D1519" s="56" t="s">
        <v>37</v>
      </c>
      <c r="E1519" s="56" t="s">
        <v>2939</v>
      </c>
      <c r="F1519" s="56" t="s">
        <v>6826</v>
      </c>
      <c r="G1519" s="56">
        <v>203</v>
      </c>
      <c r="H1519" s="56">
        <v>5</v>
      </c>
      <c r="I1519" s="56">
        <v>2.4630541871921183E-2</v>
      </c>
      <c r="J1519" s="56" t="s">
        <v>6827</v>
      </c>
      <c r="K1519" s="56" t="s">
        <v>6828</v>
      </c>
      <c r="L1519" s="56" t="s">
        <v>2932</v>
      </c>
      <c r="M1519" s="56" t="str">
        <f>HYPERLINK("https://dribble.octin.io/?mode=Single+log&amp;log_id=8d32048d-5245-4111-95b4-c46182c35f34","URL")</f>
        <v>URL</v>
      </c>
      <c r="N1519" s="56" t="s">
        <v>2933</v>
      </c>
      <c r="O1519" t="str">
        <f>_xlfn.XLOOKUP(N1519,'Error-codes'!$C$2:$C$130,'Error-codes'!$B$2:$B$130, "None")</f>
        <v>inductive sensor error</v>
      </c>
      <c r="R1519" t="s">
        <v>2901</v>
      </c>
      <c r="U1519" s="81">
        <f>DATEVALUE(LEFT(F1519,10))</f>
        <v>45000</v>
      </c>
    </row>
    <row r="1520" spans="1:21">
      <c r="B1520" s="56" t="s">
        <v>3293</v>
      </c>
      <c r="C1520" s="56" t="s">
        <v>6829</v>
      </c>
      <c r="D1520" s="56" t="s">
        <v>388</v>
      </c>
      <c r="F1520" s="56" t="s">
        <v>6830</v>
      </c>
      <c r="G1520" s="56">
        <v>11</v>
      </c>
      <c r="H1520" s="56">
        <v>11</v>
      </c>
      <c r="I1520" s="56">
        <v>1</v>
      </c>
      <c r="K1520" s="56" t="s">
        <v>3207</v>
      </c>
      <c r="L1520" s="56" t="s">
        <v>6110</v>
      </c>
      <c r="O1520">
        <f>_xlfn.XLOOKUP(N1520,'Error-codes'!$C$2:$C$130,'Error-codes'!$B$2:$B$130, "None")</f>
        <v>0</v>
      </c>
      <c r="U1520" s="81">
        <f>DATEVALUE(LEFT(F1520,10))</f>
        <v>45000</v>
      </c>
    </row>
    <row r="1521" spans="1:21">
      <c r="A1521" s="56" t="s">
        <v>6831</v>
      </c>
      <c r="B1521" s="56" t="s">
        <v>29</v>
      </c>
      <c r="C1521" s="56" t="s">
        <v>6813</v>
      </c>
      <c r="D1521" s="56" t="s">
        <v>37</v>
      </c>
      <c r="E1521" s="56" t="s">
        <v>2939</v>
      </c>
      <c r="F1521" s="56" t="s">
        <v>6832</v>
      </c>
      <c r="G1521" s="56">
        <v>155</v>
      </c>
      <c r="H1521" s="56">
        <v>46</v>
      </c>
      <c r="I1521" s="56">
        <v>0.29677419354838708</v>
      </c>
      <c r="J1521" s="56" t="s">
        <v>6416</v>
      </c>
      <c r="K1521" s="56" t="s">
        <v>5612</v>
      </c>
      <c r="L1521" s="56" t="s">
        <v>3358</v>
      </c>
      <c r="M1521" s="56" t="str">
        <f>HYPERLINK("https://dribble.octin.io/?mode=Single+log&amp;log_id=2f1b529d-4509-40a8-b530-a4453f77d67e","URL")</f>
        <v>URL</v>
      </c>
      <c r="N1521" s="56" t="s">
        <v>3446</v>
      </c>
      <c r="O1521" t="str">
        <f>_xlfn.XLOOKUP(N1521,'Error-codes'!$C$2:$C$130,'Error-codes'!$B$2:$B$130, "None")</f>
        <v>end of lane wall sensor error</v>
      </c>
      <c r="U1521" s="81">
        <f>DATEVALUE(LEFT(F1521,10))</f>
        <v>45000</v>
      </c>
    </row>
    <row r="1522" spans="1:21">
      <c r="A1522" s="56" t="s">
        <v>6833</v>
      </c>
      <c r="B1522" s="56" t="s">
        <v>29</v>
      </c>
      <c r="C1522" s="56" t="s">
        <v>6813</v>
      </c>
      <c r="D1522" s="56" t="s">
        <v>37</v>
      </c>
      <c r="E1522" s="56" t="s">
        <v>2939</v>
      </c>
      <c r="F1522" s="56" t="s">
        <v>6834</v>
      </c>
      <c r="G1522" s="56">
        <v>155</v>
      </c>
      <c r="H1522" s="56">
        <v>47</v>
      </c>
      <c r="I1522" s="56">
        <v>0.3032258064516129</v>
      </c>
      <c r="J1522" s="56" t="s">
        <v>6419</v>
      </c>
      <c r="K1522" s="56" t="s">
        <v>5612</v>
      </c>
      <c r="L1522" s="56" t="s">
        <v>3358</v>
      </c>
      <c r="M1522" s="56" t="str">
        <f>HYPERLINK("https://dribble.octin.io/?mode=Single+log&amp;log_id=864fca7f-b63e-4317-a3db-42c2f9fec63d","URL")</f>
        <v>URL</v>
      </c>
      <c r="N1522" s="56" t="s">
        <v>3446</v>
      </c>
      <c r="O1522" t="str">
        <f>_xlfn.XLOOKUP(N1522,'Error-codes'!$C$2:$C$130,'Error-codes'!$B$2:$B$130, "None")</f>
        <v>end of lane wall sensor error</v>
      </c>
      <c r="U1522" s="81">
        <f>DATEVALUE(LEFT(F1522,10))</f>
        <v>45000</v>
      </c>
    </row>
    <row r="1523" spans="1:21">
      <c r="A1523" s="56" t="s">
        <v>6835</v>
      </c>
      <c r="B1523" s="56" t="s">
        <v>29</v>
      </c>
      <c r="C1523" s="56" t="s">
        <v>6813</v>
      </c>
      <c r="D1523" s="56" t="s">
        <v>37</v>
      </c>
      <c r="E1523" s="56" t="s">
        <v>2939</v>
      </c>
      <c r="F1523" s="56" t="s">
        <v>6836</v>
      </c>
      <c r="G1523" s="56">
        <v>155</v>
      </c>
      <c r="H1523" s="56">
        <v>55</v>
      </c>
      <c r="I1523" s="56">
        <v>0.35483870967741937</v>
      </c>
      <c r="J1523" s="56" t="s">
        <v>6837</v>
      </c>
      <c r="K1523" s="56" t="s">
        <v>5612</v>
      </c>
      <c r="L1523" s="56" t="s">
        <v>3358</v>
      </c>
      <c r="M1523" s="56" t="str">
        <f>HYPERLINK("https://dribble.octin.io/?mode=Single+log&amp;log_id=fd5aa367-0196-42e1-b806-bb56476bd0e2","URL")</f>
        <v>URL</v>
      </c>
      <c r="N1523" s="56" t="s">
        <v>3446</v>
      </c>
      <c r="O1523" t="str">
        <f>_xlfn.XLOOKUP(N1523,'Error-codes'!$C$2:$C$130,'Error-codes'!$B$2:$B$130, "None")</f>
        <v>end of lane wall sensor error</v>
      </c>
      <c r="U1523" s="81">
        <f>DATEVALUE(LEFT(F1523,10))</f>
        <v>45000</v>
      </c>
    </row>
    <row r="1524" spans="1:21">
      <c r="A1524" s="56" t="s">
        <v>6838</v>
      </c>
      <c r="B1524" s="56" t="s">
        <v>29</v>
      </c>
      <c r="C1524" s="56" t="s">
        <v>6813</v>
      </c>
      <c r="D1524" s="56" t="s">
        <v>37</v>
      </c>
      <c r="E1524" s="56" t="s">
        <v>2939</v>
      </c>
      <c r="F1524" s="56" t="s">
        <v>6839</v>
      </c>
      <c r="G1524" s="56">
        <v>155</v>
      </c>
      <c r="H1524" s="56">
        <v>56</v>
      </c>
      <c r="I1524" s="56">
        <v>0.36129032258064514</v>
      </c>
      <c r="J1524" s="56" t="s">
        <v>6840</v>
      </c>
      <c r="K1524" s="56" t="s">
        <v>5612</v>
      </c>
      <c r="L1524" s="56" t="s">
        <v>3358</v>
      </c>
      <c r="M1524" s="56" t="str">
        <f>HYPERLINK("https://dribble.octin.io/?mode=Single+log&amp;log_id=2e7ea2f1-ec04-4c8e-b8a9-c847f311e43e","URL")</f>
        <v>URL</v>
      </c>
      <c r="N1524" s="56" t="s">
        <v>3446</v>
      </c>
      <c r="O1524" t="str">
        <f>_xlfn.XLOOKUP(N1524,'Error-codes'!$C$2:$C$130,'Error-codes'!$B$2:$B$130, "None")</f>
        <v>end of lane wall sensor error</v>
      </c>
      <c r="U1524" s="81">
        <f>DATEVALUE(LEFT(F1524,10))</f>
        <v>45000</v>
      </c>
    </row>
    <row r="1525" spans="1:21">
      <c r="A1525" s="56" t="s">
        <v>6841</v>
      </c>
      <c r="B1525" s="56" t="s">
        <v>29</v>
      </c>
      <c r="C1525" s="56" t="s">
        <v>6813</v>
      </c>
      <c r="D1525" s="56" t="s">
        <v>37</v>
      </c>
      <c r="E1525" s="56" t="s">
        <v>2939</v>
      </c>
      <c r="F1525" s="56" t="s">
        <v>6842</v>
      </c>
      <c r="G1525" s="56">
        <v>155</v>
      </c>
      <c r="H1525" s="56">
        <v>59</v>
      </c>
      <c r="I1525" s="56">
        <v>0.38064516129032255</v>
      </c>
      <c r="J1525" s="56" t="s">
        <v>6424</v>
      </c>
      <c r="K1525" s="56" t="s">
        <v>5612</v>
      </c>
      <c r="L1525" s="56" t="s">
        <v>3358</v>
      </c>
      <c r="M1525" s="56" t="str">
        <f>HYPERLINK("https://dribble.octin.io/?mode=Single+log&amp;log_id=fe5b74a2-1eef-48ed-b698-ece663e63754","URL")</f>
        <v>URL</v>
      </c>
      <c r="N1525" s="56" t="s">
        <v>3446</v>
      </c>
      <c r="O1525" t="str">
        <f>_xlfn.XLOOKUP(N1525,'Error-codes'!$C$2:$C$130,'Error-codes'!$B$2:$B$130, "None")</f>
        <v>end of lane wall sensor error</v>
      </c>
      <c r="U1525" s="81">
        <f>DATEVALUE(LEFT(F1525,10))</f>
        <v>45000</v>
      </c>
    </row>
    <row r="1526" spans="1:21">
      <c r="A1526" s="56" t="s">
        <v>6843</v>
      </c>
      <c r="B1526" s="56" t="s">
        <v>29</v>
      </c>
      <c r="C1526" s="56" t="s">
        <v>6813</v>
      </c>
      <c r="D1526" s="56" t="s">
        <v>37</v>
      </c>
      <c r="E1526" s="56" t="s">
        <v>2939</v>
      </c>
      <c r="F1526" s="56" t="s">
        <v>6844</v>
      </c>
      <c r="G1526" s="56">
        <v>155</v>
      </c>
      <c r="H1526" s="56">
        <v>60</v>
      </c>
      <c r="I1526" s="56">
        <v>0.38709677419354838</v>
      </c>
      <c r="J1526" s="56" t="s">
        <v>6606</v>
      </c>
      <c r="K1526" s="56" t="s">
        <v>5612</v>
      </c>
      <c r="L1526" s="56" t="s">
        <v>3358</v>
      </c>
      <c r="M1526" s="56" t="str">
        <f>HYPERLINK("https://dribble.octin.io/?mode=Single+log&amp;log_id=4719c66e-797b-4745-ab2a-b533219c40b8","URL")</f>
        <v>URL</v>
      </c>
      <c r="N1526" s="56" t="s">
        <v>3446</v>
      </c>
      <c r="O1526" t="str">
        <f>_xlfn.XLOOKUP(N1526,'Error-codes'!$C$2:$C$130,'Error-codes'!$B$2:$B$130, "None")</f>
        <v>end of lane wall sensor error</v>
      </c>
      <c r="U1526" s="81">
        <f>DATEVALUE(LEFT(F1526,10))</f>
        <v>45000</v>
      </c>
    </row>
    <row r="1527" spans="1:21">
      <c r="A1527" s="56" t="s">
        <v>6845</v>
      </c>
      <c r="B1527" s="56" t="s">
        <v>29</v>
      </c>
      <c r="C1527" s="56" t="s">
        <v>6813</v>
      </c>
      <c r="D1527" s="56" t="s">
        <v>37</v>
      </c>
      <c r="E1527" s="56" t="s">
        <v>2939</v>
      </c>
      <c r="F1527" s="56" t="s">
        <v>6846</v>
      </c>
      <c r="G1527" s="56">
        <v>155</v>
      </c>
      <c r="H1527" s="56">
        <v>61</v>
      </c>
      <c r="I1527" s="56">
        <v>0.3935483870967742</v>
      </c>
      <c r="J1527" s="56" t="s">
        <v>6847</v>
      </c>
      <c r="K1527" s="56" t="s">
        <v>5612</v>
      </c>
      <c r="L1527" s="56" t="s">
        <v>3358</v>
      </c>
      <c r="M1527" s="56" t="str">
        <f>HYPERLINK("https://dribble.octin.io/?mode=Single+log&amp;log_id=7c027788-e03b-49fb-8b9b-7860c9c91e16","URL")</f>
        <v>URL</v>
      </c>
      <c r="N1527" s="56" t="s">
        <v>3446</v>
      </c>
      <c r="O1527" t="str">
        <f>_xlfn.XLOOKUP(N1527,'Error-codes'!$C$2:$C$130,'Error-codes'!$B$2:$B$130, "None")</f>
        <v>end of lane wall sensor error</v>
      </c>
      <c r="U1527" s="81">
        <f>DATEVALUE(LEFT(F1527,10))</f>
        <v>45000</v>
      </c>
    </row>
    <row r="1528" spans="1:21">
      <c r="A1528" s="56" t="s">
        <v>6848</v>
      </c>
      <c r="B1528" s="56" t="s">
        <v>228</v>
      </c>
      <c r="C1528" s="56" t="s">
        <v>6825</v>
      </c>
      <c r="D1528" s="56" t="s">
        <v>37</v>
      </c>
      <c r="E1528" s="56" t="s">
        <v>5174</v>
      </c>
      <c r="F1528" s="56" t="s">
        <v>6849</v>
      </c>
      <c r="G1528" s="56">
        <v>203</v>
      </c>
      <c r="H1528" s="56">
        <v>40</v>
      </c>
      <c r="I1528" s="56">
        <v>0.19704433497536947</v>
      </c>
      <c r="J1528" s="56" t="s">
        <v>6850</v>
      </c>
      <c r="K1528" s="56" t="s">
        <v>6828</v>
      </c>
      <c r="L1528" s="56" t="s">
        <v>2932</v>
      </c>
      <c r="M1528" s="56" t="str">
        <f>HYPERLINK("https://dribble.octin.io/?mode=Single+log&amp;log_id=c541bc48-a8d6-4a2a-b006-17c217e1a39f","URL")</f>
        <v>URL</v>
      </c>
      <c r="N1528" s="56" t="s">
        <v>3474</v>
      </c>
      <c r="O1528" t="str">
        <f>_xlfn.XLOOKUP(N1528,'Error-codes'!$C$2:$C$130,'Error-codes'!$B$2:$B$130, "None")</f>
        <v>unexpected uv lamp state switch</v>
      </c>
      <c r="U1528" s="81">
        <f>DATEVALUE(LEFT(F1528,10))</f>
        <v>45000</v>
      </c>
    </row>
    <row r="1529" spans="1:21">
      <c r="A1529" s="56" t="s">
        <v>6851</v>
      </c>
      <c r="B1529" s="56" t="s">
        <v>29</v>
      </c>
      <c r="C1529" s="56" t="s">
        <v>6813</v>
      </c>
      <c r="D1529" s="56" t="s">
        <v>37</v>
      </c>
      <c r="E1529" s="56" t="s">
        <v>2939</v>
      </c>
      <c r="F1529" s="56" t="s">
        <v>6852</v>
      </c>
      <c r="G1529" s="56">
        <v>155</v>
      </c>
      <c r="H1529" s="56">
        <v>70</v>
      </c>
      <c r="I1529" s="56">
        <v>0.45161290322580644</v>
      </c>
      <c r="J1529" s="56" t="s">
        <v>6853</v>
      </c>
      <c r="K1529" s="56" t="s">
        <v>5612</v>
      </c>
      <c r="L1529" s="56" t="s">
        <v>3358</v>
      </c>
      <c r="M1529" s="56" t="str">
        <f>HYPERLINK("https://dribble.octin.io/?mode=Single+log&amp;log_id=266f0e4c-ee16-4507-bfb0-b8fb58dbbf57","URL")</f>
        <v>URL</v>
      </c>
      <c r="N1529" s="56" t="s">
        <v>3446</v>
      </c>
      <c r="O1529" t="str">
        <f>_xlfn.XLOOKUP(N1529,'Error-codes'!$C$2:$C$130,'Error-codes'!$B$2:$B$130, "None")</f>
        <v>end of lane wall sensor error</v>
      </c>
      <c r="U1529" s="81">
        <f>DATEVALUE(LEFT(F1529,10))</f>
        <v>45000</v>
      </c>
    </row>
    <row r="1530" spans="1:21">
      <c r="A1530" s="56" t="s">
        <v>6854</v>
      </c>
      <c r="B1530" s="56" t="s">
        <v>29</v>
      </c>
      <c r="C1530" s="56" t="s">
        <v>6813</v>
      </c>
      <c r="D1530" s="56" t="s">
        <v>37</v>
      </c>
      <c r="E1530" s="56" t="s">
        <v>2939</v>
      </c>
      <c r="F1530" s="56" t="s">
        <v>6855</v>
      </c>
      <c r="G1530" s="56">
        <v>155</v>
      </c>
      <c r="H1530" s="56">
        <v>78</v>
      </c>
      <c r="I1530" s="56">
        <v>0.50322580645161286</v>
      </c>
      <c r="J1530" s="56" t="s">
        <v>6856</v>
      </c>
      <c r="K1530" s="56" t="s">
        <v>5612</v>
      </c>
      <c r="L1530" s="56" t="s">
        <v>3358</v>
      </c>
      <c r="M1530" s="56" t="str">
        <f>HYPERLINK("https://dribble.octin.io/?mode=Single+log&amp;log_id=ba536abf-a2dc-4a83-aa94-11424917fb53","URL")</f>
        <v>URL</v>
      </c>
      <c r="N1530" s="56" t="s">
        <v>3456</v>
      </c>
      <c r="O1530" t="str">
        <f>_xlfn.XLOOKUP(N1530,'Error-codes'!$C$2:$C$130,'Error-codes'!$B$2:$B$130, "None")</f>
        <v>motor drive: OVER VOLTAGE</v>
      </c>
      <c r="U1530" s="81">
        <f>DATEVALUE(LEFT(F1530,10))</f>
        <v>45000</v>
      </c>
    </row>
    <row r="1531" spans="1:21">
      <c r="A1531" s="56" t="s">
        <v>6857</v>
      </c>
      <c r="B1531" s="56" t="s">
        <v>5394</v>
      </c>
      <c r="C1531" s="56" t="s">
        <v>6858</v>
      </c>
      <c r="D1531" s="56" t="s">
        <v>37</v>
      </c>
      <c r="E1531" s="56" t="s">
        <v>4253</v>
      </c>
      <c r="F1531" s="56" t="s">
        <v>6859</v>
      </c>
      <c r="G1531" s="56">
        <v>76</v>
      </c>
      <c r="H1531" s="56">
        <v>3</v>
      </c>
      <c r="I1531" s="56">
        <v>3.9473684210526314E-2</v>
      </c>
      <c r="J1531" s="56" t="s">
        <v>6819</v>
      </c>
      <c r="K1531" s="56" t="s">
        <v>1873</v>
      </c>
      <c r="L1531" s="56" t="s">
        <v>6059</v>
      </c>
      <c r="M1531" s="56" t="str">
        <f>HYPERLINK("https://dribble.octin.io/?mode=Single+log&amp;log_id=72a459ce-31bb-407d-80db-41945dca9510","URL")</f>
        <v>URL</v>
      </c>
      <c r="N1531" s="56" t="s">
        <v>3460</v>
      </c>
      <c r="O1531" t="str">
        <f>_xlfn.XLOOKUP(N1531,'Error-codes'!$C$2:$C$130,'Error-codes'!$B$2:$B$130, "None")</f>
        <v>motor drive: DRV8353 FAULT</v>
      </c>
      <c r="U1531" s="81">
        <f>DATEVALUE(LEFT(F1531,10))</f>
        <v>45000</v>
      </c>
    </row>
    <row r="1532" spans="1:21">
      <c r="A1532" s="56" t="s">
        <v>6860</v>
      </c>
      <c r="B1532" s="56" t="s">
        <v>2886</v>
      </c>
      <c r="C1532" s="56" t="s">
        <v>6861</v>
      </c>
      <c r="D1532" s="56" t="s">
        <v>37</v>
      </c>
      <c r="E1532" s="56" t="s">
        <v>5226</v>
      </c>
      <c r="F1532" s="56" t="s">
        <v>6862</v>
      </c>
      <c r="G1532" s="56">
        <v>202</v>
      </c>
      <c r="H1532" s="56">
        <v>62</v>
      </c>
      <c r="I1532" s="56">
        <v>0.30693069306930693</v>
      </c>
      <c r="J1532" s="56" t="s">
        <v>2433</v>
      </c>
      <c r="K1532" s="56" t="s">
        <v>6583</v>
      </c>
      <c r="L1532" s="56" t="s">
        <v>2932</v>
      </c>
      <c r="M1532" s="56" t="str">
        <f>HYPERLINK("https://dribble.octin.io/?mode=Single+log&amp;log_id=089a04d4-895d-48f4-8158-e07505616495","URL")</f>
        <v>URL</v>
      </c>
      <c r="N1532" s="56" t="s">
        <v>3456</v>
      </c>
      <c r="O1532" t="str">
        <f>_xlfn.XLOOKUP(N1532,'Error-codes'!$C$2:$C$130,'Error-codes'!$B$2:$B$130, "None")</f>
        <v>motor drive: OVER VOLTAGE</v>
      </c>
      <c r="U1532" s="81">
        <f>DATEVALUE(LEFT(F1532,10))</f>
        <v>45000</v>
      </c>
    </row>
    <row r="1533" spans="1:21">
      <c r="A1533" s="56" t="s">
        <v>6863</v>
      </c>
      <c r="B1533" s="56" t="s">
        <v>5394</v>
      </c>
      <c r="C1533" s="56" t="s">
        <v>6864</v>
      </c>
      <c r="D1533" s="56" t="s">
        <v>37</v>
      </c>
      <c r="E1533" s="56" t="s">
        <v>2939</v>
      </c>
      <c r="F1533" s="56" t="s">
        <v>6865</v>
      </c>
      <c r="G1533" s="56">
        <v>74</v>
      </c>
      <c r="H1533" s="56">
        <v>5</v>
      </c>
      <c r="I1533" s="56">
        <v>6.7567567567567571E-2</v>
      </c>
      <c r="J1533" s="56" t="s">
        <v>6866</v>
      </c>
      <c r="K1533" s="56" t="s">
        <v>1873</v>
      </c>
      <c r="L1533" s="56" t="s">
        <v>6059</v>
      </c>
      <c r="M1533" s="56" t="str">
        <f>HYPERLINK("https://dribble.octin.io/?mode=Single+log&amp;log_id=ac1710db-7718-44ce-889f-e11efc344f38","URL")</f>
        <v>URL</v>
      </c>
      <c r="N1533" s="56" t="s">
        <v>3444</v>
      </c>
      <c r="O1533" t="str">
        <f>_xlfn.XLOOKUP(N1533,'Error-codes'!$C$2:$C$130,'Error-codes'!$B$2:$B$130, "None")</f>
        <v>collision detected in operational state for the 4th time in a row</v>
      </c>
      <c r="U1533" s="81">
        <f>DATEVALUE(LEFT(F1533,10))</f>
        <v>45000</v>
      </c>
    </row>
    <row r="1534" spans="1:21">
      <c r="A1534" s="56" t="s">
        <v>6867</v>
      </c>
      <c r="B1534" s="56" t="s">
        <v>29</v>
      </c>
      <c r="C1534" s="56" t="s">
        <v>6813</v>
      </c>
      <c r="D1534" s="56" t="s">
        <v>37</v>
      </c>
      <c r="E1534" s="56" t="s">
        <v>3242</v>
      </c>
      <c r="F1534" s="56" t="s">
        <v>6868</v>
      </c>
      <c r="G1534" s="56">
        <v>155</v>
      </c>
      <c r="H1534" s="56">
        <v>79</v>
      </c>
      <c r="I1534" s="56">
        <v>0.50967741935483868</v>
      </c>
      <c r="J1534" s="56" t="s">
        <v>6856</v>
      </c>
      <c r="K1534" s="56" t="s">
        <v>5612</v>
      </c>
      <c r="L1534" s="56" t="s">
        <v>3358</v>
      </c>
      <c r="M1534" s="56" t="str">
        <f>HYPERLINK("https://dribble.octin.io/?mode=Single+log&amp;log_id=13db7272-7366-4c2f-ae1b-03789e36c444","URL")</f>
        <v>URL</v>
      </c>
      <c r="N1534" s="56" t="s">
        <v>3458</v>
      </c>
      <c r="O1534" t="str">
        <f>_xlfn.XLOOKUP(N1534,'Error-codes'!$C$2:$C$130,'Error-codes'!$B$2:$B$130, "None")</f>
        <v>motor drive: UNDER VOLTAGE</v>
      </c>
      <c r="U1534" s="81">
        <f>DATEVALUE(LEFT(F1534,10))</f>
        <v>45000</v>
      </c>
    </row>
    <row r="1535" spans="1:21">
      <c r="A1535" s="56" t="s">
        <v>6869</v>
      </c>
      <c r="B1535" s="56" t="s">
        <v>29</v>
      </c>
      <c r="C1535" s="56" t="s">
        <v>6870</v>
      </c>
      <c r="D1535" s="56" t="s">
        <v>37</v>
      </c>
      <c r="E1535" s="56" t="s">
        <v>3242</v>
      </c>
      <c r="F1535" s="56" t="s">
        <v>6871</v>
      </c>
      <c r="G1535" s="56">
        <v>76</v>
      </c>
      <c r="H1535" s="56">
        <v>0</v>
      </c>
      <c r="I1535" s="56">
        <v>0</v>
      </c>
      <c r="J1535" s="56" t="s">
        <v>3315</v>
      </c>
      <c r="K1535" s="56" t="s">
        <v>5612</v>
      </c>
      <c r="L1535" s="56" t="s">
        <v>3358</v>
      </c>
      <c r="M1535" s="56" t="str">
        <f>HYPERLINK("https://dribble.octin.io/?mode=Single+log&amp;log_id=3858fb5f-2e41-494d-8ec6-ce67c122713c","URL")</f>
        <v>URL</v>
      </c>
      <c r="N1535" s="56" t="s">
        <v>3458</v>
      </c>
      <c r="O1535" t="str">
        <f>_xlfn.XLOOKUP(N1535,'Error-codes'!$C$2:$C$130,'Error-codes'!$B$2:$B$130, "None")</f>
        <v>motor drive: UNDER VOLTAGE</v>
      </c>
      <c r="U1535" s="81">
        <f>DATEVALUE(LEFT(F1535,10))</f>
        <v>45000</v>
      </c>
    </row>
    <row r="1536" spans="1:21">
      <c r="A1536" s="56" t="s">
        <v>6872</v>
      </c>
      <c r="B1536" s="56" t="s">
        <v>5394</v>
      </c>
      <c r="C1536" s="56" t="s">
        <v>6864</v>
      </c>
      <c r="D1536" s="56" t="s">
        <v>37</v>
      </c>
      <c r="E1536" s="56" t="s">
        <v>4351</v>
      </c>
      <c r="F1536" s="56" t="s">
        <v>6873</v>
      </c>
      <c r="G1536" s="56">
        <v>74</v>
      </c>
      <c r="H1536" s="56">
        <v>42</v>
      </c>
      <c r="I1536" s="56">
        <v>0.56756756756756754</v>
      </c>
      <c r="J1536" s="56" t="s">
        <v>6874</v>
      </c>
      <c r="K1536" s="56" t="s">
        <v>1873</v>
      </c>
      <c r="L1536" s="56" t="s">
        <v>6059</v>
      </c>
      <c r="M1536" s="56" t="str">
        <f>HYPERLINK("https://dribble.octin.io/?mode=Single+log&amp;log_id=9dc0b4b5-7c65-4f51-b6f8-8b140548bddf","URL")</f>
        <v>URL</v>
      </c>
      <c r="N1536" s="56" t="s">
        <v>3472</v>
      </c>
      <c r="O1536" t="str">
        <f>_xlfn.XLOOKUP(N1536,'Error-codes'!$C$2:$C$130,'Error-codes'!$B$2:$B$130, "None")</f>
        <v>Excessive slip detected</v>
      </c>
      <c r="U1536" s="81">
        <f>DATEVALUE(LEFT(F1536,10))</f>
        <v>45001</v>
      </c>
    </row>
    <row r="1537" spans="1:21">
      <c r="A1537" s="56"/>
      <c r="B1537" s="56" t="s">
        <v>295</v>
      </c>
      <c r="C1537" s="56" t="s">
        <v>6875</v>
      </c>
      <c r="D1537" s="56" t="s">
        <v>37</v>
      </c>
      <c r="E1537" s="56" t="s">
        <v>4371</v>
      </c>
      <c r="F1537" s="56" t="s">
        <v>6876</v>
      </c>
      <c r="G1537" s="56">
        <v>214</v>
      </c>
      <c r="H1537" s="56">
        <v>166</v>
      </c>
      <c r="I1537" s="56">
        <v>0.77570093457943923</v>
      </c>
      <c r="J1537" s="56" t="s">
        <v>6877</v>
      </c>
      <c r="K1537" s="56" t="s">
        <v>1893</v>
      </c>
      <c r="L1537" s="56" t="s">
        <v>2942</v>
      </c>
      <c r="N1537" s="56" t="s">
        <v>3470</v>
      </c>
      <c r="O1537" t="str">
        <f>_xlfn.XLOOKUP(N1537,'Error-codes'!$C$2:$C$130,'Error-codes'!$B$2:$B$130, "None")</f>
        <v>battery level critical low</v>
      </c>
      <c r="U1537" s="81">
        <f>DATEVALUE(LEFT(F1537,10))</f>
        <v>45001</v>
      </c>
    </row>
    <row r="1538" spans="1:21">
      <c r="B1538" s="56" t="s">
        <v>3263</v>
      </c>
      <c r="C1538" s="56" t="s">
        <v>6878</v>
      </c>
      <c r="D1538" s="56" t="s">
        <v>388</v>
      </c>
      <c r="F1538" s="56" t="s">
        <v>6879</v>
      </c>
      <c r="G1538" s="56">
        <v>82</v>
      </c>
      <c r="H1538" s="56">
        <v>82</v>
      </c>
      <c r="I1538" s="56">
        <v>1</v>
      </c>
      <c r="K1538" s="56" t="s">
        <v>3280</v>
      </c>
      <c r="L1538" s="56" t="s">
        <v>3269</v>
      </c>
      <c r="O1538">
        <f>_xlfn.XLOOKUP(N1538,'Error-codes'!$C$2:$C$130,'Error-codes'!$B$2:$B$130, "None")</f>
        <v>0</v>
      </c>
      <c r="U1538" s="81">
        <f>DATEVALUE(LEFT(F1538,10))</f>
        <v>45001</v>
      </c>
    </row>
    <row r="1539" spans="1:21">
      <c r="A1539" s="56" t="s">
        <v>6880</v>
      </c>
      <c r="B1539" s="56" t="s">
        <v>3771</v>
      </c>
      <c r="C1539" s="56" t="s">
        <v>6881</v>
      </c>
      <c r="D1539" s="56" t="s">
        <v>37</v>
      </c>
      <c r="E1539" s="56" t="s">
        <v>4564</v>
      </c>
      <c r="F1539" s="56" t="s">
        <v>6882</v>
      </c>
      <c r="G1539" s="56">
        <v>4</v>
      </c>
      <c r="H1539" s="56">
        <v>1</v>
      </c>
      <c r="I1539" s="56">
        <v>0.25</v>
      </c>
      <c r="J1539" s="56" t="s">
        <v>6883</v>
      </c>
      <c r="K1539" s="56" t="s">
        <v>1873</v>
      </c>
      <c r="L1539" s="56" t="s">
        <v>6394</v>
      </c>
      <c r="M1539" s="56" t="str">
        <f>HYPERLINK("https://dribble.octin.io/?mode=Single+log&amp;log_id=3dd1071b-d2c0-4f22-bb10-319cacbfc33c","URL")</f>
        <v>URL</v>
      </c>
      <c r="N1539" s="56" t="s">
        <v>3452</v>
      </c>
      <c r="O1539" t="str">
        <f>_xlfn.XLOOKUP(N1539,'Error-codes'!$C$2:$C$130,'Error-codes'!$B$2:$B$130, "None")</f>
        <v>ytheta sensor error</v>
      </c>
      <c r="U1539" s="81">
        <f>DATEVALUE(LEFT(F1539,10))</f>
        <v>45001</v>
      </c>
    </row>
    <row r="1540" spans="1:21">
      <c r="B1540" s="56" t="s">
        <v>3771</v>
      </c>
      <c r="C1540" s="56" t="s">
        <v>6884</v>
      </c>
      <c r="D1540" s="56" t="s">
        <v>22</v>
      </c>
      <c r="F1540" s="56" t="s">
        <v>6885</v>
      </c>
      <c r="G1540" s="56">
        <v>8</v>
      </c>
      <c r="H1540" s="56">
        <v>2</v>
      </c>
      <c r="I1540" s="56">
        <v>0.25</v>
      </c>
      <c r="K1540" s="56" t="s">
        <v>1873</v>
      </c>
      <c r="L1540" s="56" t="s">
        <v>6394</v>
      </c>
      <c r="O1540">
        <f>_xlfn.XLOOKUP(N1540,'Error-codes'!$C$2:$C$130,'Error-codes'!$B$2:$B$130, "None")</f>
        <v>0</v>
      </c>
      <c r="U1540" s="81">
        <f>DATEVALUE(LEFT(F1540,10))</f>
        <v>45001</v>
      </c>
    </row>
    <row r="1541" spans="1:21">
      <c r="A1541" s="56" t="s">
        <v>6886</v>
      </c>
      <c r="B1541" s="56" t="s">
        <v>3771</v>
      </c>
      <c r="C1541" s="56" t="s">
        <v>6887</v>
      </c>
      <c r="D1541" s="56" t="s">
        <v>37</v>
      </c>
      <c r="E1541" s="56"/>
      <c r="F1541" s="56" t="s">
        <v>6888</v>
      </c>
      <c r="G1541" s="56">
        <v>11</v>
      </c>
      <c r="H1541" s="56">
        <v>1</v>
      </c>
      <c r="I1541" s="56">
        <v>9.0909090909090912E-2</v>
      </c>
      <c r="J1541" s="56" t="s">
        <v>6883</v>
      </c>
      <c r="K1541" s="56" t="s">
        <v>1873</v>
      </c>
      <c r="L1541" s="56" t="s">
        <v>6394</v>
      </c>
      <c r="M1541" s="56" t="str">
        <f>HYPERLINK("https://dribble.octin.io/?mode=Single+log&amp;log_id=80ad3d28-df9b-4882-8dc3-8c6ec006d6a2","URL")</f>
        <v>URL</v>
      </c>
      <c r="N1541" s="56" t="s">
        <v>3448</v>
      </c>
      <c r="O1541" t="str">
        <f>_xlfn.XLOOKUP(N1541,'Error-codes'!$C$2:$C$130,'Error-codes'!$B$2:$B$130, "None")</f>
        <v>end of lane open sensor error</v>
      </c>
      <c r="U1541" s="81">
        <f>DATEVALUE(LEFT(F1541,10))</f>
        <v>45001</v>
      </c>
    </row>
    <row r="1542" spans="1:21">
      <c r="A1542" s="56"/>
      <c r="B1542" s="56" t="s">
        <v>295</v>
      </c>
      <c r="C1542" s="56" t="s">
        <v>6889</v>
      </c>
      <c r="D1542" s="56" t="s">
        <v>22</v>
      </c>
      <c r="E1542" s="56" t="s">
        <v>2939</v>
      </c>
      <c r="F1542" s="56" t="s">
        <v>6890</v>
      </c>
      <c r="G1542" s="56">
        <v>78</v>
      </c>
      <c r="H1542" s="56">
        <v>2</v>
      </c>
      <c r="I1542" s="56">
        <v>2.564102564102564E-2</v>
      </c>
      <c r="J1542" s="56" t="s">
        <v>6856</v>
      </c>
      <c r="K1542" s="56" t="s">
        <v>5612</v>
      </c>
      <c r="L1542" s="56" t="s">
        <v>3358</v>
      </c>
      <c r="N1542" s="56" t="s">
        <v>2933</v>
      </c>
      <c r="O1542" t="str">
        <f>_xlfn.XLOOKUP(N1542,'Error-codes'!$C$2:$C$130,'Error-codes'!$B$2:$B$130, "None")</f>
        <v>inductive sensor error</v>
      </c>
      <c r="U1542" s="81">
        <f>DATEVALUE(LEFT(F1542,10))</f>
        <v>45001</v>
      </c>
    </row>
    <row r="1543" spans="1:21">
      <c r="A1543" s="56" t="s">
        <v>6891</v>
      </c>
      <c r="B1543" s="56" t="s">
        <v>3771</v>
      </c>
      <c r="C1543" s="56" t="s">
        <v>6892</v>
      </c>
      <c r="D1543" s="56" t="s">
        <v>37</v>
      </c>
      <c r="E1543" s="56" t="s">
        <v>4564</v>
      </c>
      <c r="F1543" s="56" t="s">
        <v>6893</v>
      </c>
      <c r="G1543" s="56">
        <v>6</v>
      </c>
      <c r="H1543" s="56">
        <v>1</v>
      </c>
      <c r="I1543" s="56">
        <v>0.16666666666666666</v>
      </c>
      <c r="J1543" s="56" t="s">
        <v>6883</v>
      </c>
      <c r="K1543" s="56" t="s">
        <v>1873</v>
      </c>
      <c r="L1543" s="56" t="s">
        <v>6394</v>
      </c>
      <c r="M1543" s="56" t="str">
        <f>HYPERLINK("https://dribble.octin.io/?mode=Single+log&amp;log_id=ac5fe68f-50d9-4c09-9500-074971099efc","URL")</f>
        <v>URL</v>
      </c>
      <c r="N1543" s="56" t="s">
        <v>3426</v>
      </c>
      <c r="O1543" t="str">
        <f>_xlfn.XLOOKUP(N1543,'Error-codes'!$C$2:$C$130,'Error-codes'!$B$2:$B$130, "None")</f>
        <v>low level fsm is no longer executing the given command</v>
      </c>
      <c r="U1543" s="81">
        <f>DATEVALUE(LEFT(F1543,10))</f>
        <v>45001</v>
      </c>
    </row>
    <row r="1544" spans="1:21">
      <c r="B1544" s="56" t="s">
        <v>3771</v>
      </c>
      <c r="C1544" s="56" t="s">
        <v>6894</v>
      </c>
      <c r="D1544" s="56" t="s">
        <v>388</v>
      </c>
      <c r="F1544" s="56" t="s">
        <v>6895</v>
      </c>
      <c r="G1544" s="56">
        <v>7</v>
      </c>
      <c r="H1544" s="56">
        <v>7</v>
      </c>
      <c r="I1544" s="56">
        <v>1</v>
      </c>
      <c r="K1544" s="56" t="s">
        <v>1873</v>
      </c>
      <c r="L1544" s="56" t="s">
        <v>6394</v>
      </c>
      <c r="O1544">
        <f>_xlfn.XLOOKUP(N1544,'Error-codes'!$C$2:$C$130,'Error-codes'!$B$2:$B$130, "None")</f>
        <v>0</v>
      </c>
      <c r="U1544" s="81">
        <f>DATEVALUE(LEFT(F1544,10))</f>
        <v>45001</v>
      </c>
    </row>
    <row r="1545" spans="1:21">
      <c r="A1545" s="56"/>
      <c r="B1545" s="56" t="s">
        <v>295</v>
      </c>
      <c r="C1545" s="56" t="s">
        <v>6896</v>
      </c>
      <c r="D1545" s="56" t="s">
        <v>37</v>
      </c>
      <c r="E1545" s="56" t="s">
        <v>3253</v>
      </c>
      <c r="F1545" s="56" t="s">
        <v>6897</v>
      </c>
      <c r="G1545" s="56">
        <v>77</v>
      </c>
      <c r="H1545" s="56">
        <v>2</v>
      </c>
      <c r="I1545" s="56">
        <v>2.5974025974025976E-2</v>
      </c>
      <c r="J1545" s="56" t="s">
        <v>6898</v>
      </c>
      <c r="K1545" s="56" t="s">
        <v>5612</v>
      </c>
      <c r="L1545" s="56" t="s">
        <v>3358</v>
      </c>
      <c r="N1545" s="56" t="s">
        <v>3454</v>
      </c>
      <c r="O1545" t="str">
        <f>_xlfn.XLOOKUP(N1545,'Error-codes'!$C$2:$C$130,'Error-codes'!$B$2:$B$130, "None")</f>
        <v>Veh low level FSM: safety was triggered</v>
      </c>
      <c r="U1545" s="81">
        <f>DATEVALUE(LEFT(F1545,10))</f>
        <v>45001</v>
      </c>
    </row>
    <row r="1546" spans="1:21">
      <c r="A1546" s="56" t="s">
        <v>6899</v>
      </c>
      <c r="B1546" s="56" t="s">
        <v>29</v>
      </c>
      <c r="C1546" s="56" t="s">
        <v>6900</v>
      </c>
      <c r="D1546" s="56" t="s">
        <v>37</v>
      </c>
      <c r="E1546" s="56" t="s">
        <v>3204</v>
      </c>
      <c r="F1546" s="56" t="s">
        <v>6901</v>
      </c>
      <c r="G1546" s="56">
        <v>6</v>
      </c>
      <c r="H1546" s="56">
        <v>0</v>
      </c>
      <c r="I1546" s="56">
        <v>0</v>
      </c>
      <c r="J1546" s="56" t="s">
        <v>3315</v>
      </c>
      <c r="K1546" s="56" t="s">
        <v>5612</v>
      </c>
      <c r="L1546" s="56" t="s">
        <v>3358</v>
      </c>
      <c r="M1546" s="56" t="str">
        <f>HYPERLINK("https://dribble.octin.io/?mode=Single+log&amp;log_id=1c69b540-1cd1-426f-9d10-462180747da2","URL")</f>
        <v>URL</v>
      </c>
      <c r="N1546" s="56" t="s">
        <v>3444</v>
      </c>
      <c r="O1546" t="str">
        <f>_xlfn.XLOOKUP(N1546,'Error-codes'!$C$2:$C$130,'Error-codes'!$B$2:$B$130, "None")</f>
        <v>collision detected in operational state for the 4th time in a row</v>
      </c>
      <c r="U1546" s="81">
        <f>DATEVALUE(LEFT(F1546,10))</f>
        <v>45001</v>
      </c>
    </row>
    <row r="1547" spans="1:21">
      <c r="B1547" s="56" t="s">
        <v>295</v>
      </c>
      <c r="C1547" s="56" t="s">
        <v>6902</v>
      </c>
      <c r="D1547" s="56" t="s">
        <v>22</v>
      </c>
      <c r="F1547" s="56" t="s">
        <v>6903</v>
      </c>
      <c r="G1547" s="56">
        <v>76</v>
      </c>
      <c r="H1547" s="56">
        <v>2</v>
      </c>
      <c r="I1547" s="56">
        <v>2.6315789473684209E-2</v>
      </c>
      <c r="K1547" s="56" t="s">
        <v>5612</v>
      </c>
      <c r="L1547" s="56" t="s">
        <v>3358</v>
      </c>
      <c r="O1547">
        <f>_xlfn.XLOOKUP(N1547,'Error-codes'!$C$2:$C$130,'Error-codes'!$B$2:$B$130, "None")</f>
        <v>0</v>
      </c>
      <c r="U1547" s="81">
        <f>DATEVALUE(LEFT(F1547,10))</f>
        <v>45001</v>
      </c>
    </row>
    <row r="1548" spans="1:21">
      <c r="B1548" s="56" t="s">
        <v>295</v>
      </c>
      <c r="C1548" s="56" t="s">
        <v>6904</v>
      </c>
      <c r="D1548" s="56"/>
      <c r="F1548" s="56" t="s">
        <v>6905</v>
      </c>
      <c r="G1548" s="56">
        <v>78</v>
      </c>
      <c r="H1548" s="56">
        <v>2</v>
      </c>
      <c r="I1548" s="56">
        <v>2.564102564102564E-2</v>
      </c>
      <c r="K1548" s="56" t="s">
        <v>5612</v>
      </c>
      <c r="L1548" s="56" t="s">
        <v>3358</v>
      </c>
      <c r="O1548">
        <f>_xlfn.XLOOKUP(N1548,'Error-codes'!$C$2:$C$130,'Error-codes'!$B$2:$B$130, "None")</f>
        <v>0</v>
      </c>
      <c r="U1548" s="81">
        <f>DATEVALUE(LEFT(F1548,10))</f>
        <v>45001</v>
      </c>
    </row>
    <row r="1549" spans="1:21">
      <c r="B1549" s="56" t="s">
        <v>29</v>
      </c>
      <c r="C1549" s="56" t="s">
        <v>6906</v>
      </c>
      <c r="D1549" s="56" t="s">
        <v>22</v>
      </c>
      <c r="F1549" s="56" t="s">
        <v>6907</v>
      </c>
      <c r="G1549" s="56">
        <v>77</v>
      </c>
      <c r="H1549" s="56">
        <v>3</v>
      </c>
      <c r="I1549" s="56">
        <v>3.896103896103896E-2</v>
      </c>
      <c r="K1549" s="56" t="s">
        <v>5612</v>
      </c>
      <c r="L1549" s="56" t="s">
        <v>3358</v>
      </c>
      <c r="O1549">
        <f>_xlfn.XLOOKUP(N1549,'Error-codes'!$C$2:$C$130,'Error-codes'!$B$2:$B$130, "None")</f>
        <v>0</v>
      </c>
      <c r="U1549" s="81">
        <f>DATEVALUE(LEFT(F1549,10))</f>
        <v>45001</v>
      </c>
    </row>
    <row r="1550" spans="1:21">
      <c r="A1550" s="56"/>
      <c r="B1550" s="56" t="s">
        <v>29</v>
      </c>
      <c r="C1550" s="56" t="s">
        <v>6908</v>
      </c>
      <c r="D1550" s="56" t="s">
        <v>37</v>
      </c>
      <c r="E1550" s="56" t="s">
        <v>2939</v>
      </c>
      <c r="F1550" s="56" t="s">
        <v>6909</v>
      </c>
      <c r="G1550" s="56">
        <v>79</v>
      </c>
      <c r="H1550" s="56">
        <v>0</v>
      </c>
      <c r="I1550" s="56">
        <v>0</v>
      </c>
      <c r="J1550" s="56" t="s">
        <v>6910</v>
      </c>
      <c r="K1550" s="56" t="s">
        <v>5612</v>
      </c>
      <c r="L1550" s="56" t="s">
        <v>3358</v>
      </c>
      <c r="N1550" s="56" t="s">
        <v>3458</v>
      </c>
      <c r="O1550" t="str">
        <f>_xlfn.XLOOKUP(N1550,'Error-codes'!$C$2:$C$130,'Error-codes'!$B$2:$B$130, "None")</f>
        <v>motor drive: UNDER VOLTAGE</v>
      </c>
      <c r="U1550" s="81">
        <f>DATEVALUE(LEFT(F1550,10))</f>
        <v>45001</v>
      </c>
    </row>
    <row r="1551" spans="1:21">
      <c r="B1551" s="56" t="s">
        <v>3771</v>
      </c>
      <c r="C1551" s="56" t="s">
        <v>6911</v>
      </c>
      <c r="D1551" s="56" t="s">
        <v>37</v>
      </c>
      <c r="F1551" s="56" t="s">
        <v>6912</v>
      </c>
      <c r="G1551" s="56">
        <v>3</v>
      </c>
      <c r="H1551" s="56">
        <v>0</v>
      </c>
      <c r="I1551" s="56">
        <v>0</v>
      </c>
      <c r="K1551" s="56" t="s">
        <v>3207</v>
      </c>
      <c r="L1551" s="56" t="s">
        <v>3775</v>
      </c>
      <c r="O1551">
        <f>_xlfn.XLOOKUP(N1551,'Error-codes'!$C$2:$C$130,'Error-codes'!$B$2:$B$130, "None")</f>
        <v>0</v>
      </c>
      <c r="U1551" s="81">
        <f>DATEVALUE(LEFT(F1551,10))</f>
        <v>45001</v>
      </c>
    </row>
    <row r="1552" spans="1:21">
      <c r="B1552" s="56" t="s">
        <v>295</v>
      </c>
      <c r="C1552" s="56" t="s">
        <v>6913</v>
      </c>
      <c r="D1552" s="56" t="s">
        <v>22</v>
      </c>
      <c r="F1552" s="56" t="s">
        <v>6914</v>
      </c>
      <c r="G1552" s="56">
        <v>78</v>
      </c>
      <c r="H1552" s="56">
        <v>2</v>
      </c>
      <c r="I1552" s="56">
        <v>2.564102564102564E-2</v>
      </c>
      <c r="K1552" s="56" t="s">
        <v>5612</v>
      </c>
      <c r="L1552" s="56" t="s">
        <v>3358</v>
      </c>
      <c r="O1552">
        <f>_xlfn.XLOOKUP(N1552,'Error-codes'!$C$2:$C$130,'Error-codes'!$B$2:$B$130, "None")</f>
        <v>0</v>
      </c>
      <c r="U1552" s="81">
        <f>DATEVALUE(LEFT(F1552,10))</f>
        <v>45001</v>
      </c>
    </row>
    <row r="1553" spans="1:21">
      <c r="A1553" s="56"/>
      <c r="B1553" s="56" t="s">
        <v>29</v>
      </c>
      <c r="C1553" s="56" t="s">
        <v>6908</v>
      </c>
      <c r="D1553" s="56" t="s">
        <v>37</v>
      </c>
      <c r="E1553" s="56" t="s">
        <v>4222</v>
      </c>
      <c r="F1553" s="56" t="s">
        <v>6915</v>
      </c>
      <c r="G1553" s="56">
        <v>79</v>
      </c>
      <c r="H1553" s="56">
        <v>6</v>
      </c>
      <c r="I1553" s="56">
        <v>7.5949367088607597E-2</v>
      </c>
      <c r="J1553" s="56" t="s">
        <v>6916</v>
      </c>
      <c r="K1553" s="56" t="s">
        <v>5612</v>
      </c>
      <c r="L1553" s="56" t="s">
        <v>3358</v>
      </c>
      <c r="N1553" s="56" t="s">
        <v>3458</v>
      </c>
      <c r="O1553" t="str">
        <f>_xlfn.XLOOKUP(N1553,'Error-codes'!$C$2:$C$130,'Error-codes'!$B$2:$B$130, "None")</f>
        <v>motor drive: UNDER VOLTAGE</v>
      </c>
      <c r="U1553" s="81">
        <f>DATEVALUE(LEFT(F1553,10))</f>
        <v>45001</v>
      </c>
    </row>
    <row r="1554" spans="1:21">
      <c r="A1554" s="56" t="s">
        <v>6917</v>
      </c>
      <c r="B1554" s="56" t="s">
        <v>3771</v>
      </c>
      <c r="C1554" s="56" t="s">
        <v>6918</v>
      </c>
      <c r="D1554" s="56" t="s">
        <v>37</v>
      </c>
      <c r="E1554" s="56" t="s">
        <v>4564</v>
      </c>
      <c r="F1554" s="56" t="s">
        <v>6919</v>
      </c>
      <c r="G1554" s="56">
        <v>11</v>
      </c>
      <c r="H1554" s="56">
        <v>2</v>
      </c>
      <c r="I1554" s="56">
        <v>0.18181818181818182</v>
      </c>
      <c r="J1554" s="56" t="s">
        <v>3315</v>
      </c>
      <c r="K1554" s="56" t="s">
        <v>6550</v>
      </c>
      <c r="L1554" s="56" t="s">
        <v>6394</v>
      </c>
      <c r="M1554" s="56" t="str">
        <f>HYPERLINK("https://dribble.octin.io/?mode=Single+log&amp;log_id=ae77e2f4-1b87-417b-8245-3037d93bf93d","URL")</f>
        <v>URL</v>
      </c>
      <c r="N1554" s="56" t="s">
        <v>3438</v>
      </c>
      <c r="O1554" t="str">
        <f>_xlfn.XLOOKUP(N1554,'Error-codes'!$C$2:$C$130,'Error-codes'!$B$2:$B$130, "None")</f>
        <v>Failed to find feasible path</v>
      </c>
      <c r="U1554" s="81">
        <f>DATEVALUE(LEFT(F1554,10))</f>
        <v>45001</v>
      </c>
    </row>
    <row r="1555" spans="1:21">
      <c r="A1555" s="56" t="s">
        <v>6920</v>
      </c>
      <c r="B1555" s="56" t="s">
        <v>3771</v>
      </c>
      <c r="C1555" s="56" t="s">
        <v>6921</v>
      </c>
      <c r="D1555" s="56" t="s">
        <v>37</v>
      </c>
      <c r="E1555" s="56" t="s">
        <v>4564</v>
      </c>
      <c r="F1555" s="56" t="s">
        <v>6922</v>
      </c>
      <c r="G1555" s="56">
        <v>19</v>
      </c>
      <c r="H1555" s="56">
        <v>2</v>
      </c>
      <c r="I1555" s="56">
        <v>0.10526315789473684</v>
      </c>
      <c r="J1555" s="56" t="s">
        <v>6923</v>
      </c>
      <c r="K1555" s="56" t="s">
        <v>6550</v>
      </c>
      <c r="L1555" s="56" t="s">
        <v>6394</v>
      </c>
      <c r="M1555" s="56" t="str">
        <f>HYPERLINK("https://dribble.octin.io/?mode=Single+log&amp;log_id=19b26a63-e2f4-459e-abc1-51d3f3ab6d84","URL")</f>
        <v>URL</v>
      </c>
      <c r="N1555" s="56" t="s">
        <v>3438</v>
      </c>
      <c r="O1555" t="str">
        <f>_xlfn.XLOOKUP(N1555,'Error-codes'!$C$2:$C$130,'Error-codes'!$B$2:$B$130, "None")</f>
        <v>Failed to find feasible path</v>
      </c>
      <c r="U1555" s="81">
        <f>DATEVALUE(LEFT(F1555,10))</f>
        <v>45001</v>
      </c>
    </row>
    <row r="1556" spans="1:21">
      <c r="A1556" s="56" t="s">
        <v>6924</v>
      </c>
      <c r="B1556" s="56" t="s">
        <v>3771</v>
      </c>
      <c r="C1556" s="56" t="s">
        <v>6925</v>
      </c>
      <c r="D1556" s="56" t="s">
        <v>37</v>
      </c>
      <c r="E1556" s="56" t="s">
        <v>4564</v>
      </c>
      <c r="F1556" s="56" t="s">
        <v>6926</v>
      </c>
      <c r="G1556" s="56">
        <v>18</v>
      </c>
      <c r="H1556" s="56">
        <v>2</v>
      </c>
      <c r="I1556" s="56">
        <v>0.1111111111111111</v>
      </c>
      <c r="J1556" s="56" t="s">
        <v>3315</v>
      </c>
      <c r="K1556" s="56" t="s">
        <v>6550</v>
      </c>
      <c r="L1556" s="56" t="s">
        <v>6394</v>
      </c>
      <c r="M1556" s="56" t="str">
        <f>HYPERLINK("https://dribble.octin.io/?mode=Single+log&amp;log_id=6306d126-1e4b-4d49-b2fb-e7bf0eb69b9e","URL")</f>
        <v>URL</v>
      </c>
      <c r="N1556" s="56" t="s">
        <v>3438</v>
      </c>
      <c r="O1556" t="str">
        <f>_xlfn.XLOOKUP(N1556,'Error-codes'!$C$2:$C$130,'Error-codes'!$B$2:$B$130, "None")</f>
        <v>Failed to find feasible path</v>
      </c>
      <c r="U1556" s="81">
        <f>DATEVALUE(LEFT(F1556,10))</f>
        <v>45001</v>
      </c>
    </row>
    <row r="1557" spans="1:21">
      <c r="A1557" s="56" t="s">
        <v>6927</v>
      </c>
      <c r="B1557" s="56" t="s">
        <v>3771</v>
      </c>
      <c r="C1557" s="56" t="s">
        <v>6928</v>
      </c>
      <c r="D1557" s="56" t="s">
        <v>37</v>
      </c>
      <c r="E1557" s="56" t="s">
        <v>4564</v>
      </c>
      <c r="F1557" s="56" t="s">
        <v>6929</v>
      </c>
      <c r="G1557" s="56">
        <v>21</v>
      </c>
      <c r="H1557" s="56">
        <v>2</v>
      </c>
      <c r="I1557" s="56">
        <v>9.5238095238095233E-2</v>
      </c>
      <c r="J1557" s="56" t="s">
        <v>6923</v>
      </c>
      <c r="K1557" s="56" t="s">
        <v>6550</v>
      </c>
      <c r="L1557" s="56" t="s">
        <v>6394</v>
      </c>
      <c r="M1557" s="56" t="str">
        <f>HYPERLINK("https://dribble.octin.io/?mode=Single+log&amp;log_id=9f063ad3-23ec-4fc2-b3f9-49fb14019d2f","URL")</f>
        <v>URL</v>
      </c>
      <c r="N1557" s="56" t="s">
        <v>3438</v>
      </c>
      <c r="O1557" t="str">
        <f>_xlfn.XLOOKUP(N1557,'Error-codes'!$C$2:$C$130,'Error-codes'!$B$2:$B$130, "None")</f>
        <v>Failed to find feasible path</v>
      </c>
      <c r="U1557" s="81">
        <f>DATEVALUE(LEFT(F1557,10))</f>
        <v>45001</v>
      </c>
    </row>
    <row r="1558" spans="1:21">
      <c r="B1558" s="56" t="s">
        <v>3771</v>
      </c>
      <c r="C1558" s="56" t="s">
        <v>6930</v>
      </c>
      <c r="D1558" s="56" t="s">
        <v>22</v>
      </c>
      <c r="F1558" s="56" t="s">
        <v>6931</v>
      </c>
      <c r="G1558" s="56">
        <v>13</v>
      </c>
      <c r="H1558" s="56">
        <v>6</v>
      </c>
      <c r="I1558" s="56">
        <v>0.46153846153846156</v>
      </c>
      <c r="K1558" s="56" t="s">
        <v>6550</v>
      </c>
      <c r="L1558" s="56" t="s">
        <v>6394</v>
      </c>
      <c r="O1558">
        <f>_xlfn.XLOOKUP(N1558,'Error-codes'!$C$2:$C$130,'Error-codes'!$B$2:$B$130, "None")</f>
        <v>0</v>
      </c>
      <c r="U1558" s="81">
        <f>DATEVALUE(LEFT(F1558,10))</f>
        <v>45001</v>
      </c>
    </row>
    <row r="1559" spans="1:21">
      <c r="B1559" s="56" t="s">
        <v>5394</v>
      </c>
      <c r="C1559" s="56" t="s">
        <v>6932</v>
      </c>
      <c r="D1559" s="56"/>
      <c r="F1559" s="56" t="s">
        <v>6933</v>
      </c>
      <c r="G1559" s="56">
        <v>119</v>
      </c>
      <c r="H1559" s="56">
        <v>11</v>
      </c>
      <c r="I1559" s="56">
        <v>9.2436974789915971E-2</v>
      </c>
      <c r="K1559" s="56" t="s">
        <v>1516</v>
      </c>
      <c r="L1559" s="56" t="s">
        <v>6059</v>
      </c>
      <c r="O1559">
        <f>_xlfn.XLOOKUP(N1559,'Error-codes'!$C$2:$C$130,'Error-codes'!$B$2:$B$130, "None")</f>
        <v>0</v>
      </c>
      <c r="U1559" s="81">
        <f>DATEVALUE(LEFT(F1559,10))</f>
        <v>45001</v>
      </c>
    </row>
    <row r="1560" spans="1:21">
      <c r="B1560" s="56" t="s">
        <v>5394</v>
      </c>
      <c r="C1560" s="56" t="s">
        <v>6934</v>
      </c>
      <c r="D1560" s="56"/>
      <c r="F1560" s="56" t="s">
        <v>6935</v>
      </c>
      <c r="G1560" s="56">
        <v>109</v>
      </c>
      <c r="H1560" s="56">
        <v>21</v>
      </c>
      <c r="I1560" s="56">
        <v>0.19266055045871561</v>
      </c>
      <c r="K1560" s="56" t="s">
        <v>1516</v>
      </c>
      <c r="L1560" s="56" t="s">
        <v>6059</v>
      </c>
      <c r="O1560">
        <f>_xlfn.XLOOKUP(N1560,'Error-codes'!$C$2:$C$130,'Error-codes'!$B$2:$B$130, "None")</f>
        <v>0</v>
      </c>
      <c r="U1560" s="81">
        <f>DATEVALUE(LEFT(F1560,10))</f>
        <v>45001</v>
      </c>
    </row>
    <row r="1561" spans="1:21">
      <c r="B1561" s="56" t="s">
        <v>5394</v>
      </c>
      <c r="C1561" s="56" t="s">
        <v>6936</v>
      </c>
      <c r="D1561" s="56" t="s">
        <v>22</v>
      </c>
      <c r="F1561" s="56" t="s">
        <v>6937</v>
      </c>
      <c r="G1561" s="56">
        <v>89</v>
      </c>
      <c r="H1561" s="56">
        <v>2</v>
      </c>
      <c r="I1561" s="56">
        <v>2.247191011235955E-2</v>
      </c>
      <c r="K1561" s="56" t="s">
        <v>1873</v>
      </c>
      <c r="L1561" s="56" t="s">
        <v>6059</v>
      </c>
      <c r="O1561">
        <f>_xlfn.XLOOKUP(N1561,'Error-codes'!$C$2:$C$130,'Error-codes'!$B$2:$B$130, "None")</f>
        <v>0</v>
      </c>
      <c r="U1561" s="81">
        <f>DATEVALUE(LEFT(F1561,10))</f>
        <v>45001</v>
      </c>
    </row>
    <row r="1562" spans="1:21">
      <c r="A1562" s="56" t="s">
        <v>6938</v>
      </c>
      <c r="B1562" s="56" t="s">
        <v>295</v>
      </c>
      <c r="C1562" s="56" t="s">
        <v>6939</v>
      </c>
      <c r="D1562" s="56" t="s">
        <v>37</v>
      </c>
      <c r="E1562" s="56" t="s">
        <v>4774</v>
      </c>
      <c r="F1562" s="56" t="s">
        <v>6940</v>
      </c>
      <c r="G1562" s="56">
        <v>77</v>
      </c>
      <c r="H1562" s="56">
        <v>6</v>
      </c>
      <c r="I1562" s="56">
        <v>7.792207792207792E-2</v>
      </c>
      <c r="J1562" s="56" t="s">
        <v>6941</v>
      </c>
      <c r="K1562" s="56" t="s">
        <v>5612</v>
      </c>
      <c r="L1562" s="56" t="s">
        <v>3358</v>
      </c>
      <c r="M1562" s="56" t="str">
        <f>HYPERLINK("https://dribble.octin.io/?mode=Single+log&amp;log_id=2465c15e-0733-432b-b8df-a4b5324937b6","URL")</f>
        <v>URL</v>
      </c>
      <c r="N1562" s="56" t="s">
        <v>3450</v>
      </c>
      <c r="O1562" t="str">
        <f>_xlfn.XLOOKUP(N1562,'Error-codes'!$C$2:$C$130,'Error-codes'!$B$2:$B$130, "None")</f>
        <v>xtheta sensor error</v>
      </c>
      <c r="U1562" s="81">
        <f>DATEVALUE(LEFT(F1562,10))</f>
        <v>45001</v>
      </c>
    </row>
    <row r="1563" spans="1:21">
      <c r="B1563" s="56" t="s">
        <v>295</v>
      </c>
      <c r="C1563" s="56" t="s">
        <v>6942</v>
      </c>
      <c r="D1563" s="56" t="s">
        <v>22</v>
      </c>
      <c r="F1563" s="56" t="s">
        <v>6943</v>
      </c>
      <c r="G1563" s="56">
        <v>70</v>
      </c>
      <c r="H1563" s="56">
        <v>1</v>
      </c>
      <c r="I1563" s="56">
        <v>1.4285714285714285E-2</v>
      </c>
      <c r="K1563" s="56" t="s">
        <v>5612</v>
      </c>
      <c r="L1563" s="56" t="s">
        <v>3358</v>
      </c>
      <c r="O1563">
        <f>_xlfn.XLOOKUP(N1563,'Error-codes'!$C$2:$C$130,'Error-codes'!$B$2:$B$130, "None")</f>
        <v>0</v>
      </c>
      <c r="U1563" s="81">
        <f>DATEVALUE(LEFT(F1563,10))</f>
        <v>45001</v>
      </c>
    </row>
    <row r="1564" spans="1:21">
      <c r="A1564" s="56" t="s">
        <v>6944</v>
      </c>
      <c r="B1564" s="56" t="s">
        <v>3293</v>
      </c>
      <c r="C1564" s="56" t="s">
        <v>6945</v>
      </c>
      <c r="D1564" s="56"/>
      <c r="E1564" s="56" t="s">
        <v>2939</v>
      </c>
      <c r="F1564" s="56" t="s">
        <v>6946</v>
      </c>
      <c r="G1564" s="56">
        <v>20</v>
      </c>
      <c r="H1564" s="56">
        <v>4</v>
      </c>
      <c r="I1564" s="56">
        <v>0.2</v>
      </c>
      <c r="J1564" s="56" t="s">
        <v>5491</v>
      </c>
      <c r="K1564" s="56" t="s">
        <v>3207</v>
      </c>
      <c r="L1564" s="56" t="s">
        <v>5286</v>
      </c>
      <c r="M1564" s="56" t="str">
        <f>HYPERLINK("https://dribble.octin.io/?mode=Single+log&amp;log_id=e54faa92-a730-46d8-a403-d534a9ad6fc5","URL")</f>
        <v>URL</v>
      </c>
      <c r="N1564" s="56" t="s">
        <v>3446</v>
      </c>
      <c r="O1564" t="str">
        <f>_xlfn.XLOOKUP(N1564,'Error-codes'!$C$2:$C$130,'Error-codes'!$B$2:$B$130, "None")</f>
        <v>end of lane wall sensor error</v>
      </c>
      <c r="U1564" s="81">
        <f>DATEVALUE(LEFT(F1564,10))</f>
        <v>45001</v>
      </c>
    </row>
    <row r="1565" spans="1:21">
      <c r="A1565" s="56" t="s">
        <v>6947</v>
      </c>
      <c r="B1565" s="56" t="s">
        <v>3293</v>
      </c>
      <c r="C1565" s="56" t="s">
        <v>6945</v>
      </c>
      <c r="D1565" s="56"/>
      <c r="E1565" s="56" t="s">
        <v>2939</v>
      </c>
      <c r="F1565" s="56" t="s">
        <v>6948</v>
      </c>
      <c r="G1565" s="56">
        <v>20</v>
      </c>
      <c r="H1565" s="56">
        <v>13</v>
      </c>
      <c r="I1565" s="56">
        <v>0.65</v>
      </c>
      <c r="J1565" s="56" t="s">
        <v>5448</v>
      </c>
      <c r="K1565" s="56" t="s">
        <v>3207</v>
      </c>
      <c r="L1565" s="56" t="s">
        <v>5286</v>
      </c>
      <c r="M1565" s="56" t="str">
        <f>HYPERLINK("https://dribble.octin.io/?mode=Single+log&amp;log_id=0def331d-e42f-4e7e-9aa0-70a5c6298ef5","URL")</f>
        <v>URL</v>
      </c>
      <c r="N1565" s="56" t="s">
        <v>3446</v>
      </c>
      <c r="O1565" t="str">
        <f>_xlfn.XLOOKUP(N1565,'Error-codes'!$C$2:$C$130,'Error-codes'!$B$2:$B$130, "None")</f>
        <v>end of lane wall sensor error</v>
      </c>
      <c r="U1565" s="81">
        <f>DATEVALUE(LEFT(F1565,10))</f>
        <v>45001</v>
      </c>
    </row>
    <row r="1566" spans="1:21">
      <c r="A1566" s="56" t="s">
        <v>6949</v>
      </c>
      <c r="B1566" s="56" t="s">
        <v>3293</v>
      </c>
      <c r="C1566" s="56" t="s">
        <v>6945</v>
      </c>
      <c r="D1566" s="56"/>
      <c r="E1566" s="56" t="s">
        <v>2939</v>
      </c>
      <c r="F1566" s="56" t="s">
        <v>6950</v>
      </c>
      <c r="G1566" s="56">
        <v>20</v>
      </c>
      <c r="H1566" s="56">
        <v>14</v>
      </c>
      <c r="I1566" s="56">
        <v>0.7</v>
      </c>
      <c r="J1566" s="56" t="s">
        <v>3357</v>
      </c>
      <c r="K1566" s="56" t="s">
        <v>3207</v>
      </c>
      <c r="L1566" s="56" t="s">
        <v>5286</v>
      </c>
      <c r="M1566" s="56" t="str">
        <f>HYPERLINK("https://dribble.octin.io/?mode=Single+log&amp;log_id=3f3fd511-7518-43a3-bfbc-bc5c6f2b1575","URL")</f>
        <v>URL</v>
      </c>
      <c r="N1566" s="56" t="s">
        <v>3446</v>
      </c>
      <c r="O1566" t="str">
        <f>_xlfn.XLOOKUP(N1566,'Error-codes'!$C$2:$C$130,'Error-codes'!$B$2:$B$130, "None")</f>
        <v>end of lane wall sensor error</v>
      </c>
      <c r="U1566" s="81">
        <f>DATEVALUE(LEFT(F1566,10))</f>
        <v>45001</v>
      </c>
    </row>
    <row r="1567" spans="1:21">
      <c r="A1567" s="56" t="s">
        <v>6951</v>
      </c>
      <c r="B1567" s="56" t="s">
        <v>3293</v>
      </c>
      <c r="C1567" s="56" t="s">
        <v>6945</v>
      </c>
      <c r="D1567" s="56"/>
      <c r="E1567" s="56"/>
      <c r="F1567" s="56" t="s">
        <v>6952</v>
      </c>
      <c r="G1567" s="56">
        <v>20</v>
      </c>
      <c r="H1567" s="56">
        <v>19</v>
      </c>
      <c r="I1567" s="56">
        <v>0.95</v>
      </c>
      <c r="J1567" s="56" t="s">
        <v>5343</v>
      </c>
      <c r="K1567" s="56" t="s">
        <v>3207</v>
      </c>
      <c r="L1567" s="56" t="s">
        <v>5286</v>
      </c>
      <c r="M1567" s="56" t="str">
        <f>HYPERLINK("https://dribble.octin.io/?mode=Single+log&amp;log_id=d0d2e321-9c2e-4e56-8431-454a4c245694","URL")</f>
        <v>URL</v>
      </c>
      <c r="N1567" s="56" t="s">
        <v>2933</v>
      </c>
      <c r="O1567" t="str">
        <f>_xlfn.XLOOKUP(N1567,'Error-codes'!$C$2:$C$130,'Error-codes'!$B$2:$B$130, "None")</f>
        <v>inductive sensor error</v>
      </c>
      <c r="Q1567" t="s">
        <v>6466</v>
      </c>
      <c r="R1567" t="s">
        <v>2901</v>
      </c>
      <c r="U1567" s="81">
        <f>DATEVALUE(LEFT(F1567,10))</f>
        <v>45001</v>
      </c>
    </row>
    <row r="1568" spans="1:21">
      <c r="A1568" s="56" t="s">
        <v>6953</v>
      </c>
      <c r="B1568" s="56" t="s">
        <v>295</v>
      </c>
      <c r="C1568" s="56" t="s">
        <v>6954</v>
      </c>
      <c r="D1568" s="56" t="s">
        <v>388</v>
      </c>
      <c r="E1568" s="56" t="s">
        <v>2939</v>
      </c>
      <c r="F1568" s="56" t="s">
        <v>6955</v>
      </c>
      <c r="G1568" s="56">
        <v>153</v>
      </c>
      <c r="H1568" s="56">
        <v>41</v>
      </c>
      <c r="I1568" s="56">
        <v>0.26797385620915032</v>
      </c>
      <c r="J1568" s="56" t="s">
        <v>6138</v>
      </c>
      <c r="K1568" s="56" t="s">
        <v>5612</v>
      </c>
      <c r="L1568" s="56" t="s">
        <v>3358</v>
      </c>
      <c r="M1568" s="56" t="str">
        <f>HYPERLINK("https://dribble.octin.io/?mode=Single+log&amp;log_id=228ef81f-7d66-452b-b422-cc26bc2cf7b8","URL")</f>
        <v>URL</v>
      </c>
      <c r="N1568" s="56" t="s">
        <v>2933</v>
      </c>
      <c r="O1568" t="str">
        <f>_xlfn.XLOOKUP(N1568,'Error-codes'!$C$2:$C$130,'Error-codes'!$B$2:$B$130, "None")</f>
        <v>inductive sensor error</v>
      </c>
      <c r="R1568" t="s">
        <v>2901</v>
      </c>
      <c r="U1568" s="81">
        <f>DATEVALUE(LEFT(F1568,10))</f>
        <v>45001</v>
      </c>
    </row>
    <row r="1569" spans="1:21">
      <c r="A1569" s="56" t="s">
        <v>6956</v>
      </c>
      <c r="B1569" s="56" t="s">
        <v>29</v>
      </c>
      <c r="C1569" s="56" t="s">
        <v>6957</v>
      </c>
      <c r="D1569" s="56" t="s">
        <v>37</v>
      </c>
      <c r="E1569" s="56" t="s">
        <v>5773</v>
      </c>
      <c r="F1569" s="56" t="s">
        <v>6958</v>
      </c>
      <c r="G1569" s="56">
        <v>140</v>
      </c>
      <c r="H1569" s="56">
        <v>66</v>
      </c>
      <c r="I1569" s="56">
        <v>0.47142857142857142</v>
      </c>
      <c r="J1569" s="56" t="s">
        <v>3589</v>
      </c>
      <c r="K1569" s="56" t="s">
        <v>1873</v>
      </c>
      <c r="L1569" s="56" t="s">
        <v>2942</v>
      </c>
      <c r="M1569" s="56" t="str">
        <f>HYPERLINK("https://dribble.octin.io/?mode=Single+log&amp;log_id=c35d464e-6507-462b-92df-c0f0a410d8bd","URL")</f>
        <v>URL</v>
      </c>
      <c r="N1569" s="56" t="s">
        <v>3456</v>
      </c>
      <c r="O1569" t="str">
        <f>_xlfn.XLOOKUP(N1569,'Error-codes'!$C$2:$C$130,'Error-codes'!$B$2:$B$130, "None")</f>
        <v>motor drive: OVER VOLTAGE</v>
      </c>
      <c r="U1569" s="81">
        <f>DATEVALUE(LEFT(F1569,10))</f>
        <v>45001</v>
      </c>
    </row>
    <row r="1570" spans="1:21">
      <c r="B1570" s="56" t="s">
        <v>5394</v>
      </c>
      <c r="C1570" s="56" t="s">
        <v>6959</v>
      </c>
      <c r="D1570" s="56" t="s">
        <v>388</v>
      </c>
      <c r="F1570" s="56" t="s">
        <v>6960</v>
      </c>
      <c r="G1570" s="56">
        <v>120</v>
      </c>
      <c r="H1570" s="56">
        <v>120</v>
      </c>
      <c r="I1570" s="56">
        <v>1</v>
      </c>
      <c r="K1570" s="56" t="s">
        <v>1893</v>
      </c>
      <c r="L1570" s="56" t="s">
        <v>6059</v>
      </c>
      <c r="O1570">
        <f>_xlfn.XLOOKUP(N1570,'Error-codes'!$C$2:$C$130,'Error-codes'!$B$2:$B$130, "None")</f>
        <v>0</v>
      </c>
      <c r="U1570" s="81">
        <f>DATEVALUE(LEFT(F1570,10))</f>
        <v>45002</v>
      </c>
    </row>
    <row r="1571" spans="1:21">
      <c r="B1571" s="56" t="s">
        <v>295</v>
      </c>
      <c r="C1571" s="56" t="s">
        <v>6954</v>
      </c>
      <c r="D1571" s="56" t="s">
        <v>388</v>
      </c>
      <c r="F1571" s="56" t="s">
        <v>6961</v>
      </c>
      <c r="G1571" s="56">
        <v>153</v>
      </c>
      <c r="H1571" s="56">
        <v>152</v>
      </c>
      <c r="I1571" s="56">
        <v>0.99346405228758172</v>
      </c>
      <c r="K1571" s="56" t="s">
        <v>5612</v>
      </c>
      <c r="L1571" s="56" t="s">
        <v>3358</v>
      </c>
      <c r="O1571">
        <f>_xlfn.XLOOKUP(N1571,'Error-codes'!$C$2:$C$130,'Error-codes'!$B$2:$B$130, "None")</f>
        <v>0</v>
      </c>
      <c r="U1571" s="81">
        <f>DATEVALUE(LEFT(F1571,10))</f>
        <v>45002</v>
      </c>
    </row>
    <row r="1572" spans="1:21">
      <c r="A1572" s="56" t="s">
        <v>6962</v>
      </c>
      <c r="B1572" s="56" t="s">
        <v>3771</v>
      </c>
      <c r="C1572" s="56" t="s">
        <v>6963</v>
      </c>
      <c r="D1572" s="56" t="s">
        <v>37</v>
      </c>
      <c r="E1572" s="56" t="s">
        <v>4564</v>
      </c>
      <c r="F1572" s="56" t="s">
        <v>6964</v>
      </c>
      <c r="G1572" s="56">
        <v>134</v>
      </c>
      <c r="H1572" s="56">
        <v>1</v>
      </c>
      <c r="I1572" s="56">
        <v>7.462686567164179E-3</v>
      </c>
      <c r="J1572" s="56" t="s">
        <v>4440</v>
      </c>
      <c r="K1572" s="56" t="s">
        <v>3207</v>
      </c>
      <c r="L1572" s="56" t="s">
        <v>3775</v>
      </c>
      <c r="M1572" s="56" t="str">
        <f>HYPERLINK("https://dribble.octin.io/?mode=Single+log&amp;log_id=a56ec829-9f0e-45a1-86ec-6b1312aa223c","URL")</f>
        <v>URL</v>
      </c>
      <c r="N1572" s="56" t="s">
        <v>3432</v>
      </c>
      <c r="O1572" t="str">
        <f>_xlfn.XLOOKUP(N1572,'Error-codes'!$C$2:$C$130,'Error-codes'!$B$2:$B$130, "None")</f>
        <v>vision did not initialize in time</v>
      </c>
      <c r="U1572" s="81">
        <f>DATEVALUE(LEFT(F1572,10))</f>
        <v>45002</v>
      </c>
    </row>
    <row r="1573" spans="1:21">
      <c r="A1573" s="56" t="s">
        <v>6962</v>
      </c>
      <c r="B1573" s="56" t="s">
        <v>3771</v>
      </c>
      <c r="C1573" s="56" t="s">
        <v>6965</v>
      </c>
      <c r="D1573" s="56" t="s">
        <v>37</v>
      </c>
      <c r="E1573" s="56" t="s">
        <v>4564</v>
      </c>
      <c r="F1573" s="56" t="s">
        <v>6964</v>
      </c>
      <c r="G1573" s="56">
        <v>152</v>
      </c>
      <c r="H1573" s="56">
        <v>1</v>
      </c>
      <c r="I1573" s="56">
        <v>6.5789473684210523E-3</v>
      </c>
      <c r="J1573" s="56" t="s">
        <v>3315</v>
      </c>
      <c r="K1573" s="56" t="s">
        <v>5210</v>
      </c>
      <c r="L1573" s="56" t="s">
        <v>3775</v>
      </c>
      <c r="M1573" s="56" t="str">
        <f>HYPERLINK("https://dribble.octin.io/?mode=Single+log&amp;log_id=a56ec829-9f0e-45a1-86ec-6b1312aa223c","URL")</f>
        <v>URL</v>
      </c>
      <c r="N1573" s="56" t="s">
        <v>3432</v>
      </c>
      <c r="O1573" t="str">
        <f>_xlfn.XLOOKUP(N1573,'Error-codes'!$C$2:$C$130,'Error-codes'!$B$2:$B$130, "None")</f>
        <v>vision did not initialize in time</v>
      </c>
      <c r="U1573" s="81">
        <f>DATEVALUE(LEFT(F1573,10))</f>
        <v>45002</v>
      </c>
    </row>
    <row r="1574" spans="1:21">
      <c r="A1574" s="56" t="s">
        <v>6966</v>
      </c>
      <c r="B1574" s="56" t="s">
        <v>3771</v>
      </c>
      <c r="C1574" s="56" t="s">
        <v>6967</v>
      </c>
      <c r="D1574" s="56" t="s">
        <v>37</v>
      </c>
      <c r="E1574" s="56" t="s">
        <v>4564</v>
      </c>
      <c r="F1574" s="56" t="s">
        <v>6968</v>
      </c>
      <c r="G1574" s="56">
        <v>134</v>
      </c>
      <c r="H1574" s="56">
        <v>1</v>
      </c>
      <c r="I1574" s="56">
        <v>7.462686567164179E-3</v>
      </c>
      <c r="J1574" s="56" t="s">
        <v>4440</v>
      </c>
      <c r="K1574" s="56" t="s">
        <v>3207</v>
      </c>
      <c r="L1574" s="56" t="s">
        <v>3775</v>
      </c>
      <c r="M1574" s="56" t="str">
        <f>HYPERLINK("https://dribble.octin.io/?mode=Single+log&amp;log_id=bc2ffc1a-dbda-456b-b388-56460a8b567a","URL")</f>
        <v>URL</v>
      </c>
      <c r="N1574" s="56" t="s">
        <v>3432</v>
      </c>
      <c r="O1574" t="str">
        <f>_xlfn.XLOOKUP(N1574,'Error-codes'!$C$2:$C$130,'Error-codes'!$B$2:$B$130, "None")</f>
        <v>vision did not initialize in time</v>
      </c>
      <c r="U1574" s="81">
        <f>DATEVALUE(LEFT(F1574,10))</f>
        <v>45002</v>
      </c>
    </row>
    <row r="1575" spans="1:21">
      <c r="B1575" s="56" t="s">
        <v>3263</v>
      </c>
      <c r="C1575" s="56" t="s">
        <v>6969</v>
      </c>
      <c r="D1575" s="56" t="s">
        <v>388</v>
      </c>
      <c r="F1575" s="56" t="s">
        <v>6970</v>
      </c>
      <c r="G1575" s="56">
        <v>81</v>
      </c>
      <c r="H1575" s="56">
        <v>81</v>
      </c>
      <c r="I1575" s="56">
        <v>1</v>
      </c>
      <c r="K1575" s="56" t="s">
        <v>3268</v>
      </c>
      <c r="L1575" s="56" t="s">
        <v>3269</v>
      </c>
      <c r="O1575">
        <f>_xlfn.XLOOKUP(N1575,'Error-codes'!$C$2:$C$130,'Error-codes'!$B$2:$B$130, "None")</f>
        <v>0</v>
      </c>
      <c r="U1575" s="81">
        <f>DATEVALUE(LEFT(F1575,10))</f>
        <v>45002</v>
      </c>
    </row>
    <row r="1576" spans="1:21">
      <c r="A1576" s="56"/>
      <c r="B1576" s="56" t="s">
        <v>29</v>
      </c>
      <c r="C1576" s="56" t="s">
        <v>6971</v>
      </c>
      <c r="D1576" s="56" t="s">
        <v>37</v>
      </c>
      <c r="E1576" s="56"/>
      <c r="F1576" s="56" t="s">
        <v>6972</v>
      </c>
      <c r="G1576" s="56">
        <v>4</v>
      </c>
      <c r="H1576" s="56">
        <v>0</v>
      </c>
      <c r="I1576" s="56">
        <v>0</v>
      </c>
      <c r="J1576" s="56" t="s">
        <v>3315</v>
      </c>
      <c r="K1576" s="56" t="s">
        <v>1893</v>
      </c>
      <c r="L1576" s="56" t="s">
        <v>2942</v>
      </c>
      <c r="N1576" s="56" t="s">
        <v>3444</v>
      </c>
      <c r="O1576" t="str">
        <f>_xlfn.XLOOKUP(N1576,'Error-codes'!$C$2:$C$130,'Error-codes'!$B$2:$B$130, "None")</f>
        <v>collision detected in operational state for the 4th time in a row</v>
      </c>
      <c r="U1576" s="81">
        <f>DATEVALUE(LEFT(F1576,10))</f>
        <v>45002</v>
      </c>
    </row>
    <row r="1577" spans="1:21">
      <c r="B1577" s="56" t="s">
        <v>29</v>
      </c>
      <c r="C1577" s="56" t="s">
        <v>6973</v>
      </c>
      <c r="D1577" s="56" t="s">
        <v>22</v>
      </c>
      <c r="F1577" s="56" t="s">
        <v>6974</v>
      </c>
      <c r="G1577" s="56">
        <v>2</v>
      </c>
      <c r="H1577" s="56">
        <v>0</v>
      </c>
      <c r="I1577" s="56">
        <v>0</v>
      </c>
      <c r="K1577" s="56" t="s">
        <v>1893</v>
      </c>
      <c r="L1577" s="56" t="s">
        <v>2942</v>
      </c>
      <c r="O1577">
        <f>_xlfn.XLOOKUP(N1577,'Error-codes'!$C$2:$C$130,'Error-codes'!$B$2:$B$130, "None")</f>
        <v>0</v>
      </c>
      <c r="U1577" s="81">
        <f>DATEVALUE(LEFT(F1577,10))</f>
        <v>45002</v>
      </c>
    </row>
    <row r="1578" spans="1:21">
      <c r="B1578" s="56" t="s">
        <v>29</v>
      </c>
      <c r="C1578" s="56" t="s">
        <v>6975</v>
      </c>
      <c r="D1578" s="56" t="s">
        <v>22</v>
      </c>
      <c r="F1578" s="56" t="s">
        <v>6976</v>
      </c>
      <c r="G1578" s="56">
        <v>2</v>
      </c>
      <c r="H1578" s="56">
        <v>0</v>
      </c>
      <c r="I1578" s="56">
        <v>0</v>
      </c>
      <c r="K1578" s="56" t="s">
        <v>1893</v>
      </c>
      <c r="L1578" s="56" t="s">
        <v>2942</v>
      </c>
      <c r="O1578">
        <f>_xlfn.XLOOKUP(N1578,'Error-codes'!$C$2:$C$130,'Error-codes'!$B$2:$B$130, "None")</f>
        <v>0</v>
      </c>
      <c r="U1578" s="81">
        <f>DATEVALUE(LEFT(F1578,10))</f>
        <v>45002</v>
      </c>
    </row>
    <row r="1579" spans="1:21">
      <c r="B1579" s="56" t="s">
        <v>29</v>
      </c>
      <c r="C1579" s="56" t="s">
        <v>6977</v>
      </c>
      <c r="D1579" s="56" t="s">
        <v>388</v>
      </c>
      <c r="F1579" s="56" t="s">
        <v>6978</v>
      </c>
      <c r="G1579" s="56">
        <v>2</v>
      </c>
      <c r="H1579" s="56">
        <v>2</v>
      </c>
      <c r="I1579" s="56">
        <v>1</v>
      </c>
      <c r="K1579" s="56" t="s">
        <v>1893</v>
      </c>
      <c r="L1579" s="56" t="s">
        <v>2942</v>
      </c>
      <c r="O1579">
        <f>_xlfn.XLOOKUP(N1579,'Error-codes'!$C$2:$C$130,'Error-codes'!$B$2:$B$130, "None")</f>
        <v>0</v>
      </c>
      <c r="U1579" s="81">
        <f>DATEVALUE(LEFT(F1579,10))</f>
        <v>45002</v>
      </c>
    </row>
    <row r="1580" spans="1:21">
      <c r="B1580" s="56" t="s">
        <v>29</v>
      </c>
      <c r="C1580" s="56" t="s">
        <v>6979</v>
      </c>
      <c r="D1580" s="56" t="s">
        <v>388</v>
      </c>
      <c r="F1580" s="56" t="s">
        <v>6980</v>
      </c>
      <c r="G1580" s="56">
        <v>3</v>
      </c>
      <c r="H1580" s="56">
        <v>3</v>
      </c>
      <c r="I1580" s="56">
        <v>1</v>
      </c>
      <c r="K1580" s="56" t="s">
        <v>1893</v>
      </c>
      <c r="L1580" s="56" t="s">
        <v>2942</v>
      </c>
      <c r="O1580">
        <f>_xlfn.XLOOKUP(N1580,'Error-codes'!$C$2:$C$130,'Error-codes'!$B$2:$B$130, "None")</f>
        <v>0</v>
      </c>
      <c r="U1580" s="81">
        <f>DATEVALUE(LEFT(F1580,10))</f>
        <v>45002</v>
      </c>
    </row>
    <row r="1581" spans="1:21">
      <c r="B1581" s="56" t="s">
        <v>29</v>
      </c>
      <c r="C1581" s="56" t="s">
        <v>6981</v>
      </c>
      <c r="D1581" s="56" t="s">
        <v>22</v>
      </c>
      <c r="F1581" s="56" t="s">
        <v>6982</v>
      </c>
      <c r="G1581" s="56">
        <v>139</v>
      </c>
      <c r="H1581" s="56">
        <v>4</v>
      </c>
      <c r="I1581" s="56">
        <v>2.8776978417266189E-2</v>
      </c>
      <c r="K1581" s="56" t="s">
        <v>1873</v>
      </c>
      <c r="L1581" s="56" t="s">
        <v>2942</v>
      </c>
      <c r="O1581">
        <f>_xlfn.XLOOKUP(N1581,'Error-codes'!$C$2:$C$130,'Error-codes'!$B$2:$B$130, "None")</f>
        <v>0</v>
      </c>
      <c r="U1581" s="81">
        <f>DATEVALUE(LEFT(F1581,10))</f>
        <v>45002</v>
      </c>
    </row>
    <row r="1582" spans="1:21">
      <c r="A1582" s="56" t="s">
        <v>6983</v>
      </c>
      <c r="B1582" s="56" t="s">
        <v>3771</v>
      </c>
      <c r="C1582" s="56" t="s">
        <v>6984</v>
      </c>
      <c r="D1582" s="56" t="s">
        <v>37</v>
      </c>
      <c r="E1582" s="56" t="s">
        <v>4564</v>
      </c>
      <c r="F1582" s="56" t="s">
        <v>6985</v>
      </c>
      <c r="G1582" s="56">
        <v>141</v>
      </c>
      <c r="H1582" s="56">
        <v>10</v>
      </c>
      <c r="I1582" s="56">
        <v>7.0921985815602842E-2</v>
      </c>
      <c r="J1582" s="56" t="s">
        <v>6986</v>
      </c>
      <c r="K1582" s="56" t="s">
        <v>6550</v>
      </c>
      <c r="L1582" s="56" t="s">
        <v>6394</v>
      </c>
      <c r="M1582" s="56" t="str">
        <f>HYPERLINK("https://dribble.octin.io/?mode=Single+log&amp;log_id=1e007802-1bfe-4edd-bd0b-09580463f6c4","URL")</f>
        <v>URL</v>
      </c>
      <c r="N1582" s="56" t="s">
        <v>3454</v>
      </c>
      <c r="O1582" t="str">
        <f>_xlfn.XLOOKUP(N1582,'Error-codes'!$C$2:$C$130,'Error-codes'!$B$2:$B$130, "None")</f>
        <v>Veh low level FSM: safety was triggered</v>
      </c>
      <c r="U1582" s="81">
        <f>DATEVALUE(LEFT(F1582,10))</f>
        <v>45002</v>
      </c>
    </row>
    <row r="1583" spans="1:21">
      <c r="B1583" s="56" t="s">
        <v>3771</v>
      </c>
      <c r="C1583" s="56" t="s">
        <v>6987</v>
      </c>
      <c r="D1583" s="56" t="s">
        <v>22</v>
      </c>
      <c r="F1583" s="56" t="s">
        <v>6988</v>
      </c>
      <c r="G1583" s="56">
        <v>141</v>
      </c>
      <c r="H1583" s="56">
        <v>13</v>
      </c>
      <c r="I1583" s="56">
        <v>9.2198581560283682E-2</v>
      </c>
      <c r="K1583" s="56" t="s">
        <v>6550</v>
      </c>
      <c r="L1583" s="56" t="s">
        <v>6394</v>
      </c>
      <c r="O1583">
        <f>_xlfn.XLOOKUP(N1583,'Error-codes'!$C$2:$C$130,'Error-codes'!$B$2:$B$130, "None")</f>
        <v>0</v>
      </c>
      <c r="U1583" s="81">
        <f>DATEVALUE(LEFT(F1583,10))</f>
        <v>45002</v>
      </c>
    </row>
    <row r="1584" spans="1:21">
      <c r="A1584" s="56" t="s">
        <v>6989</v>
      </c>
      <c r="B1584" s="56" t="s">
        <v>3771</v>
      </c>
      <c r="C1584" s="56" t="s">
        <v>6990</v>
      </c>
      <c r="D1584" s="56" t="s">
        <v>37</v>
      </c>
      <c r="E1584" s="56" t="s">
        <v>2939</v>
      </c>
      <c r="F1584" s="56" t="s">
        <v>6991</v>
      </c>
      <c r="G1584" s="56">
        <v>143</v>
      </c>
      <c r="H1584" s="56">
        <v>11</v>
      </c>
      <c r="I1584" s="56">
        <v>7.6923076923076927E-2</v>
      </c>
      <c r="J1584" s="56" t="s">
        <v>6992</v>
      </c>
      <c r="K1584" s="56" t="s">
        <v>6550</v>
      </c>
      <c r="L1584" s="56" t="s">
        <v>6394</v>
      </c>
      <c r="M1584" s="56" t="str">
        <f>HYPERLINK("https://dribble.octin.io/?mode=Single+log&amp;log_id=6df0b621-78ae-477c-8df4-5c5dfdb5c47e","URL")</f>
        <v>URL</v>
      </c>
      <c r="N1584" s="56" t="s">
        <v>3452</v>
      </c>
      <c r="O1584" t="str">
        <f>_xlfn.XLOOKUP(N1584,'Error-codes'!$C$2:$C$130,'Error-codes'!$B$2:$B$130, "None")</f>
        <v>ytheta sensor error</v>
      </c>
      <c r="U1584" s="81">
        <f>DATEVALUE(LEFT(F1584,10))</f>
        <v>45002</v>
      </c>
    </row>
    <row r="1585" spans="1:21">
      <c r="A1585" s="56" t="s">
        <v>6993</v>
      </c>
      <c r="B1585" s="56" t="s">
        <v>2886</v>
      </c>
      <c r="C1585" s="56" t="s">
        <v>6994</v>
      </c>
      <c r="D1585" s="56" t="s">
        <v>37</v>
      </c>
      <c r="E1585" s="56" t="s">
        <v>3253</v>
      </c>
      <c r="F1585" s="56" t="s">
        <v>6995</v>
      </c>
      <c r="G1585" s="56">
        <v>182</v>
      </c>
      <c r="H1585" s="56">
        <v>6</v>
      </c>
      <c r="I1585" s="56">
        <v>3.2967032967032968E-2</v>
      </c>
      <c r="J1585" s="56" t="s">
        <v>6996</v>
      </c>
      <c r="K1585" s="56" t="s">
        <v>2171</v>
      </c>
      <c r="L1585" s="56" t="s">
        <v>2932</v>
      </c>
      <c r="M1585" s="56" t="str">
        <f>HYPERLINK("https://dribble.octin.io/?mode=Single+log&amp;log_id=db29021c-095d-4bde-be2a-b48a99507310","URL")</f>
        <v>URL</v>
      </c>
      <c r="N1585" s="56" t="s">
        <v>3454</v>
      </c>
      <c r="O1585" t="str">
        <f>_xlfn.XLOOKUP(N1585,'Error-codes'!$C$2:$C$130,'Error-codes'!$B$2:$B$130, "None")</f>
        <v>Veh low level FSM: safety was triggered</v>
      </c>
      <c r="U1585" s="81">
        <f>DATEVALUE(LEFT(F1585,10))</f>
        <v>45002</v>
      </c>
    </row>
    <row r="1586" spans="1:21">
      <c r="A1586" s="56" t="s">
        <v>6997</v>
      </c>
      <c r="B1586" s="56" t="s">
        <v>3771</v>
      </c>
      <c r="C1586" s="56" t="s">
        <v>6990</v>
      </c>
      <c r="D1586" s="56" t="s">
        <v>37</v>
      </c>
      <c r="E1586" s="56" t="s">
        <v>2939</v>
      </c>
      <c r="F1586" s="56" t="s">
        <v>6998</v>
      </c>
      <c r="G1586" s="56">
        <v>143</v>
      </c>
      <c r="H1586" s="56">
        <v>13</v>
      </c>
      <c r="I1586" s="56">
        <v>9.0909090909090912E-2</v>
      </c>
      <c r="J1586" s="56" t="s">
        <v>6999</v>
      </c>
      <c r="K1586" s="56" t="s">
        <v>6550</v>
      </c>
      <c r="L1586" s="56" t="s">
        <v>6394</v>
      </c>
      <c r="M1586" s="56" t="str">
        <f>HYPERLINK("https://dribble.octin.io/?mode=Single+log&amp;log_id=3cc66128-e93b-424e-b53e-3fd7cfebec5c","URL")</f>
        <v>URL</v>
      </c>
      <c r="N1586" s="56" t="s">
        <v>3452</v>
      </c>
      <c r="O1586" t="str">
        <f>_xlfn.XLOOKUP(N1586,'Error-codes'!$C$2:$C$130,'Error-codes'!$B$2:$B$130, "None")</f>
        <v>ytheta sensor error</v>
      </c>
      <c r="U1586" s="81">
        <f>DATEVALUE(LEFT(F1586,10))</f>
        <v>45002</v>
      </c>
    </row>
    <row r="1587" spans="1:21">
      <c r="A1587" s="56" t="s">
        <v>7000</v>
      </c>
      <c r="B1587" s="56" t="s">
        <v>3771</v>
      </c>
      <c r="C1587" s="56" t="s">
        <v>6990</v>
      </c>
      <c r="D1587" s="56" t="s">
        <v>37</v>
      </c>
      <c r="E1587" s="56" t="s">
        <v>2939</v>
      </c>
      <c r="F1587" s="56" t="s">
        <v>7001</v>
      </c>
      <c r="G1587" s="56">
        <v>143</v>
      </c>
      <c r="H1587" s="56">
        <v>15</v>
      </c>
      <c r="I1587" s="56">
        <v>0.1048951048951049</v>
      </c>
      <c r="J1587" s="56" t="s">
        <v>6999</v>
      </c>
      <c r="K1587" s="56" t="s">
        <v>6550</v>
      </c>
      <c r="L1587" s="56" t="s">
        <v>6394</v>
      </c>
      <c r="M1587" s="56" t="str">
        <f>HYPERLINK("https://dribble.octin.io/?mode=Single+log&amp;log_id=fca0f6d6-28d2-4780-a34b-8e0d7c17d9db","URL")</f>
        <v>URL</v>
      </c>
      <c r="N1587" s="56" t="s">
        <v>3432</v>
      </c>
      <c r="O1587" t="str">
        <f>_xlfn.XLOOKUP(N1587,'Error-codes'!$C$2:$C$130,'Error-codes'!$B$2:$B$130, "None")</f>
        <v>vision did not initialize in time</v>
      </c>
      <c r="U1587" s="81">
        <f>DATEVALUE(LEFT(F1587,10))</f>
        <v>45002</v>
      </c>
    </row>
    <row r="1588" spans="1:21">
      <c r="A1588" s="56" t="s">
        <v>7002</v>
      </c>
      <c r="B1588" s="56" t="s">
        <v>3771</v>
      </c>
      <c r="C1588" s="56" t="s">
        <v>6990</v>
      </c>
      <c r="D1588" s="56" t="s">
        <v>37</v>
      </c>
      <c r="E1588" s="56" t="s">
        <v>4564</v>
      </c>
      <c r="F1588" s="56" t="s">
        <v>7003</v>
      </c>
      <c r="G1588" s="56">
        <v>143</v>
      </c>
      <c r="H1588" s="56">
        <v>17</v>
      </c>
      <c r="I1588" s="56">
        <v>0.11888111888111888</v>
      </c>
      <c r="J1588" s="56" t="s">
        <v>6999</v>
      </c>
      <c r="K1588" s="56" t="s">
        <v>6550</v>
      </c>
      <c r="L1588" s="56" t="s">
        <v>6394</v>
      </c>
      <c r="M1588" s="56" t="str">
        <f>HYPERLINK("https://dribble.octin.io/?mode=Single+log&amp;log_id=761e601d-e577-400d-a23b-0d352c081ec4","URL")</f>
        <v>URL</v>
      </c>
      <c r="N1588" s="56" t="s">
        <v>3452</v>
      </c>
      <c r="O1588" t="str">
        <f>_xlfn.XLOOKUP(N1588,'Error-codes'!$C$2:$C$130,'Error-codes'!$B$2:$B$130, "None")</f>
        <v>ytheta sensor error</v>
      </c>
      <c r="U1588" s="81">
        <f>DATEVALUE(LEFT(F1588,10))</f>
        <v>45002</v>
      </c>
    </row>
    <row r="1589" spans="1:21">
      <c r="A1589" s="56" t="s">
        <v>7004</v>
      </c>
      <c r="B1589" s="56" t="s">
        <v>3771</v>
      </c>
      <c r="C1589" s="56" t="s">
        <v>7005</v>
      </c>
      <c r="D1589" s="56" t="s">
        <v>37</v>
      </c>
      <c r="E1589" s="56" t="s">
        <v>4564</v>
      </c>
      <c r="F1589" s="56" t="s">
        <v>7006</v>
      </c>
      <c r="G1589" s="56">
        <v>127</v>
      </c>
      <c r="H1589" s="56">
        <v>1</v>
      </c>
      <c r="I1589" s="56">
        <v>7.874015748031496E-3</v>
      </c>
      <c r="J1589" s="56" t="s">
        <v>3315</v>
      </c>
      <c r="K1589" s="56" t="s">
        <v>6550</v>
      </c>
      <c r="L1589" s="56" t="s">
        <v>6394</v>
      </c>
      <c r="M1589" s="56" t="str">
        <f>HYPERLINK("https://dribble.octin.io/?mode=Single+log&amp;log_id=ff242f3d-0178-48b9-af92-6f6158d6dcae","URL")</f>
        <v>URL</v>
      </c>
      <c r="N1589" s="56" t="s">
        <v>3458</v>
      </c>
      <c r="O1589" t="str">
        <f>_xlfn.XLOOKUP(N1589,'Error-codes'!$C$2:$C$130,'Error-codes'!$B$2:$B$130, "None")</f>
        <v>motor drive: UNDER VOLTAGE</v>
      </c>
      <c r="U1589" s="81">
        <f>DATEVALUE(LEFT(F1589,10))</f>
        <v>45002</v>
      </c>
    </row>
    <row r="1590" spans="1:21">
      <c r="A1590" s="56" t="s">
        <v>7007</v>
      </c>
      <c r="B1590" s="56" t="s">
        <v>3771</v>
      </c>
      <c r="C1590" s="56" t="s">
        <v>7008</v>
      </c>
      <c r="D1590" s="56" t="s">
        <v>37</v>
      </c>
      <c r="E1590" s="56" t="s">
        <v>4564</v>
      </c>
      <c r="F1590" s="56" t="s">
        <v>7009</v>
      </c>
      <c r="G1590" s="56">
        <v>69</v>
      </c>
      <c r="H1590" s="56">
        <v>1</v>
      </c>
      <c r="I1590" s="56">
        <v>1.4492753623188406E-2</v>
      </c>
      <c r="J1590" s="56" t="s">
        <v>3315</v>
      </c>
      <c r="K1590" s="56" t="s">
        <v>7010</v>
      </c>
      <c r="L1590" s="56" t="s">
        <v>6394</v>
      </c>
      <c r="M1590" s="56" t="str">
        <f>HYPERLINK("https://dribble.octin.io/?mode=Single+log&amp;log_id=aec88051-3d8d-4785-a821-0995d3ae66e2","URL")</f>
        <v>URL</v>
      </c>
      <c r="N1590" s="56" t="s">
        <v>3432</v>
      </c>
      <c r="O1590" t="str">
        <f>_xlfn.XLOOKUP(N1590,'Error-codes'!$C$2:$C$130,'Error-codes'!$B$2:$B$130, "None")</f>
        <v>vision did not initialize in time</v>
      </c>
      <c r="U1590" s="81">
        <f>DATEVALUE(LEFT(F1590,10))</f>
        <v>45002</v>
      </c>
    </row>
    <row r="1591" spans="1:21">
      <c r="B1591" s="56" t="s">
        <v>5394</v>
      </c>
      <c r="C1591" s="56" t="s">
        <v>7011</v>
      </c>
      <c r="D1591" s="56"/>
      <c r="F1591" s="56" t="s">
        <v>7012</v>
      </c>
      <c r="G1591" s="56">
        <v>120</v>
      </c>
      <c r="H1591" s="56">
        <v>1</v>
      </c>
      <c r="I1591" s="56">
        <v>8.3333333333333332E-3</v>
      </c>
      <c r="K1591" s="56" t="s">
        <v>1873</v>
      </c>
      <c r="L1591" s="56" t="s">
        <v>6059</v>
      </c>
      <c r="O1591">
        <f>_xlfn.XLOOKUP(N1591,'Error-codes'!$C$2:$C$130,'Error-codes'!$B$2:$B$130, "None")</f>
        <v>0</v>
      </c>
      <c r="U1591" s="81">
        <f>DATEVALUE(LEFT(F1591,10))</f>
        <v>45002</v>
      </c>
    </row>
    <row r="1592" spans="1:21">
      <c r="B1592" s="56" t="s">
        <v>3293</v>
      </c>
      <c r="C1592" s="56" t="s">
        <v>7013</v>
      </c>
      <c r="D1592" s="56" t="s">
        <v>22</v>
      </c>
      <c r="F1592" s="56" t="s">
        <v>7014</v>
      </c>
      <c r="G1592" s="56">
        <v>11</v>
      </c>
      <c r="H1592" s="56">
        <v>0</v>
      </c>
      <c r="I1592" s="56">
        <v>0</v>
      </c>
      <c r="K1592" s="56" t="s">
        <v>3207</v>
      </c>
      <c r="L1592" s="56" t="s">
        <v>6099</v>
      </c>
      <c r="O1592">
        <f>_xlfn.XLOOKUP(N1592,'Error-codes'!$C$2:$C$130,'Error-codes'!$B$2:$B$130, "None")</f>
        <v>0</v>
      </c>
      <c r="U1592" s="81">
        <f>DATEVALUE(LEFT(F1592,10))</f>
        <v>45002</v>
      </c>
    </row>
    <row r="1593" spans="1:21">
      <c r="B1593" s="56" t="s">
        <v>3293</v>
      </c>
      <c r="C1593" s="56" t="s">
        <v>7015</v>
      </c>
      <c r="D1593" s="56" t="s">
        <v>388</v>
      </c>
      <c r="F1593" s="56" t="s">
        <v>7016</v>
      </c>
      <c r="G1593" s="56">
        <v>10</v>
      </c>
      <c r="H1593" s="56">
        <v>10</v>
      </c>
      <c r="I1593" s="56">
        <v>1</v>
      </c>
      <c r="K1593" s="56" t="s">
        <v>3207</v>
      </c>
      <c r="L1593" s="56" t="s">
        <v>6099</v>
      </c>
      <c r="O1593">
        <f>_xlfn.XLOOKUP(N1593,'Error-codes'!$C$2:$C$130,'Error-codes'!$B$2:$B$130, "None")</f>
        <v>0</v>
      </c>
      <c r="U1593" s="81">
        <f>DATEVALUE(LEFT(F1593,10))</f>
        <v>45002</v>
      </c>
    </row>
    <row r="1594" spans="1:21">
      <c r="B1594" s="56" t="s">
        <v>3293</v>
      </c>
      <c r="C1594" s="56" t="s">
        <v>7017</v>
      </c>
      <c r="D1594" s="56" t="s">
        <v>388</v>
      </c>
      <c r="F1594" s="56" t="s">
        <v>7018</v>
      </c>
      <c r="G1594" s="56">
        <v>10</v>
      </c>
      <c r="H1594" s="56">
        <v>10</v>
      </c>
      <c r="I1594" s="56">
        <v>1</v>
      </c>
      <c r="K1594" s="56" t="s">
        <v>3207</v>
      </c>
      <c r="L1594" s="56" t="s">
        <v>6110</v>
      </c>
      <c r="O1594">
        <f>_xlfn.XLOOKUP(N1594,'Error-codes'!$C$2:$C$130,'Error-codes'!$B$2:$B$130, "None")</f>
        <v>0</v>
      </c>
      <c r="U1594" s="81">
        <f>DATEVALUE(LEFT(F1594,10))</f>
        <v>45002</v>
      </c>
    </row>
    <row r="1595" spans="1:21">
      <c r="A1595" s="56" t="s">
        <v>7019</v>
      </c>
      <c r="B1595" s="56" t="s">
        <v>3293</v>
      </c>
      <c r="C1595" s="56" t="s">
        <v>7020</v>
      </c>
      <c r="D1595" s="56" t="s">
        <v>388</v>
      </c>
      <c r="E1595" s="56" t="s">
        <v>2939</v>
      </c>
      <c r="F1595" s="56" t="s">
        <v>7021</v>
      </c>
      <c r="G1595" s="56">
        <v>21</v>
      </c>
      <c r="H1595" s="56">
        <v>3</v>
      </c>
      <c r="I1595" s="56">
        <v>0.14285714285714285</v>
      </c>
      <c r="J1595" s="56" t="s">
        <v>5491</v>
      </c>
      <c r="K1595" s="56" t="s">
        <v>3207</v>
      </c>
      <c r="L1595" s="56" t="s">
        <v>3297</v>
      </c>
      <c r="M1595" s="56" t="str">
        <f>HYPERLINK("https://dribble.octin.io/?mode=Single+log&amp;log_id=93856682-5e10-4f1d-9951-32a1118e4b3a","URL")</f>
        <v>URL</v>
      </c>
      <c r="N1595" s="56" t="s">
        <v>3446</v>
      </c>
      <c r="O1595" t="str">
        <f>_xlfn.XLOOKUP(N1595,'Error-codes'!$C$2:$C$130,'Error-codes'!$B$2:$B$130, "None")</f>
        <v>end of lane wall sensor error</v>
      </c>
      <c r="U1595" s="81">
        <f>DATEVALUE(LEFT(F1595,10))</f>
        <v>45002</v>
      </c>
    </row>
    <row r="1596" spans="1:21">
      <c r="A1596" s="56" t="s">
        <v>7022</v>
      </c>
      <c r="B1596" s="56" t="s">
        <v>3293</v>
      </c>
      <c r="C1596" s="56" t="s">
        <v>7020</v>
      </c>
      <c r="D1596" s="56" t="s">
        <v>388</v>
      </c>
      <c r="E1596" s="56" t="s">
        <v>2939</v>
      </c>
      <c r="F1596" s="56" t="s">
        <v>7023</v>
      </c>
      <c r="G1596" s="56">
        <v>21</v>
      </c>
      <c r="H1596" s="56">
        <v>13</v>
      </c>
      <c r="I1596" s="56">
        <v>0.61904761904761907</v>
      </c>
      <c r="J1596" s="56" t="s">
        <v>7024</v>
      </c>
      <c r="K1596" s="56" t="s">
        <v>3207</v>
      </c>
      <c r="L1596" s="56" t="s">
        <v>3297</v>
      </c>
      <c r="M1596" s="56" t="str">
        <f>HYPERLINK("https://dribble.octin.io/?mode=Single+log&amp;log_id=92177223-b01f-47a5-ab7a-67522831d5d5","URL")</f>
        <v>URL</v>
      </c>
      <c r="N1596" s="56" t="s">
        <v>3446</v>
      </c>
      <c r="O1596" t="str">
        <f>_xlfn.XLOOKUP(N1596,'Error-codes'!$C$2:$C$130,'Error-codes'!$B$2:$B$130, "None")</f>
        <v>end of lane wall sensor error</v>
      </c>
      <c r="U1596" s="81">
        <f>DATEVALUE(LEFT(F1596,10))</f>
        <v>45002</v>
      </c>
    </row>
    <row r="1597" spans="1:21">
      <c r="B1597" s="56" t="s">
        <v>3293</v>
      </c>
      <c r="C1597" s="56" t="s">
        <v>7020</v>
      </c>
      <c r="D1597" s="56" t="s">
        <v>388</v>
      </c>
      <c r="F1597" s="56" t="s">
        <v>7025</v>
      </c>
      <c r="G1597" s="56">
        <v>21</v>
      </c>
      <c r="H1597" s="56">
        <v>19</v>
      </c>
      <c r="I1597" s="56">
        <v>0.90476190476190477</v>
      </c>
      <c r="K1597" s="56" t="s">
        <v>3207</v>
      </c>
      <c r="L1597" s="56" t="s">
        <v>3297</v>
      </c>
      <c r="O1597">
        <f>_xlfn.XLOOKUP(N1597,'Error-codes'!$C$2:$C$130,'Error-codes'!$B$2:$B$130, "None")</f>
        <v>0</v>
      </c>
      <c r="U1597" s="81">
        <f>DATEVALUE(LEFT(F1597,10))</f>
        <v>45002</v>
      </c>
    </row>
    <row r="1598" spans="1:21">
      <c r="A1598" s="56" t="s">
        <v>7026</v>
      </c>
      <c r="B1598" s="56" t="s">
        <v>2886</v>
      </c>
      <c r="C1598" s="56" t="s">
        <v>7027</v>
      </c>
      <c r="D1598" s="56" t="s">
        <v>37</v>
      </c>
      <c r="E1598" s="56" t="s">
        <v>2939</v>
      </c>
      <c r="F1598" s="56" t="s">
        <v>7028</v>
      </c>
      <c r="G1598" s="56">
        <v>204</v>
      </c>
      <c r="H1598" s="56">
        <v>72</v>
      </c>
      <c r="I1598" s="56">
        <v>0.35294117647058826</v>
      </c>
      <c r="J1598" s="56" t="s">
        <v>6508</v>
      </c>
      <c r="K1598" s="56" t="s">
        <v>6583</v>
      </c>
      <c r="L1598" s="56" t="s">
        <v>2932</v>
      </c>
      <c r="M1598" s="56" t="str">
        <f>HYPERLINK("https://dribble.octin.io/?mode=Single+log&amp;log_id=2bf14e02-7bc8-4963-a5bb-6b6560375116","URL")</f>
        <v>URL</v>
      </c>
      <c r="N1598" s="56" t="s">
        <v>3472</v>
      </c>
      <c r="O1598" t="str">
        <f>_xlfn.XLOOKUP(N1598,'Error-codes'!$C$2:$C$130,'Error-codes'!$B$2:$B$130, "None")</f>
        <v>Excessive slip detected</v>
      </c>
      <c r="U1598" s="81">
        <f>DATEVALUE(LEFT(F1598,10))</f>
        <v>45002</v>
      </c>
    </row>
    <row r="1599" spans="1:21">
      <c r="A1599" s="56" t="s">
        <v>7029</v>
      </c>
      <c r="B1599" s="56" t="s">
        <v>2886</v>
      </c>
      <c r="C1599" s="56" t="s">
        <v>7027</v>
      </c>
      <c r="D1599" s="56" t="s">
        <v>37</v>
      </c>
      <c r="E1599" s="56" t="s">
        <v>2939</v>
      </c>
      <c r="F1599" s="56" t="s">
        <v>7030</v>
      </c>
      <c r="G1599" s="56">
        <v>204</v>
      </c>
      <c r="H1599" s="56">
        <v>86</v>
      </c>
      <c r="I1599" s="56">
        <v>0.42156862745098039</v>
      </c>
      <c r="J1599" s="56" t="s">
        <v>5859</v>
      </c>
      <c r="K1599" s="56" t="s">
        <v>6583</v>
      </c>
      <c r="L1599" s="56" t="s">
        <v>2932</v>
      </c>
      <c r="M1599" s="56" t="str">
        <f>HYPERLINK("https://dribble.octin.io/?mode=Single+log&amp;log_id=e54b5962-0a23-40c5-96f5-4bfbe283839a","URL")</f>
        <v>URL</v>
      </c>
      <c r="N1599" s="56" t="s">
        <v>3472</v>
      </c>
      <c r="O1599" t="str">
        <f>_xlfn.XLOOKUP(N1599,'Error-codes'!$C$2:$C$130,'Error-codes'!$B$2:$B$130, "None")</f>
        <v>Excessive slip detected</v>
      </c>
      <c r="U1599" s="81">
        <f>DATEVALUE(LEFT(F1599,10))</f>
        <v>45003</v>
      </c>
    </row>
    <row r="1600" spans="1:21">
      <c r="A1600" s="56" t="s">
        <v>7031</v>
      </c>
      <c r="B1600" s="56" t="s">
        <v>228</v>
      </c>
      <c r="C1600" s="56" t="s">
        <v>7032</v>
      </c>
      <c r="D1600" s="56" t="s">
        <v>37</v>
      </c>
      <c r="E1600" s="56" t="s">
        <v>7033</v>
      </c>
      <c r="F1600" s="56" t="s">
        <v>7034</v>
      </c>
      <c r="G1600" s="56">
        <v>202</v>
      </c>
      <c r="H1600" s="56">
        <v>101</v>
      </c>
      <c r="I1600" s="56">
        <v>0.5</v>
      </c>
      <c r="J1600" s="56" t="s">
        <v>7035</v>
      </c>
      <c r="K1600" s="56" t="s">
        <v>6828</v>
      </c>
      <c r="L1600" s="56" t="s">
        <v>2932</v>
      </c>
      <c r="M1600" s="56" t="str">
        <f>HYPERLINK("https://dribble.octin.io/?mode=Single+log&amp;log_id=c7790c47-0114-4af9-9a84-e07d97bbec92","URL")</f>
        <v>URL</v>
      </c>
      <c r="N1600" s="56" t="s">
        <v>3462</v>
      </c>
      <c r="O1600" t="str">
        <f>_xlfn.XLOOKUP(N1600,'Error-codes'!$C$2:$C$130,'Error-codes'!$B$2:$B$130, "None")</f>
        <v xml:space="preserve">Vehicle HAL: motor drive: ID CONTROL ISSUE	</v>
      </c>
      <c r="U1600" s="81">
        <f>DATEVALUE(LEFT(F1600,10))</f>
        <v>45003</v>
      </c>
    </row>
    <row r="1601" spans="1:21">
      <c r="A1601" s="56" t="s">
        <v>7036</v>
      </c>
      <c r="B1601" s="56" t="s">
        <v>2886</v>
      </c>
      <c r="C1601" s="56" t="s">
        <v>7027</v>
      </c>
      <c r="D1601" s="56" t="s">
        <v>37</v>
      </c>
      <c r="E1601" s="56" t="s">
        <v>4731</v>
      </c>
      <c r="F1601" s="56" t="s">
        <v>7037</v>
      </c>
      <c r="G1601" s="56">
        <v>204</v>
      </c>
      <c r="H1601" s="56">
        <v>104</v>
      </c>
      <c r="I1601" s="56">
        <v>0.50980392156862742</v>
      </c>
      <c r="J1601" s="56" t="s">
        <v>6604</v>
      </c>
      <c r="K1601" s="56" t="s">
        <v>6583</v>
      </c>
      <c r="L1601" s="56" t="s">
        <v>2932</v>
      </c>
      <c r="M1601" s="56" t="str">
        <f>HYPERLINK("https://dribble.octin.io/?mode=Single+log&amp;log_id=d0caeb5c-df94-4912-ba5e-9a6b1e3b3480","URL")</f>
        <v>URL</v>
      </c>
      <c r="N1601" s="56" t="s">
        <v>3460</v>
      </c>
      <c r="O1601" t="str">
        <f>_xlfn.XLOOKUP(N1601,'Error-codes'!$C$2:$C$130,'Error-codes'!$B$2:$B$130, "None")</f>
        <v>motor drive: DRV8353 FAULT</v>
      </c>
      <c r="U1601" s="81">
        <f>DATEVALUE(LEFT(F1601,10))</f>
        <v>45003</v>
      </c>
    </row>
    <row r="1602" spans="1:21">
      <c r="B1602" s="56" t="s">
        <v>3263</v>
      </c>
      <c r="C1602" s="56" t="s">
        <v>7038</v>
      </c>
      <c r="D1602" s="56" t="s">
        <v>388</v>
      </c>
      <c r="F1602" s="56" t="s">
        <v>7039</v>
      </c>
      <c r="G1602" s="56">
        <v>82</v>
      </c>
      <c r="H1602" s="56">
        <v>82</v>
      </c>
      <c r="I1602" s="56">
        <v>1</v>
      </c>
      <c r="K1602" s="56" t="s">
        <v>3280</v>
      </c>
      <c r="L1602" s="56" t="s">
        <v>3269</v>
      </c>
      <c r="O1602">
        <f>_xlfn.XLOOKUP(N1602,'Error-codes'!$C$2:$C$130,'Error-codes'!$B$2:$B$130, "None")</f>
        <v>0</v>
      </c>
      <c r="U1602" s="81">
        <f>DATEVALUE(LEFT(F1602,10))</f>
        <v>45003</v>
      </c>
    </row>
    <row r="1603" spans="1:21">
      <c r="A1603" s="56" t="s">
        <v>7040</v>
      </c>
      <c r="B1603" s="56" t="s">
        <v>3771</v>
      </c>
      <c r="C1603" s="56" t="s">
        <v>7041</v>
      </c>
      <c r="D1603" s="56" t="s">
        <v>37</v>
      </c>
      <c r="E1603" s="56" t="s">
        <v>2939</v>
      </c>
      <c r="F1603" s="56" t="s">
        <v>7042</v>
      </c>
      <c r="G1603" s="56">
        <v>157</v>
      </c>
      <c r="H1603" s="56">
        <v>1</v>
      </c>
      <c r="I1603" s="56">
        <v>6.369426751592357E-3</v>
      </c>
      <c r="J1603" s="56" t="s">
        <v>4440</v>
      </c>
      <c r="K1603" s="56" t="s">
        <v>3207</v>
      </c>
      <c r="L1603" s="56" t="s">
        <v>3775</v>
      </c>
      <c r="M1603" s="56" t="str">
        <f>HYPERLINK("https://dribble.octin.io/?mode=Single+log&amp;log_id=001294fc-3610-4c82-9d2d-8c0e79f29916","URL")</f>
        <v>URL</v>
      </c>
      <c r="N1603" s="56" t="s">
        <v>3476</v>
      </c>
      <c r="O1603" t="str">
        <f>_xlfn.XLOOKUP(N1603,'Error-codes'!$C$2:$C$130,'Error-codes'!$B$2:$B$130, "None")</f>
        <v>failed to switch uv lamp state</v>
      </c>
      <c r="U1603" s="81">
        <f>DATEVALUE(LEFT(F1603,10))</f>
        <v>45003</v>
      </c>
    </row>
    <row r="1604" spans="1:21">
      <c r="A1604" s="56" t="s">
        <v>7043</v>
      </c>
      <c r="B1604" s="56" t="s">
        <v>3771</v>
      </c>
      <c r="C1604" s="56" t="s">
        <v>7041</v>
      </c>
      <c r="D1604" s="56" t="s">
        <v>37</v>
      </c>
      <c r="E1604" s="56" t="s">
        <v>2939</v>
      </c>
      <c r="F1604" s="56" t="s">
        <v>7044</v>
      </c>
      <c r="G1604" s="56">
        <v>157</v>
      </c>
      <c r="H1604" s="56">
        <v>3</v>
      </c>
      <c r="I1604" s="56">
        <v>1.9108280254777069E-2</v>
      </c>
      <c r="J1604" s="56" t="s">
        <v>4440</v>
      </c>
      <c r="K1604" s="56" t="s">
        <v>3207</v>
      </c>
      <c r="L1604" s="56" t="s">
        <v>3775</v>
      </c>
      <c r="M1604" s="56" t="str">
        <f>HYPERLINK("https://dribble.octin.io/?mode=Single+log&amp;log_id=830ce1ba-953f-46dc-87e3-4ada6604e09b","URL")</f>
        <v>URL</v>
      </c>
      <c r="N1604" s="56" t="s">
        <v>3476</v>
      </c>
      <c r="O1604" t="str">
        <f>_xlfn.XLOOKUP(N1604,'Error-codes'!$C$2:$C$130,'Error-codes'!$B$2:$B$130, "None")</f>
        <v>failed to switch uv lamp state</v>
      </c>
      <c r="U1604" s="81">
        <f>DATEVALUE(LEFT(F1604,10))</f>
        <v>45003</v>
      </c>
    </row>
    <row r="1605" spans="1:21">
      <c r="A1605" s="56" t="s">
        <v>7043</v>
      </c>
      <c r="B1605" s="56" t="s">
        <v>3771</v>
      </c>
      <c r="C1605" s="56" t="s">
        <v>7041</v>
      </c>
      <c r="D1605" s="56" t="s">
        <v>37</v>
      </c>
      <c r="E1605" s="56" t="s">
        <v>2939</v>
      </c>
      <c r="F1605" s="56" t="s">
        <v>7044</v>
      </c>
      <c r="G1605" s="56">
        <v>157</v>
      </c>
      <c r="H1605" s="56">
        <v>5</v>
      </c>
      <c r="I1605" s="56">
        <v>3.1847133757961783E-2</v>
      </c>
      <c r="J1605" s="56" t="s">
        <v>4440</v>
      </c>
      <c r="K1605" s="56" t="s">
        <v>3207</v>
      </c>
      <c r="L1605" s="56" t="s">
        <v>3775</v>
      </c>
      <c r="M1605" s="56" t="str">
        <f>HYPERLINK("https://dribble.octin.io/?mode=Single+log&amp;log_id=830ce1ba-953f-46dc-87e3-4ada6604e09b","URL")</f>
        <v>URL</v>
      </c>
      <c r="N1605" s="56" t="s">
        <v>3476</v>
      </c>
      <c r="O1605" t="str">
        <f>_xlfn.XLOOKUP(N1605,'Error-codes'!$C$2:$C$130,'Error-codes'!$B$2:$B$130, "None")</f>
        <v>failed to switch uv lamp state</v>
      </c>
      <c r="U1605" s="81">
        <f>DATEVALUE(LEFT(F1605,10))</f>
        <v>45003</v>
      </c>
    </row>
    <row r="1606" spans="1:21">
      <c r="A1606" s="56" t="s">
        <v>7045</v>
      </c>
      <c r="B1606" s="56" t="s">
        <v>3771</v>
      </c>
      <c r="C1606" s="56" t="s">
        <v>7041</v>
      </c>
      <c r="D1606" s="56" t="s">
        <v>37</v>
      </c>
      <c r="E1606" s="56" t="s">
        <v>4564</v>
      </c>
      <c r="F1606" s="56" t="s">
        <v>7046</v>
      </c>
      <c r="G1606" s="56">
        <v>157</v>
      </c>
      <c r="H1606" s="56">
        <v>7</v>
      </c>
      <c r="I1606" s="56">
        <v>4.4585987261146494E-2</v>
      </c>
      <c r="J1606" s="56" t="s">
        <v>4445</v>
      </c>
      <c r="K1606" s="56" t="s">
        <v>3207</v>
      </c>
      <c r="L1606" s="56" t="s">
        <v>3775</v>
      </c>
      <c r="M1606" s="56" t="str">
        <f>HYPERLINK("https://dribble.octin.io/?mode=Single+log&amp;log_id=35df8011-e3bc-4802-b612-dc4c124cdd01","URL")</f>
        <v>URL</v>
      </c>
      <c r="N1606" s="56" t="s">
        <v>3476</v>
      </c>
      <c r="O1606" t="str">
        <f>_xlfn.XLOOKUP(N1606,'Error-codes'!$C$2:$C$130,'Error-codes'!$B$2:$B$130, "None")</f>
        <v>failed to switch uv lamp state</v>
      </c>
      <c r="U1606" s="81">
        <f>DATEVALUE(LEFT(F1606,10))</f>
        <v>45003</v>
      </c>
    </row>
    <row r="1607" spans="1:21">
      <c r="A1607" s="56" t="s">
        <v>7047</v>
      </c>
      <c r="B1607" s="56" t="s">
        <v>3771</v>
      </c>
      <c r="C1607" s="56" t="s">
        <v>7048</v>
      </c>
      <c r="D1607" s="56" t="s">
        <v>37</v>
      </c>
      <c r="E1607" s="56" t="s">
        <v>4564</v>
      </c>
      <c r="F1607" s="56" t="s">
        <v>7049</v>
      </c>
      <c r="G1607" s="56">
        <v>180</v>
      </c>
      <c r="H1607" s="56">
        <v>1</v>
      </c>
      <c r="I1607" s="56">
        <v>5.5555555555555558E-3</v>
      </c>
      <c r="J1607" s="56" t="s">
        <v>4445</v>
      </c>
      <c r="K1607" s="56" t="s">
        <v>3207</v>
      </c>
      <c r="L1607" s="56" t="s">
        <v>3775</v>
      </c>
      <c r="M1607" s="56" t="str">
        <f>HYPERLINK("https://dribble.octin.io/?mode=Single+log&amp;log_id=662b300e-1bc5-4750-ac52-a4a56db743e2","URL")</f>
        <v>URL</v>
      </c>
      <c r="N1607" s="56" t="s">
        <v>3476</v>
      </c>
      <c r="O1607" t="str">
        <f>_xlfn.XLOOKUP(N1607,'Error-codes'!$C$2:$C$130,'Error-codes'!$B$2:$B$130, "None")</f>
        <v>failed to switch uv lamp state</v>
      </c>
      <c r="U1607" s="81">
        <f>DATEVALUE(LEFT(F1607,10))</f>
        <v>45003</v>
      </c>
    </row>
    <row r="1608" spans="1:21">
      <c r="A1608" s="56" t="s">
        <v>7050</v>
      </c>
      <c r="B1608" s="56" t="s">
        <v>2886</v>
      </c>
      <c r="C1608" s="56" t="s">
        <v>7051</v>
      </c>
      <c r="D1608" s="56" t="s">
        <v>388</v>
      </c>
      <c r="E1608" s="56" t="s">
        <v>2939</v>
      </c>
      <c r="F1608" s="56" t="s">
        <v>7052</v>
      </c>
      <c r="G1608" s="56">
        <v>102</v>
      </c>
      <c r="H1608" s="56">
        <v>53</v>
      </c>
      <c r="I1608" s="56">
        <v>0.51960784313725494</v>
      </c>
      <c r="J1608" s="56" t="s">
        <v>7053</v>
      </c>
      <c r="K1608" s="56" t="s">
        <v>6583</v>
      </c>
      <c r="L1608" s="56" t="s">
        <v>2932</v>
      </c>
      <c r="M1608" s="56" t="str">
        <f>HYPERLINK("https://dribble.octin.io/?mode=Single+log&amp;log_id=de347854-a272-4960-9879-e3f4c2278a93","URL")</f>
        <v>URL</v>
      </c>
      <c r="N1608" s="56" t="s">
        <v>2933</v>
      </c>
      <c r="O1608" t="str">
        <f>_xlfn.XLOOKUP(N1608,'Error-codes'!$C$2:$C$130,'Error-codes'!$B$2:$B$130, "None")</f>
        <v>inductive sensor error</v>
      </c>
      <c r="U1608" s="81">
        <f>DATEVALUE(LEFT(F1608,10))</f>
        <v>45003</v>
      </c>
    </row>
    <row r="1609" spans="1:21">
      <c r="A1609" s="56"/>
      <c r="B1609" s="56" t="s">
        <v>228</v>
      </c>
      <c r="C1609" s="56" t="s">
        <v>7054</v>
      </c>
      <c r="D1609" s="56" t="s">
        <v>388</v>
      </c>
      <c r="E1609" s="56" t="s">
        <v>2939</v>
      </c>
      <c r="F1609" s="56" t="s">
        <v>7055</v>
      </c>
      <c r="G1609" s="56">
        <v>101</v>
      </c>
      <c r="H1609" s="56">
        <v>53</v>
      </c>
      <c r="I1609" s="56">
        <v>0.52475247524752477</v>
      </c>
      <c r="J1609" s="56" t="s">
        <v>7056</v>
      </c>
      <c r="K1609" s="56" t="s">
        <v>6828</v>
      </c>
      <c r="L1609" s="56" t="s">
        <v>2932</v>
      </c>
      <c r="N1609" s="56" t="s">
        <v>3472</v>
      </c>
      <c r="O1609" t="str">
        <f>_xlfn.XLOOKUP(N1609,'Error-codes'!$C$2:$C$130,'Error-codes'!$B$2:$B$130, "None")</f>
        <v>Excessive slip detected</v>
      </c>
      <c r="U1609" s="81">
        <f>DATEVALUE(LEFT(F1609,10))</f>
        <v>45003</v>
      </c>
    </row>
    <row r="1610" spans="1:21">
      <c r="A1610" s="56"/>
      <c r="B1610" s="56" t="s">
        <v>5394</v>
      </c>
      <c r="C1610" s="56" t="s">
        <v>7057</v>
      </c>
      <c r="D1610" s="56" t="s">
        <v>37</v>
      </c>
      <c r="E1610" s="56" t="s">
        <v>7058</v>
      </c>
      <c r="F1610" s="56" t="s">
        <v>7059</v>
      </c>
      <c r="G1610" s="56">
        <v>120</v>
      </c>
      <c r="H1610" s="56">
        <v>80</v>
      </c>
      <c r="I1610" s="56">
        <v>0.66666666666666663</v>
      </c>
      <c r="J1610" s="56" t="s">
        <v>7060</v>
      </c>
      <c r="K1610" s="56" t="s">
        <v>1873</v>
      </c>
      <c r="L1610" s="56" t="s">
        <v>6059</v>
      </c>
      <c r="N1610" s="56" t="s">
        <v>7061</v>
      </c>
      <c r="O1610" t="str">
        <f>_xlfn.XLOOKUP(N1610,'Error-codes'!$C$2:$C$130,'Error-codes'!$B$2:$B$130, "None")</f>
        <v>None</v>
      </c>
      <c r="U1610" s="81">
        <f>DATEVALUE(LEFT(F1610,10))</f>
        <v>45004</v>
      </c>
    </row>
    <row r="1611" spans="1:21">
      <c r="B1611" s="56" t="s">
        <v>228</v>
      </c>
      <c r="C1611" s="56" t="s">
        <v>7054</v>
      </c>
      <c r="D1611" s="56" t="s">
        <v>388</v>
      </c>
      <c r="F1611" s="56" t="s">
        <v>7062</v>
      </c>
      <c r="G1611" s="56">
        <v>101</v>
      </c>
      <c r="H1611" s="56">
        <v>100</v>
      </c>
      <c r="I1611" s="56">
        <v>0.99009900990099009</v>
      </c>
      <c r="K1611" s="56" t="s">
        <v>6828</v>
      </c>
      <c r="L1611" s="56" t="s">
        <v>2932</v>
      </c>
      <c r="O1611">
        <f>_xlfn.XLOOKUP(N1611,'Error-codes'!$C$2:$C$130,'Error-codes'!$B$2:$B$130, "None")</f>
        <v>0</v>
      </c>
      <c r="U1611" s="81">
        <f>DATEVALUE(LEFT(F1611,10))</f>
        <v>45004</v>
      </c>
    </row>
    <row r="1612" spans="1:21">
      <c r="B1612" s="56" t="s">
        <v>2886</v>
      </c>
      <c r="C1612" s="56" t="s">
        <v>7051</v>
      </c>
      <c r="D1612" s="56" t="s">
        <v>388</v>
      </c>
      <c r="F1612" s="56" t="s">
        <v>7063</v>
      </c>
      <c r="G1612" s="56">
        <v>102</v>
      </c>
      <c r="H1612" s="56">
        <v>101</v>
      </c>
      <c r="I1612" s="56">
        <v>0.99019607843137258</v>
      </c>
      <c r="K1612" s="56" t="s">
        <v>6583</v>
      </c>
      <c r="L1612" s="56" t="s">
        <v>2932</v>
      </c>
      <c r="O1612">
        <f>_xlfn.XLOOKUP(N1612,'Error-codes'!$C$2:$C$130,'Error-codes'!$B$2:$B$130, "None")</f>
        <v>0</v>
      </c>
      <c r="U1612" s="81">
        <f>DATEVALUE(LEFT(F1612,10))</f>
        <v>45004</v>
      </c>
    </row>
    <row r="1613" spans="1:21">
      <c r="B1613" s="56" t="s">
        <v>2886</v>
      </c>
      <c r="C1613" s="56" t="s">
        <v>7064</v>
      </c>
      <c r="D1613" s="56" t="s">
        <v>22</v>
      </c>
      <c r="F1613" s="56" t="s">
        <v>7065</v>
      </c>
      <c r="G1613" s="56">
        <v>102</v>
      </c>
      <c r="H1613" s="56">
        <v>1</v>
      </c>
      <c r="I1613" s="56">
        <v>9.8039215686274508E-3</v>
      </c>
      <c r="K1613" s="56" t="s">
        <v>2171</v>
      </c>
      <c r="L1613" s="56" t="s">
        <v>2932</v>
      </c>
      <c r="O1613">
        <f>_xlfn.XLOOKUP(N1613,'Error-codes'!$C$2:$C$130,'Error-codes'!$B$2:$B$130, "None")</f>
        <v>0</v>
      </c>
      <c r="U1613" s="81">
        <f>DATEVALUE(LEFT(F1613,10))</f>
        <v>45004</v>
      </c>
    </row>
    <row r="1614" spans="1:21">
      <c r="B1614" s="56" t="s">
        <v>2886</v>
      </c>
      <c r="C1614" s="56" t="s">
        <v>7066</v>
      </c>
      <c r="D1614" s="56" t="s">
        <v>22</v>
      </c>
      <c r="F1614" s="56" t="s">
        <v>7067</v>
      </c>
      <c r="G1614" s="56">
        <v>102</v>
      </c>
      <c r="H1614" s="56">
        <v>1</v>
      </c>
      <c r="I1614" s="56">
        <v>9.8039215686274508E-3</v>
      </c>
      <c r="K1614" s="56" t="s">
        <v>2171</v>
      </c>
      <c r="L1614" s="56" t="s">
        <v>2932</v>
      </c>
      <c r="O1614">
        <f>_xlfn.XLOOKUP(N1614,'Error-codes'!$C$2:$C$130,'Error-codes'!$B$2:$B$130, "None")</f>
        <v>0</v>
      </c>
      <c r="U1614" s="81">
        <f>DATEVALUE(LEFT(F1614,10))</f>
        <v>45004</v>
      </c>
    </row>
    <row r="1615" spans="1:21">
      <c r="A1615" s="56" t="s">
        <v>7068</v>
      </c>
      <c r="B1615" s="56" t="s">
        <v>2886</v>
      </c>
      <c r="C1615" s="56" t="s">
        <v>7069</v>
      </c>
      <c r="D1615" s="56" t="s">
        <v>37</v>
      </c>
      <c r="E1615" s="56" t="s">
        <v>2939</v>
      </c>
      <c r="F1615" s="56" t="s">
        <v>7070</v>
      </c>
      <c r="G1615" s="56">
        <v>206</v>
      </c>
      <c r="H1615" s="56">
        <v>10</v>
      </c>
      <c r="I1615" s="56">
        <v>4.8543689320388349E-2</v>
      </c>
      <c r="J1615" s="56" t="s">
        <v>289</v>
      </c>
      <c r="K1615" s="56" t="s">
        <v>6583</v>
      </c>
      <c r="L1615" s="56" t="s">
        <v>2932</v>
      </c>
      <c r="M1615" s="56" t="str">
        <f>HYPERLINK("https://dribble.octin.io/?mode=Single+log&amp;log_id=f4e4c901-3b68-4baa-ba7f-ef2915493dc9","URL")</f>
        <v>URL</v>
      </c>
      <c r="N1615" s="56" t="s">
        <v>2933</v>
      </c>
      <c r="O1615" t="str">
        <f>_xlfn.XLOOKUP(N1615,'Error-codes'!$C$2:$C$130,'Error-codes'!$B$2:$B$130, "None")</f>
        <v>inductive sensor error</v>
      </c>
      <c r="U1615" s="81">
        <f>DATEVALUE(LEFT(F1615,10))</f>
        <v>45004</v>
      </c>
    </row>
    <row r="1616" spans="1:21">
      <c r="A1616" s="56"/>
      <c r="B1616" s="56" t="s">
        <v>228</v>
      </c>
      <c r="C1616" s="56" t="s">
        <v>7071</v>
      </c>
      <c r="D1616" s="56" t="s">
        <v>37</v>
      </c>
      <c r="E1616" s="56" t="s">
        <v>2939</v>
      </c>
      <c r="F1616" s="56" t="s">
        <v>7072</v>
      </c>
      <c r="G1616" s="56">
        <v>203</v>
      </c>
      <c r="H1616" s="56">
        <v>21</v>
      </c>
      <c r="I1616" s="56">
        <v>0.10344827586206896</v>
      </c>
      <c r="J1616" s="56" t="s">
        <v>4238</v>
      </c>
      <c r="K1616" s="56" t="s">
        <v>6828</v>
      </c>
      <c r="L1616" s="56" t="s">
        <v>2932</v>
      </c>
      <c r="N1616" s="56" t="s">
        <v>3472</v>
      </c>
      <c r="O1616" t="str">
        <f>_xlfn.XLOOKUP(N1616,'Error-codes'!$C$2:$C$130,'Error-codes'!$B$2:$B$130, "None")</f>
        <v>Excessive slip detected</v>
      </c>
      <c r="U1616" s="81">
        <f>DATEVALUE(LEFT(F1616,10))</f>
        <v>45004</v>
      </c>
    </row>
    <row r="1617" spans="1:21">
      <c r="A1617" s="56" t="s">
        <v>7073</v>
      </c>
      <c r="B1617" s="56" t="s">
        <v>2886</v>
      </c>
      <c r="C1617" s="56" t="s">
        <v>7069</v>
      </c>
      <c r="D1617" s="56" t="s">
        <v>37</v>
      </c>
      <c r="E1617" s="56" t="s">
        <v>2939</v>
      </c>
      <c r="F1617" s="56" t="s">
        <v>7074</v>
      </c>
      <c r="G1617" s="56">
        <v>206</v>
      </c>
      <c r="H1617" s="56">
        <v>46</v>
      </c>
      <c r="I1617" s="56">
        <v>0.22330097087378642</v>
      </c>
      <c r="J1617" s="56" t="s">
        <v>7075</v>
      </c>
      <c r="K1617" s="56" t="s">
        <v>6583</v>
      </c>
      <c r="L1617" s="56" t="s">
        <v>2932</v>
      </c>
      <c r="M1617" s="56" t="str">
        <f>HYPERLINK("https://dribble.octin.io/?mode=Single+log&amp;log_id=f52f53b5-ea13-4059-8e61-174ec9b79290","URL")</f>
        <v>URL</v>
      </c>
      <c r="N1617" s="56" t="s">
        <v>2933</v>
      </c>
      <c r="O1617" t="str">
        <f>_xlfn.XLOOKUP(N1617,'Error-codes'!$C$2:$C$130,'Error-codes'!$B$2:$B$130, "None")</f>
        <v>inductive sensor error</v>
      </c>
      <c r="U1617" s="81">
        <f>DATEVALUE(LEFT(F1617,10))</f>
        <v>45004</v>
      </c>
    </row>
    <row r="1618" spans="1:21">
      <c r="A1618" s="56" t="s">
        <v>7076</v>
      </c>
      <c r="B1618" s="56" t="s">
        <v>2886</v>
      </c>
      <c r="C1618" s="56" t="s">
        <v>7069</v>
      </c>
      <c r="D1618" s="56" t="s">
        <v>37</v>
      </c>
      <c r="E1618" s="56" t="s">
        <v>2939</v>
      </c>
      <c r="F1618" s="56" t="s">
        <v>7077</v>
      </c>
      <c r="G1618" s="56">
        <v>206</v>
      </c>
      <c r="H1618" s="56">
        <v>74</v>
      </c>
      <c r="I1618" s="56">
        <v>0.35922330097087379</v>
      </c>
      <c r="J1618" s="56" t="s">
        <v>6508</v>
      </c>
      <c r="K1618" s="56" t="s">
        <v>6583</v>
      </c>
      <c r="L1618" s="56" t="s">
        <v>2932</v>
      </c>
      <c r="M1618" s="56" t="str">
        <f>HYPERLINK("https://dribble.octin.io/?mode=Single+log&amp;log_id=43022773-1cda-4c08-85cf-5fe6f5e54f0c","URL")</f>
        <v>URL</v>
      </c>
      <c r="N1618" s="56" t="s">
        <v>3472</v>
      </c>
      <c r="O1618" t="str">
        <f>_xlfn.XLOOKUP(N1618,'Error-codes'!$C$2:$C$130,'Error-codes'!$B$2:$B$130, "None")</f>
        <v>Excessive slip detected</v>
      </c>
      <c r="U1618" s="81">
        <f>DATEVALUE(LEFT(F1618,10))</f>
        <v>45005</v>
      </c>
    </row>
    <row r="1619" spans="1:21">
      <c r="A1619" s="56" t="s">
        <v>7078</v>
      </c>
      <c r="B1619" s="56" t="s">
        <v>2886</v>
      </c>
      <c r="C1619" s="56" t="s">
        <v>7069</v>
      </c>
      <c r="D1619" s="56" t="s">
        <v>37</v>
      </c>
      <c r="E1619" s="56" t="s">
        <v>2939</v>
      </c>
      <c r="F1619" s="56" t="s">
        <v>7079</v>
      </c>
      <c r="G1619" s="56">
        <v>206</v>
      </c>
      <c r="H1619" s="56">
        <v>79</v>
      </c>
      <c r="I1619" s="56">
        <v>0.38349514563106796</v>
      </c>
      <c r="J1619" s="56" t="s">
        <v>7080</v>
      </c>
      <c r="K1619" s="56" t="s">
        <v>6583</v>
      </c>
      <c r="L1619" s="56" t="s">
        <v>2932</v>
      </c>
      <c r="M1619" s="56" t="str">
        <f>HYPERLINK("https://dribble.octin.io/?mode=Single+log&amp;log_id=9a5331d6-e808-4626-83ac-1a8d69e60b45","URL")</f>
        <v>URL</v>
      </c>
      <c r="N1619" s="56" t="s">
        <v>2933</v>
      </c>
      <c r="O1619" t="str">
        <f>_xlfn.XLOOKUP(N1619,'Error-codes'!$C$2:$C$130,'Error-codes'!$B$2:$B$130, "None")</f>
        <v>inductive sensor error</v>
      </c>
      <c r="U1619" s="81">
        <f>DATEVALUE(LEFT(F1619,10))</f>
        <v>45005</v>
      </c>
    </row>
    <row r="1620" spans="1:21">
      <c r="A1620" s="56" t="s">
        <v>7081</v>
      </c>
      <c r="B1620" s="56" t="s">
        <v>2886</v>
      </c>
      <c r="C1620" s="56" t="s">
        <v>7069</v>
      </c>
      <c r="D1620" s="56" t="s">
        <v>37</v>
      </c>
      <c r="E1620" s="56" t="s">
        <v>4371</v>
      </c>
      <c r="F1620" s="56" t="s">
        <v>7082</v>
      </c>
      <c r="G1620" s="56">
        <v>206</v>
      </c>
      <c r="H1620" s="56">
        <v>87</v>
      </c>
      <c r="I1620" s="56">
        <v>0.42233009708737862</v>
      </c>
      <c r="J1620" s="56" t="s">
        <v>7083</v>
      </c>
      <c r="K1620" s="56" t="s">
        <v>6583</v>
      </c>
      <c r="L1620" s="56" t="s">
        <v>2932</v>
      </c>
      <c r="M1620" s="56" t="str">
        <f>HYPERLINK("https://dribble.octin.io/?mode=Single+log&amp;log_id=b38431a7-62db-488c-998e-18547bbda89a","URL")</f>
        <v>URL</v>
      </c>
      <c r="N1620" s="56" t="s">
        <v>3470</v>
      </c>
      <c r="O1620" t="str">
        <f>_xlfn.XLOOKUP(N1620,'Error-codes'!$C$2:$C$130,'Error-codes'!$B$2:$B$130, "None")</f>
        <v>battery level critical low</v>
      </c>
      <c r="U1620" s="81">
        <f>DATEVALUE(LEFT(F1620,10))</f>
        <v>45005</v>
      </c>
    </row>
    <row r="1621" spans="1:21">
      <c r="A1621" s="56"/>
      <c r="B1621" s="56" t="s">
        <v>228</v>
      </c>
      <c r="C1621" s="56" t="s">
        <v>7071</v>
      </c>
      <c r="D1621" s="56" t="s">
        <v>37</v>
      </c>
      <c r="E1621" s="56" t="s">
        <v>4371</v>
      </c>
      <c r="F1621" s="56" t="s">
        <v>7084</v>
      </c>
      <c r="G1621" s="56">
        <v>203</v>
      </c>
      <c r="H1621" s="56">
        <v>48</v>
      </c>
      <c r="I1621" s="56">
        <v>0.23645320197044334</v>
      </c>
      <c r="J1621" s="56" t="s">
        <v>7056</v>
      </c>
      <c r="K1621" s="56" t="s">
        <v>6828</v>
      </c>
      <c r="L1621" s="56" t="s">
        <v>2932</v>
      </c>
      <c r="N1621" s="56" t="s">
        <v>3470</v>
      </c>
      <c r="O1621" t="str">
        <f>_xlfn.XLOOKUP(N1621,'Error-codes'!$C$2:$C$130,'Error-codes'!$B$2:$B$130, "None")</f>
        <v>battery level critical low</v>
      </c>
      <c r="U1621" s="81">
        <f>DATEVALUE(LEFT(F1621,10))</f>
        <v>45005</v>
      </c>
    </row>
    <row r="1622" spans="1:21">
      <c r="B1622" s="56" t="s">
        <v>3771</v>
      </c>
      <c r="C1622" s="56" t="s">
        <v>7085</v>
      </c>
      <c r="D1622" s="56" t="s">
        <v>388</v>
      </c>
      <c r="F1622" s="56" t="s">
        <v>7086</v>
      </c>
      <c r="G1622" s="56">
        <v>152</v>
      </c>
      <c r="H1622" s="56">
        <v>152</v>
      </c>
      <c r="I1622" s="56">
        <v>1</v>
      </c>
      <c r="K1622" s="56" t="s">
        <v>3207</v>
      </c>
      <c r="L1622" s="56" t="s">
        <v>3775</v>
      </c>
      <c r="O1622">
        <f>_xlfn.XLOOKUP(N1622,'Error-codes'!$C$2:$C$130,'Error-codes'!$B$2:$B$130, "None")</f>
        <v>0</v>
      </c>
      <c r="U1622" s="81">
        <f>DATEVALUE(LEFT(F1622,10))</f>
        <v>45005</v>
      </c>
    </row>
    <row r="1623" spans="1:21">
      <c r="A1623" s="56" t="s">
        <v>7087</v>
      </c>
      <c r="B1623" s="56" t="s">
        <v>3263</v>
      </c>
      <c r="C1623" s="56" t="s">
        <v>7088</v>
      </c>
      <c r="D1623" s="56" t="s">
        <v>37</v>
      </c>
      <c r="E1623" s="56" t="s">
        <v>4371</v>
      </c>
      <c r="F1623" s="56" t="s">
        <v>7089</v>
      </c>
      <c r="G1623" s="56">
        <v>81</v>
      </c>
      <c r="H1623" s="56">
        <v>16</v>
      </c>
      <c r="I1623" s="56">
        <v>0.19753086419753085</v>
      </c>
      <c r="J1623" s="56" t="s">
        <v>7090</v>
      </c>
      <c r="K1623" s="56" t="s">
        <v>3268</v>
      </c>
      <c r="L1623" s="56" t="s">
        <v>3269</v>
      </c>
      <c r="M1623" s="56" t="str">
        <f>HYPERLINK("https://dribble.octin.io/?mode=Single+log&amp;log_id=867127f1-79ec-4626-a0bc-fa7c339e6b97","URL")</f>
        <v>URL</v>
      </c>
      <c r="N1623" s="56" t="s">
        <v>3470</v>
      </c>
      <c r="O1623" t="str">
        <f>_xlfn.XLOOKUP(N1623,'Error-codes'!$C$2:$C$130,'Error-codes'!$B$2:$B$130, "None")</f>
        <v>battery level critical low</v>
      </c>
      <c r="U1623" s="81">
        <f>DATEVALUE(LEFT(F1623,10))</f>
        <v>45005</v>
      </c>
    </row>
    <row r="1624" spans="1:21">
      <c r="B1624" s="56" t="s">
        <v>295</v>
      </c>
      <c r="C1624" s="56" t="s">
        <v>7091</v>
      </c>
      <c r="D1624" s="56" t="s">
        <v>388</v>
      </c>
      <c r="F1624" s="56" t="s">
        <v>7092</v>
      </c>
      <c r="G1624" s="56">
        <v>154</v>
      </c>
      <c r="H1624" s="56">
        <v>154</v>
      </c>
      <c r="I1624" s="56">
        <v>1</v>
      </c>
      <c r="K1624" s="56" t="s">
        <v>5593</v>
      </c>
      <c r="L1624" s="56" t="s">
        <v>3358</v>
      </c>
      <c r="O1624">
        <f>_xlfn.XLOOKUP(N1624,'Error-codes'!$C$2:$C$130,'Error-codes'!$B$2:$B$130, "None")</f>
        <v>0</v>
      </c>
      <c r="U1624" s="81">
        <f>DATEVALUE(LEFT(F1624,10))</f>
        <v>45012</v>
      </c>
    </row>
    <row r="1625" spans="1:21">
      <c r="B1625" s="56" t="s">
        <v>295</v>
      </c>
      <c r="C1625" s="56" t="s">
        <v>7091</v>
      </c>
      <c r="D1625" s="56" t="s">
        <v>388</v>
      </c>
      <c r="F1625" s="56" t="s">
        <v>7092</v>
      </c>
      <c r="G1625" s="56">
        <v>154</v>
      </c>
      <c r="H1625" s="56">
        <v>154</v>
      </c>
      <c r="I1625" s="56">
        <v>1</v>
      </c>
      <c r="K1625" s="56" t="s">
        <v>5593</v>
      </c>
      <c r="L1625" s="56" t="s">
        <v>3358</v>
      </c>
      <c r="O1625">
        <f>_xlfn.XLOOKUP(N1625,'Error-codes'!$C$2:$C$130,'Error-codes'!$B$2:$B$130, "None")</f>
        <v>0</v>
      </c>
      <c r="U1625" s="81">
        <f>DATEVALUE(LEFT(F1625,10))</f>
        <v>45012</v>
      </c>
    </row>
    <row r="1626" spans="1:21">
      <c r="B1626" s="56" t="s">
        <v>295</v>
      </c>
      <c r="C1626" s="56" t="s">
        <v>7093</v>
      </c>
      <c r="D1626" s="56" t="s">
        <v>22</v>
      </c>
      <c r="F1626" s="56" t="s">
        <v>7094</v>
      </c>
      <c r="G1626" s="56">
        <v>215</v>
      </c>
      <c r="H1626" s="56">
        <v>189</v>
      </c>
      <c r="I1626" s="56">
        <v>0.87906976744186049</v>
      </c>
      <c r="K1626" s="56" t="s">
        <v>5612</v>
      </c>
      <c r="L1626" s="56" t="s">
        <v>3325</v>
      </c>
      <c r="O1626">
        <f>_xlfn.XLOOKUP(N1626,'Error-codes'!$C$2:$C$130,'Error-codes'!$B$2:$B$130, "None")</f>
        <v>0</v>
      </c>
      <c r="U1626" s="81">
        <f>DATEVALUE(LEFT(F1626,10))</f>
        <v>45011</v>
      </c>
    </row>
    <row r="1627" spans="1:21">
      <c r="A1627" s="56" t="s">
        <v>7095</v>
      </c>
      <c r="B1627" s="56" t="s">
        <v>295</v>
      </c>
      <c r="C1627" s="56" t="s">
        <v>7096</v>
      </c>
      <c r="D1627" s="56" t="s">
        <v>37</v>
      </c>
      <c r="E1627" s="56" t="s">
        <v>2939</v>
      </c>
      <c r="F1627" s="56" t="s">
        <v>7097</v>
      </c>
      <c r="G1627" s="56">
        <v>216</v>
      </c>
      <c r="H1627" s="56">
        <v>0</v>
      </c>
      <c r="I1627" s="56">
        <v>0</v>
      </c>
      <c r="J1627" s="56" t="s">
        <v>7098</v>
      </c>
      <c r="K1627" s="56" t="s">
        <v>5612</v>
      </c>
      <c r="L1627" s="56" t="s">
        <v>3325</v>
      </c>
      <c r="M1627" s="56" t="str">
        <f>HYPERLINK("https://dribble.octin.io/?mode=Single+log&amp;log_id=6b6cbe3a-a516-4116-bc1a-bd471a0d1d10","URL")</f>
        <v>URL</v>
      </c>
      <c r="N1627" s="56" t="s">
        <v>3466</v>
      </c>
      <c r="O1627" t="str">
        <f>_xlfn.XLOOKUP(N1627,'Error-codes'!$C$2:$C$130,'Error-codes'!$B$2:$B$130, "None")</f>
        <v>vision error</v>
      </c>
      <c r="U1627" s="81">
        <f>DATEVALUE(LEFT(F1627,10))</f>
        <v>45010</v>
      </c>
    </row>
    <row r="1628" spans="1:21">
      <c r="A1628" s="56" t="s">
        <v>7099</v>
      </c>
      <c r="B1628" s="56" t="s">
        <v>295</v>
      </c>
      <c r="C1628" s="56" t="s">
        <v>7096</v>
      </c>
      <c r="D1628" s="56" t="s">
        <v>37</v>
      </c>
      <c r="E1628" s="56" t="s">
        <v>3242</v>
      </c>
      <c r="F1628" s="56" t="s">
        <v>7100</v>
      </c>
      <c r="G1628" s="56">
        <v>216</v>
      </c>
      <c r="H1628" s="56">
        <v>1</v>
      </c>
      <c r="I1628" s="56">
        <v>4.6296296296296294E-3</v>
      </c>
      <c r="J1628" s="56" t="s">
        <v>7101</v>
      </c>
      <c r="K1628" s="56" t="s">
        <v>5612</v>
      </c>
      <c r="L1628" s="56" t="s">
        <v>3325</v>
      </c>
      <c r="M1628" s="56" t="str">
        <f>HYPERLINK("https://dribble.octin.io/?mode=Single+log&amp;log_id=cf9092d3-0204-420c-ba7a-c835fdd81e83","URL")</f>
        <v>URL</v>
      </c>
      <c r="N1628" s="56" t="s">
        <v>3466</v>
      </c>
      <c r="O1628" t="str">
        <f>_xlfn.XLOOKUP(N1628,'Error-codes'!$C$2:$C$130,'Error-codes'!$B$2:$B$130, "None")</f>
        <v>vision error</v>
      </c>
      <c r="U1628" s="81">
        <f>DATEVALUE(LEFT(F1628,10))</f>
        <v>45010</v>
      </c>
    </row>
    <row r="1629" spans="1:21">
      <c r="A1629" s="56" t="s">
        <v>7102</v>
      </c>
      <c r="B1629" s="56" t="s">
        <v>295</v>
      </c>
      <c r="C1629" s="56" t="s">
        <v>7103</v>
      </c>
      <c r="D1629" s="56" t="s">
        <v>37</v>
      </c>
      <c r="E1629" s="56" t="s">
        <v>2939</v>
      </c>
      <c r="F1629" s="56" t="s">
        <v>7104</v>
      </c>
      <c r="G1629" s="56">
        <v>217</v>
      </c>
      <c r="H1629" s="56">
        <v>0</v>
      </c>
      <c r="I1629" s="56">
        <v>0</v>
      </c>
      <c r="J1629" s="56" t="s">
        <v>5782</v>
      </c>
      <c r="K1629" s="56" t="s">
        <v>5612</v>
      </c>
      <c r="L1629" s="56" t="s">
        <v>3325</v>
      </c>
      <c r="M1629" s="56" t="str">
        <f>HYPERLINK("https://dribble.octin.io/?mode=Single+log&amp;log_id=d2c49ca4-cb8f-43ac-bec1-13994fbc12f9","URL")</f>
        <v>URL</v>
      </c>
      <c r="N1629" s="56" t="s">
        <v>3466</v>
      </c>
      <c r="O1629" t="str">
        <f>_xlfn.XLOOKUP(N1629,'Error-codes'!$C$2:$C$130,'Error-codes'!$B$2:$B$130, "None")</f>
        <v>vision error</v>
      </c>
      <c r="U1629" s="81">
        <f>DATEVALUE(LEFT(F1629,10))</f>
        <v>45010</v>
      </c>
    </row>
    <row r="1630" spans="1:21">
      <c r="A1630" s="56" t="s">
        <v>7105</v>
      </c>
      <c r="B1630" s="56" t="s">
        <v>295</v>
      </c>
      <c r="C1630" s="56" t="s">
        <v>7103</v>
      </c>
      <c r="D1630" s="56" t="s">
        <v>37</v>
      </c>
      <c r="E1630" s="56" t="s">
        <v>3242</v>
      </c>
      <c r="F1630" s="56" t="s">
        <v>7106</v>
      </c>
      <c r="G1630" s="56">
        <v>217</v>
      </c>
      <c r="H1630" s="56">
        <v>1</v>
      </c>
      <c r="I1630" s="56">
        <v>4.608294930875576E-3</v>
      </c>
      <c r="J1630" s="56" t="s">
        <v>7098</v>
      </c>
      <c r="K1630" s="56" t="s">
        <v>5612</v>
      </c>
      <c r="L1630" s="56" t="s">
        <v>3325</v>
      </c>
      <c r="M1630" s="56" t="str">
        <f>HYPERLINK("https://dribble.octin.io/?mode=Single+log&amp;log_id=9c75aa1a-e0c5-4643-9832-dfea7f516c47","URL")</f>
        <v>URL</v>
      </c>
      <c r="N1630" s="56" t="s">
        <v>3466</v>
      </c>
      <c r="O1630" t="str">
        <f>_xlfn.XLOOKUP(N1630,'Error-codes'!$C$2:$C$130,'Error-codes'!$B$2:$B$130, "None")</f>
        <v>vision error</v>
      </c>
      <c r="U1630" s="81">
        <f>DATEVALUE(LEFT(F1630,10))</f>
        <v>45010</v>
      </c>
    </row>
    <row r="1631" spans="1:21">
      <c r="A1631" s="56" t="s">
        <v>7107</v>
      </c>
      <c r="B1631" s="56" t="s">
        <v>295</v>
      </c>
      <c r="C1631" s="56" t="s">
        <v>7108</v>
      </c>
      <c r="D1631" s="56" t="s">
        <v>388</v>
      </c>
      <c r="E1631" s="56" t="s">
        <v>2939</v>
      </c>
      <c r="F1631" s="56" t="s">
        <v>7109</v>
      </c>
      <c r="G1631" s="56">
        <v>210</v>
      </c>
      <c r="H1631" s="56">
        <v>120</v>
      </c>
      <c r="I1631" s="56">
        <v>0.5714285714285714</v>
      </c>
      <c r="J1631" s="56" t="s">
        <v>5760</v>
      </c>
      <c r="K1631" s="56" t="s">
        <v>5593</v>
      </c>
      <c r="L1631" s="56" t="s">
        <v>3325</v>
      </c>
      <c r="M1631" s="56" t="str">
        <f>HYPERLINK("https://dribble.octin.io/?mode=Single+log&amp;log_id=b72036fa-7e22-4870-bf50-7aab97c43b09","URL")</f>
        <v>URL</v>
      </c>
      <c r="N1631" s="56" t="s">
        <v>3444</v>
      </c>
      <c r="O1631" t="str">
        <f>_xlfn.XLOOKUP(N1631,'Error-codes'!$C$2:$C$130,'Error-codes'!$B$2:$B$130, "None")</f>
        <v>collision detected in operational state for the 4th time in a row</v>
      </c>
      <c r="U1631" s="81">
        <f>DATEVALUE(LEFT(F1631,10))</f>
        <v>45010</v>
      </c>
    </row>
    <row r="1632" spans="1:21">
      <c r="A1632" s="56" t="s">
        <v>7110</v>
      </c>
      <c r="B1632" s="56" t="s">
        <v>295</v>
      </c>
      <c r="C1632" s="56" t="s">
        <v>7108</v>
      </c>
      <c r="D1632" s="56" t="s">
        <v>388</v>
      </c>
      <c r="E1632" s="56" t="s">
        <v>2939</v>
      </c>
      <c r="F1632" s="56" t="s">
        <v>7111</v>
      </c>
      <c r="G1632" s="56">
        <v>210</v>
      </c>
      <c r="H1632" s="56">
        <v>122</v>
      </c>
      <c r="I1632" s="56">
        <v>0.580952380952381</v>
      </c>
      <c r="J1632" s="56" t="s">
        <v>7112</v>
      </c>
      <c r="K1632" s="56" t="s">
        <v>5593</v>
      </c>
      <c r="L1632" s="56" t="s">
        <v>3325</v>
      </c>
      <c r="M1632" s="56" t="str">
        <f>HYPERLINK("https://dribble.octin.io/?mode=Single+log&amp;log_id=1d2c07b3-51b4-49ef-9e47-445bd7bdb23c","URL")</f>
        <v>URL</v>
      </c>
      <c r="N1632" s="56" t="s">
        <v>2933</v>
      </c>
      <c r="O1632" t="str">
        <f>_xlfn.XLOOKUP(N1632,'Error-codes'!$C$2:$C$130,'Error-codes'!$B$2:$B$130, "None")</f>
        <v>inductive sensor error</v>
      </c>
      <c r="U1632" s="81">
        <f>DATEVALUE(LEFT(F1632,10))</f>
        <v>45010</v>
      </c>
    </row>
    <row r="1633" spans="1:21">
      <c r="B1633" s="56" t="s">
        <v>295</v>
      </c>
      <c r="C1633" s="56" t="s">
        <v>7108</v>
      </c>
      <c r="D1633" s="56" t="s">
        <v>388</v>
      </c>
      <c r="F1633" s="56" t="s">
        <v>7113</v>
      </c>
      <c r="G1633" s="56">
        <v>210</v>
      </c>
      <c r="H1633" s="56">
        <v>208</v>
      </c>
      <c r="I1633" s="56">
        <v>0.99047619047619051</v>
      </c>
      <c r="K1633" s="56" t="s">
        <v>5593</v>
      </c>
      <c r="L1633" s="56" t="s">
        <v>3325</v>
      </c>
      <c r="O1633">
        <f>_xlfn.XLOOKUP(N1633,'Error-codes'!$C$2:$C$130,'Error-codes'!$B$2:$B$130, "None")</f>
        <v>0</v>
      </c>
      <c r="U1633" s="81">
        <f>DATEVALUE(LEFT(F1633,10))</f>
        <v>45010</v>
      </c>
    </row>
    <row r="1634" spans="1:21">
      <c r="B1634" s="56" t="s">
        <v>295</v>
      </c>
      <c r="C1634" s="56" t="s">
        <v>7114</v>
      </c>
      <c r="D1634" s="56" t="s">
        <v>22</v>
      </c>
      <c r="F1634" s="56" t="s">
        <v>7115</v>
      </c>
      <c r="G1634" s="56">
        <v>8</v>
      </c>
      <c r="H1634" s="56">
        <v>6</v>
      </c>
      <c r="I1634" s="56">
        <v>0.75</v>
      </c>
      <c r="K1634" s="56" t="s">
        <v>5612</v>
      </c>
      <c r="L1634" s="56" t="s">
        <v>3358</v>
      </c>
      <c r="O1634">
        <f>_xlfn.XLOOKUP(N1634,'Error-codes'!$C$2:$C$130,'Error-codes'!$B$2:$B$130, "None")</f>
        <v>0</v>
      </c>
      <c r="U1634" s="81">
        <f>DATEVALUE(LEFT(F1634,10))</f>
        <v>45009</v>
      </c>
    </row>
    <row r="1635" spans="1:21">
      <c r="B1635" s="56" t="s">
        <v>295</v>
      </c>
      <c r="C1635" s="56" t="s">
        <v>7116</v>
      </c>
      <c r="D1635" s="56" t="s">
        <v>388</v>
      </c>
      <c r="F1635" s="56" t="s">
        <v>7117</v>
      </c>
      <c r="G1635" s="56">
        <v>4</v>
      </c>
      <c r="H1635" s="56">
        <v>4</v>
      </c>
      <c r="I1635" s="56">
        <v>1</v>
      </c>
      <c r="K1635" s="56" t="s">
        <v>5593</v>
      </c>
      <c r="L1635" s="56" t="s">
        <v>3358</v>
      </c>
      <c r="O1635">
        <f>_xlfn.XLOOKUP(N1635,'Error-codes'!$C$2:$C$130,'Error-codes'!$B$2:$B$130, "None")</f>
        <v>0</v>
      </c>
      <c r="U1635" s="81">
        <f>DATEVALUE(LEFT(F1635,10))</f>
        <v>45009</v>
      </c>
    </row>
    <row r="1636" spans="1:21">
      <c r="B1636" s="56" t="s">
        <v>295</v>
      </c>
      <c r="C1636" s="56" t="s">
        <v>7116</v>
      </c>
      <c r="D1636" s="56" t="s">
        <v>388</v>
      </c>
      <c r="F1636" s="56" t="s">
        <v>7117</v>
      </c>
      <c r="G1636" s="56">
        <v>4</v>
      </c>
      <c r="H1636" s="56">
        <v>4</v>
      </c>
      <c r="I1636" s="56">
        <v>1</v>
      </c>
      <c r="K1636" s="56" t="s">
        <v>5593</v>
      </c>
      <c r="L1636" s="56" t="s">
        <v>3358</v>
      </c>
      <c r="O1636">
        <f>_xlfn.XLOOKUP(N1636,'Error-codes'!$C$2:$C$130,'Error-codes'!$B$2:$B$130, "None")</f>
        <v>0</v>
      </c>
      <c r="U1636" s="81">
        <f>DATEVALUE(LEFT(F1636,10))</f>
        <v>45009</v>
      </c>
    </row>
    <row r="1637" spans="1:21">
      <c r="A1637" s="56" t="s">
        <v>7118</v>
      </c>
      <c r="B1637" s="56" t="s">
        <v>295</v>
      </c>
      <c r="C1637" s="56" t="s">
        <v>7119</v>
      </c>
      <c r="D1637" s="56" t="s">
        <v>37</v>
      </c>
      <c r="E1637" s="56" t="s">
        <v>4650</v>
      </c>
      <c r="F1637" s="56" t="s">
        <v>7120</v>
      </c>
      <c r="G1637" s="56">
        <v>153</v>
      </c>
      <c r="H1637" s="56">
        <v>149</v>
      </c>
      <c r="I1637" s="56">
        <v>0.97385620915032678</v>
      </c>
      <c r="J1637" s="56" t="s">
        <v>5598</v>
      </c>
      <c r="K1637" s="56" t="s">
        <v>5593</v>
      </c>
      <c r="L1637" s="56" t="s">
        <v>3358</v>
      </c>
      <c r="M1637" s="56" t="str">
        <f>HYPERLINK("https://dribble.octin.io/?mode=Single+log&amp;log_id=a671bf66-0c66-4d87-8adf-a735c509bcfc","URL")</f>
        <v>URL</v>
      </c>
      <c r="N1637" s="56" t="s">
        <v>3440</v>
      </c>
      <c r="O1637" t="str">
        <f>_xlfn.XLOOKUP(N1637,'Error-codes'!$C$2:$C$130,'Error-codes'!$B$2:$B$130, "None")</f>
        <v>Trajectory generation timeout</v>
      </c>
      <c r="U1637" s="81">
        <f>DATEVALUE(LEFT(F1637,10))</f>
        <v>45009</v>
      </c>
    </row>
    <row r="1638" spans="1:21">
      <c r="A1638" s="56"/>
      <c r="B1638" s="56" t="s">
        <v>295</v>
      </c>
      <c r="C1638" s="56" t="s">
        <v>7121</v>
      </c>
      <c r="D1638" s="56" t="s">
        <v>388</v>
      </c>
      <c r="E1638" s="56" t="s">
        <v>2939</v>
      </c>
      <c r="F1638" s="56" t="s">
        <v>7122</v>
      </c>
      <c r="G1638" s="56">
        <v>223</v>
      </c>
      <c r="H1638" s="56">
        <v>215</v>
      </c>
      <c r="I1638" s="56">
        <v>0.9641255605381166</v>
      </c>
      <c r="J1638" s="56" t="s">
        <v>5782</v>
      </c>
      <c r="K1638" s="56" t="s">
        <v>5612</v>
      </c>
      <c r="L1638" s="56" t="s">
        <v>3325</v>
      </c>
      <c r="N1638" s="56" t="s">
        <v>3446</v>
      </c>
      <c r="O1638" t="str">
        <f>_xlfn.XLOOKUP(N1638,'Error-codes'!$C$2:$C$130,'Error-codes'!$B$2:$B$130, "None")</f>
        <v>end of lane wall sensor error</v>
      </c>
      <c r="U1638" s="81">
        <f>DATEVALUE(LEFT(F1638,10))</f>
        <v>45008</v>
      </c>
    </row>
    <row r="1639" spans="1:21">
      <c r="B1639" s="56" t="s">
        <v>295</v>
      </c>
      <c r="C1639" s="56" t="s">
        <v>7121</v>
      </c>
      <c r="D1639" s="56" t="s">
        <v>388</v>
      </c>
      <c r="F1639" s="56" t="s">
        <v>7122</v>
      </c>
      <c r="G1639" s="56">
        <v>223</v>
      </c>
      <c r="H1639" s="56">
        <v>222</v>
      </c>
      <c r="I1639" s="56">
        <v>0.99551569506726456</v>
      </c>
      <c r="K1639" s="56" t="s">
        <v>5612</v>
      </c>
      <c r="L1639" s="56" t="s">
        <v>3325</v>
      </c>
      <c r="O1639">
        <f>_xlfn.XLOOKUP(N1639,'Error-codes'!$C$2:$C$130,'Error-codes'!$B$2:$B$130, "None")</f>
        <v>0</v>
      </c>
      <c r="U1639" s="81">
        <f>DATEVALUE(LEFT(F1639,10))</f>
        <v>45008</v>
      </c>
    </row>
    <row r="1640" spans="1:21">
      <c r="A1640" s="56"/>
      <c r="B1640" s="56" t="s">
        <v>295</v>
      </c>
      <c r="C1640" s="56" t="s">
        <v>7123</v>
      </c>
      <c r="D1640" s="56" t="s">
        <v>388</v>
      </c>
      <c r="E1640" s="56" t="s">
        <v>2939</v>
      </c>
      <c r="F1640" s="56" t="s">
        <v>7124</v>
      </c>
      <c r="G1640" s="56">
        <v>152</v>
      </c>
      <c r="H1640" s="56">
        <v>40</v>
      </c>
      <c r="I1640" s="56">
        <v>0.26315789473684209</v>
      </c>
      <c r="J1640" s="56" t="s">
        <v>6138</v>
      </c>
      <c r="K1640" s="56" t="s">
        <v>5612</v>
      </c>
      <c r="L1640" s="56" t="s">
        <v>3358</v>
      </c>
      <c r="N1640" s="56" t="s">
        <v>2933</v>
      </c>
      <c r="O1640" t="str">
        <f>_xlfn.XLOOKUP(N1640,'Error-codes'!$C$2:$C$130,'Error-codes'!$B$2:$B$130, "None")</f>
        <v>inductive sensor error</v>
      </c>
      <c r="U1640" s="81">
        <f>DATEVALUE(LEFT(F1640,10))</f>
        <v>45006</v>
      </c>
    </row>
    <row r="1641" spans="1:21">
      <c r="B1641" s="56" t="s">
        <v>295</v>
      </c>
      <c r="C1641" s="56" t="s">
        <v>7123</v>
      </c>
      <c r="D1641" s="56" t="s">
        <v>388</v>
      </c>
      <c r="F1641" s="56" t="s">
        <v>7125</v>
      </c>
      <c r="G1641" s="56">
        <v>152</v>
      </c>
      <c r="H1641" s="56">
        <v>151</v>
      </c>
      <c r="I1641" s="56">
        <v>0.99342105263157898</v>
      </c>
      <c r="K1641" s="56" t="s">
        <v>5612</v>
      </c>
      <c r="L1641" s="56" t="s">
        <v>3358</v>
      </c>
      <c r="O1641">
        <f>_xlfn.XLOOKUP(N1641,'Error-codes'!$C$2:$C$130,'Error-codes'!$B$2:$B$130, "None")</f>
        <v>0</v>
      </c>
      <c r="U1641" s="81">
        <f>DATEVALUE(LEFT(F1641,10))</f>
        <v>45007</v>
      </c>
    </row>
    <row r="1642" spans="1:21">
      <c r="A1642" s="56"/>
      <c r="B1642" s="56" t="s">
        <v>295</v>
      </c>
      <c r="C1642" s="56" t="s">
        <v>7126</v>
      </c>
      <c r="D1642" s="56" t="s">
        <v>37</v>
      </c>
      <c r="E1642" s="56" t="s">
        <v>3253</v>
      </c>
      <c r="F1642" s="56" t="s">
        <v>7127</v>
      </c>
      <c r="G1642" s="56">
        <v>154</v>
      </c>
      <c r="H1642" s="56">
        <v>1</v>
      </c>
      <c r="I1642" s="56">
        <v>6.4935064935064939E-3</v>
      </c>
      <c r="J1642" s="56" t="s">
        <v>7128</v>
      </c>
      <c r="K1642" s="56" t="s">
        <v>5612</v>
      </c>
      <c r="L1642" s="56" t="s">
        <v>3358</v>
      </c>
      <c r="N1642" s="56" t="s">
        <v>3454</v>
      </c>
      <c r="O1642" t="str">
        <f>_xlfn.XLOOKUP(N1642,'Error-codes'!$C$2:$C$130,'Error-codes'!$B$2:$B$130, "None")</f>
        <v>Veh low level FSM: safety was triggered</v>
      </c>
      <c r="U1642" s="81">
        <f>DATEVALUE(LEFT(F1642,10))</f>
        <v>45006</v>
      </c>
    </row>
    <row r="1643" spans="1:21">
      <c r="A1643" s="56" t="s">
        <v>7129</v>
      </c>
      <c r="B1643" s="56" t="s">
        <v>295</v>
      </c>
      <c r="C1643" s="56" t="s">
        <v>7130</v>
      </c>
      <c r="D1643" s="56" t="s">
        <v>37</v>
      </c>
      <c r="E1643" s="56" t="s">
        <v>3253</v>
      </c>
      <c r="F1643" s="56" t="s">
        <v>7131</v>
      </c>
      <c r="G1643" s="56">
        <v>3</v>
      </c>
      <c r="H1643" s="56">
        <v>1</v>
      </c>
      <c r="I1643" s="56">
        <v>0.33333333333333331</v>
      </c>
      <c r="J1643" s="56" t="s">
        <v>5343</v>
      </c>
      <c r="K1643" s="56" t="s">
        <v>5593</v>
      </c>
      <c r="L1643" s="56" t="s">
        <v>3358</v>
      </c>
      <c r="M1643" s="56" t="str">
        <f>HYPERLINK("https://dribble.octin.io/?mode=Single+log&amp;log_id=9b3fe349-f01f-4bed-934e-b47cca68f45a","URL")</f>
        <v>URL</v>
      </c>
      <c r="N1643" s="56" t="s">
        <v>3454</v>
      </c>
      <c r="O1643" t="str">
        <f>_xlfn.XLOOKUP(N1643,'Error-codes'!$C$2:$C$130,'Error-codes'!$B$2:$B$130, "None")</f>
        <v>Veh low level FSM: safety was triggered</v>
      </c>
      <c r="U1643" s="81">
        <f>DATEVALUE(LEFT(F1643,10))</f>
        <v>45006</v>
      </c>
    </row>
    <row r="1644" spans="1:21">
      <c r="A1644" s="56" t="s">
        <v>7132</v>
      </c>
      <c r="B1644" s="56" t="s">
        <v>295</v>
      </c>
      <c r="C1644" s="56" t="s">
        <v>7133</v>
      </c>
      <c r="D1644" s="56" t="s">
        <v>37</v>
      </c>
      <c r="E1644" s="56" t="s">
        <v>2939</v>
      </c>
      <c r="F1644" s="56" t="s">
        <v>7134</v>
      </c>
      <c r="G1644" s="56">
        <v>154</v>
      </c>
      <c r="H1644" s="56">
        <v>151</v>
      </c>
      <c r="I1644" s="56">
        <v>0.98051948051948057</v>
      </c>
      <c r="J1644" s="56" t="s">
        <v>6175</v>
      </c>
      <c r="K1644" s="56" t="s">
        <v>5593</v>
      </c>
      <c r="L1644" s="56" t="s">
        <v>3358</v>
      </c>
      <c r="M1644" s="56" t="str">
        <f>HYPERLINK("https://dribble.octin.io/?mode=Single+log&amp;log_id=f4254f59-cd42-4042-aefe-f6c36737410a","URL")</f>
        <v>URL</v>
      </c>
      <c r="N1644" s="56" t="s">
        <v>2933</v>
      </c>
      <c r="O1644" t="str">
        <f>_xlfn.XLOOKUP(N1644,'Error-codes'!$C$2:$C$130,'Error-codes'!$B$2:$B$130, "None")</f>
        <v>inductive sensor error</v>
      </c>
      <c r="U1644" s="81">
        <f>DATEVALUE(LEFT(F1644,10))</f>
        <v>45006</v>
      </c>
    </row>
    <row r="1645" spans="1:21">
      <c r="A1645" s="56" t="s">
        <v>7135</v>
      </c>
      <c r="B1645" s="56" t="s">
        <v>295</v>
      </c>
      <c r="C1645" s="56" t="s">
        <v>7133</v>
      </c>
      <c r="D1645" s="56" t="s">
        <v>37</v>
      </c>
      <c r="E1645" s="56" t="s">
        <v>3242</v>
      </c>
      <c r="F1645" s="56" t="s">
        <v>7136</v>
      </c>
      <c r="G1645" s="56">
        <v>154</v>
      </c>
      <c r="H1645" s="56">
        <v>152</v>
      </c>
      <c r="I1645" s="56">
        <v>0.98701298701298701</v>
      </c>
      <c r="J1645" s="56" t="s">
        <v>5343</v>
      </c>
      <c r="K1645" s="56" t="s">
        <v>5593</v>
      </c>
      <c r="L1645" s="56" t="s">
        <v>3358</v>
      </c>
      <c r="M1645" s="56" t="str">
        <f>HYPERLINK("https://dribble.octin.io/?mode=Single+log&amp;log_id=3943a546-0f3e-44f2-8e72-55ce335a6b06","URL")</f>
        <v>URL</v>
      </c>
      <c r="N1645" s="56" t="s">
        <v>3454</v>
      </c>
      <c r="O1645" t="str">
        <f>_xlfn.XLOOKUP(N1645,'Error-codes'!$C$2:$C$130,'Error-codes'!$B$2:$B$130, "None")</f>
        <v>Veh low level FSM: safety was triggered</v>
      </c>
      <c r="U1645" s="81">
        <f>DATEVALUE(LEFT(F1645,10))</f>
        <v>45006</v>
      </c>
    </row>
    <row r="1646" spans="1:21">
      <c r="A1646" s="56" t="s">
        <v>7137</v>
      </c>
      <c r="B1646" s="56" t="s">
        <v>29</v>
      </c>
      <c r="C1646" s="56" t="s">
        <v>7138</v>
      </c>
      <c r="D1646" s="56" t="s">
        <v>37</v>
      </c>
      <c r="E1646" s="56" t="s">
        <v>2939</v>
      </c>
      <c r="F1646" s="56" t="s">
        <v>7139</v>
      </c>
      <c r="G1646" s="56">
        <v>214</v>
      </c>
      <c r="H1646" s="56">
        <v>33</v>
      </c>
      <c r="I1646" s="56">
        <v>0.1542056074766355</v>
      </c>
      <c r="J1646" s="56" t="s">
        <v>365</v>
      </c>
      <c r="K1646" s="56" t="s">
        <v>1893</v>
      </c>
      <c r="L1646" s="56" t="s">
        <v>2942</v>
      </c>
      <c r="M1646" s="56" t="str">
        <f>HYPERLINK("https://dribble.octin.io/?mode=Single+log&amp;log_id=aedb8a6c-1ea1-4797-ab2d-dc1821cdd59c","URL")</f>
        <v>URL</v>
      </c>
      <c r="N1646" s="56" t="s">
        <v>2933</v>
      </c>
      <c r="O1646" t="str">
        <f>_xlfn.XLOOKUP(N1646,'Error-codes'!$C$2:$C$130,'Error-codes'!$B$2:$B$130, "None")</f>
        <v>inductive sensor error</v>
      </c>
      <c r="U1646" s="81">
        <f>DATEVALUE(LEFT(F1646,10))</f>
        <v>45005</v>
      </c>
    </row>
    <row r="1647" spans="1:21">
      <c r="A1647" s="56" t="s">
        <v>7140</v>
      </c>
      <c r="B1647" s="56" t="s">
        <v>29</v>
      </c>
      <c r="C1647" s="56" t="s">
        <v>7138</v>
      </c>
      <c r="D1647" s="56" t="s">
        <v>37</v>
      </c>
      <c r="E1647" s="56" t="s">
        <v>7033</v>
      </c>
      <c r="F1647" s="56" t="s">
        <v>7141</v>
      </c>
      <c r="G1647" s="56">
        <v>214</v>
      </c>
      <c r="H1647" s="56">
        <v>51</v>
      </c>
      <c r="I1647" s="56">
        <v>0.23831775700934579</v>
      </c>
      <c r="J1647" s="56" t="s">
        <v>7142</v>
      </c>
      <c r="K1647" s="56" t="s">
        <v>1893</v>
      </c>
      <c r="L1647" s="56" t="s">
        <v>2942</v>
      </c>
      <c r="M1647" s="56" t="str">
        <f>HYPERLINK("https://dribble.octin.io/?mode=Single+log&amp;log_id=0b050996-1627-4ad7-a18f-39353ce81bb6","URL")</f>
        <v>URL</v>
      </c>
      <c r="N1647" s="56" t="s">
        <v>3462</v>
      </c>
      <c r="O1647" t="str">
        <f>_xlfn.XLOOKUP(N1647,'Error-codes'!$C$2:$C$130,'Error-codes'!$B$2:$B$130, "None")</f>
        <v xml:space="preserve">Vehicle HAL: motor drive: ID CONTROL ISSUE	</v>
      </c>
      <c r="U1647" s="81">
        <f>DATEVALUE(LEFT(F1647,10))</f>
        <v>45005</v>
      </c>
    </row>
    <row r="1648" spans="1:21">
      <c r="B1648" s="56" t="s">
        <v>29</v>
      </c>
      <c r="C1648" s="56" t="s">
        <v>7143</v>
      </c>
      <c r="D1648" s="56" t="s">
        <v>388</v>
      </c>
      <c r="F1648" s="56" t="s">
        <v>7144</v>
      </c>
      <c r="G1648" s="56">
        <v>11</v>
      </c>
      <c r="H1648" s="56">
        <v>11</v>
      </c>
      <c r="I1648" s="56">
        <v>1</v>
      </c>
      <c r="K1648" s="56" t="s">
        <v>1893</v>
      </c>
      <c r="L1648" s="56" t="s">
        <v>2942</v>
      </c>
      <c r="O1648">
        <f>_xlfn.XLOOKUP(N1648,'Error-codes'!$C$2:$C$130,'Error-codes'!$B$2:$B$130, "None")</f>
        <v>0</v>
      </c>
      <c r="U1648" s="81">
        <f>DATEVALUE(LEFT(F1648,10))</f>
        <v>45006</v>
      </c>
    </row>
    <row r="1649" spans="1:21">
      <c r="B1649" s="56" t="s">
        <v>29</v>
      </c>
      <c r="C1649" s="56" t="s">
        <v>7143</v>
      </c>
      <c r="D1649" s="56" t="s">
        <v>388</v>
      </c>
      <c r="F1649" s="56" t="s">
        <v>7144</v>
      </c>
      <c r="G1649" s="56">
        <v>11</v>
      </c>
      <c r="H1649" s="56">
        <v>11</v>
      </c>
      <c r="I1649" s="56">
        <v>1</v>
      </c>
      <c r="K1649" s="56" t="s">
        <v>1893</v>
      </c>
      <c r="L1649" s="56" t="s">
        <v>2942</v>
      </c>
      <c r="O1649">
        <f>_xlfn.XLOOKUP(N1649,'Error-codes'!$C$2:$C$130,'Error-codes'!$B$2:$B$130, "None")</f>
        <v>0</v>
      </c>
      <c r="U1649" s="81">
        <f>DATEVALUE(LEFT(F1649,10))</f>
        <v>45006</v>
      </c>
    </row>
    <row r="1650" spans="1:21">
      <c r="A1650" s="56" t="s">
        <v>7145</v>
      </c>
      <c r="B1650" s="56" t="s">
        <v>29</v>
      </c>
      <c r="C1650" s="56" t="s">
        <v>7146</v>
      </c>
      <c r="D1650" s="56" t="s">
        <v>37</v>
      </c>
      <c r="E1650" s="56" t="s">
        <v>2939</v>
      </c>
      <c r="F1650" s="56" t="s">
        <v>7147</v>
      </c>
      <c r="G1650" s="56">
        <v>140</v>
      </c>
      <c r="H1650" s="56">
        <v>0</v>
      </c>
      <c r="I1650" s="56">
        <v>0</v>
      </c>
      <c r="J1650" s="56" t="s">
        <v>398</v>
      </c>
      <c r="K1650" s="56" t="s">
        <v>1873</v>
      </c>
      <c r="L1650" s="56" t="s">
        <v>2942</v>
      </c>
      <c r="M1650" s="56" t="str">
        <f>HYPERLINK("https://dribble.octin.io/?mode=Single+log&amp;log_id=77c4b93b-1c39-4351-a452-a6f070340f7d","URL")</f>
        <v>URL</v>
      </c>
      <c r="N1650" s="56" t="s">
        <v>3476</v>
      </c>
      <c r="O1650" t="str">
        <f>_xlfn.XLOOKUP(N1650,'Error-codes'!$C$2:$C$130,'Error-codes'!$B$2:$B$130, "None")</f>
        <v>failed to switch uv lamp state</v>
      </c>
      <c r="U1650" s="81">
        <f>DATEVALUE(LEFT(F1650,10))</f>
        <v>45006</v>
      </c>
    </row>
    <row r="1651" spans="1:21">
      <c r="A1651" s="56" t="s">
        <v>7148</v>
      </c>
      <c r="B1651" s="56" t="s">
        <v>29</v>
      </c>
      <c r="C1651" s="56" t="s">
        <v>7146</v>
      </c>
      <c r="D1651" s="56" t="s">
        <v>37</v>
      </c>
      <c r="E1651" s="56" t="s">
        <v>3242</v>
      </c>
      <c r="F1651" s="56" t="s">
        <v>7149</v>
      </c>
      <c r="G1651" s="56">
        <v>140</v>
      </c>
      <c r="H1651" s="56">
        <v>1</v>
      </c>
      <c r="I1651" s="56">
        <v>7.1428571428571426E-3</v>
      </c>
      <c r="J1651" s="56" t="s">
        <v>248</v>
      </c>
      <c r="K1651" s="56" t="s">
        <v>1873</v>
      </c>
      <c r="L1651" s="56" t="s">
        <v>2942</v>
      </c>
      <c r="M1651" s="56" t="str">
        <f>HYPERLINK("https://dribble.octin.io/?mode=Single+log&amp;log_id=200ba0f1-0cf8-4370-9a4f-6cdf53abe5cf","URL")</f>
        <v>URL</v>
      </c>
      <c r="N1651" s="56" t="s">
        <v>3442</v>
      </c>
      <c r="O1651" t="str">
        <f>_xlfn.XLOOKUP(N1651,'Error-codes'!$C$2:$C$130,'Error-codes'!$B$2:$B$130, "None")</f>
        <v>vehicle diverged too far from trajectory</v>
      </c>
      <c r="U1651" s="81">
        <f>DATEVALUE(LEFT(F1651,10))</f>
        <v>45006</v>
      </c>
    </row>
    <row r="1652" spans="1:21">
      <c r="A1652" s="56" t="s">
        <v>7150</v>
      </c>
      <c r="B1652" s="56" t="s">
        <v>29</v>
      </c>
      <c r="C1652" s="56" t="s">
        <v>7151</v>
      </c>
      <c r="D1652" s="56" t="s">
        <v>22</v>
      </c>
      <c r="E1652" s="56" t="s">
        <v>2939</v>
      </c>
      <c r="F1652" s="56" t="s">
        <v>7152</v>
      </c>
      <c r="G1652" s="56">
        <v>140</v>
      </c>
      <c r="H1652" s="56">
        <v>0</v>
      </c>
      <c r="I1652" s="56">
        <v>0</v>
      </c>
      <c r="J1652" s="56" t="s">
        <v>398</v>
      </c>
      <c r="K1652" s="56" t="s">
        <v>1873</v>
      </c>
      <c r="L1652" s="56" t="s">
        <v>2942</v>
      </c>
      <c r="M1652" s="56" t="str">
        <f>HYPERLINK("https://dribble.octin.io/?mode=Single+log&amp;log_id=78002411-1e03-4ea1-96fc-1ddfaa0ffc5f","URL")</f>
        <v>URL</v>
      </c>
      <c r="N1652" s="56" t="s">
        <v>3476</v>
      </c>
      <c r="O1652" t="str">
        <f>_xlfn.XLOOKUP(N1652,'Error-codes'!$C$2:$C$130,'Error-codes'!$B$2:$B$130, "None")</f>
        <v>failed to switch uv lamp state</v>
      </c>
      <c r="U1652" s="81">
        <f>DATEVALUE(LEFT(F1652,10))</f>
        <v>45006</v>
      </c>
    </row>
    <row r="1653" spans="1:21">
      <c r="A1653" s="56" t="s">
        <v>7153</v>
      </c>
      <c r="B1653" s="56" t="s">
        <v>29</v>
      </c>
      <c r="C1653" s="56" t="s">
        <v>7154</v>
      </c>
      <c r="D1653" s="56" t="s">
        <v>22</v>
      </c>
      <c r="E1653" s="56" t="s">
        <v>2939</v>
      </c>
      <c r="F1653" s="56" t="s">
        <v>7155</v>
      </c>
      <c r="G1653" s="56">
        <v>140</v>
      </c>
      <c r="H1653" s="56">
        <v>0</v>
      </c>
      <c r="I1653" s="56">
        <v>0</v>
      </c>
      <c r="J1653" s="56" t="s">
        <v>398</v>
      </c>
      <c r="K1653" s="56" t="s">
        <v>1873</v>
      </c>
      <c r="L1653" s="56" t="s">
        <v>2942</v>
      </c>
      <c r="M1653" s="56" t="str">
        <f>HYPERLINK("https://dribble.octin.io/?mode=Single+log&amp;log_id=c8bb5060-6727-4ef5-97fc-c59200cbc0af","URL")</f>
        <v>URL</v>
      </c>
      <c r="N1653" s="56" t="s">
        <v>3476</v>
      </c>
      <c r="O1653" t="str">
        <f>_xlfn.XLOOKUP(N1653,'Error-codes'!$C$2:$C$130,'Error-codes'!$B$2:$B$130, "None")</f>
        <v>failed to switch uv lamp state</v>
      </c>
      <c r="U1653" s="81">
        <f>DATEVALUE(LEFT(F1653,10))</f>
        <v>45006</v>
      </c>
    </row>
    <row r="1654" spans="1:21">
      <c r="A1654" s="56" t="s">
        <v>7156</v>
      </c>
      <c r="B1654" s="56" t="s">
        <v>29</v>
      </c>
      <c r="C1654" s="56" t="s">
        <v>7157</v>
      </c>
      <c r="D1654" s="56" t="s">
        <v>37</v>
      </c>
      <c r="E1654" s="56" t="s">
        <v>2939</v>
      </c>
      <c r="F1654" s="56" t="s">
        <v>7158</v>
      </c>
      <c r="G1654" s="56">
        <v>140</v>
      </c>
      <c r="H1654" s="56">
        <v>0</v>
      </c>
      <c r="I1654" s="56">
        <v>0</v>
      </c>
      <c r="J1654" s="56" t="s">
        <v>3315</v>
      </c>
      <c r="K1654" s="56" t="s">
        <v>1873</v>
      </c>
      <c r="L1654" s="56" t="s">
        <v>2942</v>
      </c>
      <c r="M1654" s="56" t="str">
        <f>HYPERLINK("https://dribble.octin.io/?mode=Single+log&amp;log_id=069271ab-a60a-4725-bc40-b329feffb0a3","URL")</f>
        <v>URL</v>
      </c>
      <c r="N1654" s="56" t="s">
        <v>3476</v>
      </c>
      <c r="O1654" t="str">
        <f>_xlfn.XLOOKUP(N1654,'Error-codes'!$C$2:$C$130,'Error-codes'!$B$2:$B$130, "None")</f>
        <v>failed to switch uv lamp state</v>
      </c>
      <c r="U1654" s="81">
        <f>DATEVALUE(LEFT(F1654,10))</f>
        <v>45006</v>
      </c>
    </row>
    <row r="1655" spans="1:21">
      <c r="A1655" s="56" t="s">
        <v>7159</v>
      </c>
      <c r="B1655" s="56" t="s">
        <v>29</v>
      </c>
      <c r="C1655" s="56" t="s">
        <v>7157</v>
      </c>
      <c r="D1655" s="56" t="s">
        <v>37</v>
      </c>
      <c r="E1655" s="56" t="s">
        <v>3242</v>
      </c>
      <c r="F1655" s="56" t="s">
        <v>7160</v>
      </c>
      <c r="G1655" s="56">
        <v>140</v>
      </c>
      <c r="H1655" s="56">
        <v>1</v>
      </c>
      <c r="I1655" s="56">
        <v>7.1428571428571426E-3</v>
      </c>
      <c r="J1655" s="56" t="s">
        <v>248</v>
      </c>
      <c r="K1655" s="56" t="s">
        <v>1873</v>
      </c>
      <c r="L1655" s="56" t="s">
        <v>2942</v>
      </c>
      <c r="M1655" s="56" t="str">
        <f>HYPERLINK("https://dribble.octin.io/?mode=Single+log&amp;log_id=bc9eb86f-f86f-4a3f-b840-85995fccb8bb","URL")</f>
        <v>URL</v>
      </c>
      <c r="N1655" s="56" t="s">
        <v>3442</v>
      </c>
      <c r="O1655" t="str">
        <f>_xlfn.XLOOKUP(N1655,'Error-codes'!$C$2:$C$130,'Error-codes'!$B$2:$B$130, "None")</f>
        <v>vehicle diverged too far from trajectory</v>
      </c>
      <c r="U1655" s="81">
        <f>DATEVALUE(LEFT(F1655,10))</f>
        <v>45006</v>
      </c>
    </row>
    <row r="1656" spans="1:21">
      <c r="A1656" s="56" t="s">
        <v>7161</v>
      </c>
      <c r="B1656" s="56" t="s">
        <v>29</v>
      </c>
      <c r="C1656" s="56" t="s">
        <v>7162</v>
      </c>
      <c r="D1656" s="56" t="s">
        <v>37</v>
      </c>
      <c r="E1656" s="56" t="s">
        <v>3242</v>
      </c>
      <c r="F1656" s="56" t="s">
        <v>7163</v>
      </c>
      <c r="G1656" s="56">
        <v>2</v>
      </c>
      <c r="H1656" s="56">
        <v>0</v>
      </c>
      <c r="I1656" s="56">
        <v>0</v>
      </c>
      <c r="J1656" s="56" t="s">
        <v>3315</v>
      </c>
      <c r="K1656" s="56" t="s">
        <v>1873</v>
      </c>
      <c r="L1656" s="56" t="s">
        <v>2942</v>
      </c>
      <c r="M1656" s="56" t="str">
        <f>HYPERLINK("https://dribble.octin.io/?mode=Single+log&amp;log_id=7e3caffa-3036-4ade-a3a5-23779adf9198","URL")</f>
        <v>URL</v>
      </c>
      <c r="N1656" s="56" t="s">
        <v>3476</v>
      </c>
      <c r="O1656" t="str">
        <f>_xlfn.XLOOKUP(N1656,'Error-codes'!$C$2:$C$130,'Error-codes'!$B$2:$B$130, "None")</f>
        <v>failed to switch uv lamp state</v>
      </c>
      <c r="U1656" s="81">
        <f>DATEVALUE(LEFT(F1656,10))</f>
        <v>45006</v>
      </c>
    </row>
    <row r="1657" spans="1:21">
      <c r="B1657" s="56" t="s">
        <v>29</v>
      </c>
      <c r="C1657" s="56" t="s">
        <v>7164</v>
      </c>
      <c r="D1657" s="56" t="s">
        <v>388</v>
      </c>
      <c r="F1657" s="56" t="s">
        <v>7165</v>
      </c>
      <c r="G1657" s="56">
        <v>10</v>
      </c>
      <c r="H1657" s="56">
        <v>10</v>
      </c>
      <c r="I1657" s="56">
        <v>1</v>
      </c>
      <c r="K1657" s="56" t="s">
        <v>1873</v>
      </c>
      <c r="L1657" s="56" t="s">
        <v>2942</v>
      </c>
      <c r="O1657">
        <f>_xlfn.XLOOKUP(N1657,'Error-codes'!$C$2:$C$130,'Error-codes'!$B$2:$B$130, "None")</f>
        <v>0</v>
      </c>
      <c r="U1657" s="81">
        <f>DATEVALUE(LEFT(F1657,10))</f>
        <v>45007</v>
      </c>
    </row>
    <row r="1658" spans="1:21">
      <c r="B1658" s="56" t="s">
        <v>29</v>
      </c>
      <c r="C1658" s="56" t="s">
        <v>7164</v>
      </c>
      <c r="D1658" s="56" t="s">
        <v>388</v>
      </c>
      <c r="F1658" s="56" t="s">
        <v>7165</v>
      </c>
      <c r="G1658" s="56">
        <v>10</v>
      </c>
      <c r="H1658" s="56">
        <v>10</v>
      </c>
      <c r="I1658" s="56">
        <v>1</v>
      </c>
      <c r="K1658" s="56" t="s">
        <v>1873</v>
      </c>
      <c r="L1658" s="56" t="s">
        <v>2942</v>
      </c>
      <c r="O1658">
        <f>_xlfn.XLOOKUP(N1658,'Error-codes'!$C$2:$C$130,'Error-codes'!$B$2:$B$130, "None")</f>
        <v>0</v>
      </c>
      <c r="U1658" s="81">
        <f>DATEVALUE(LEFT(F1658,10))</f>
        <v>45007</v>
      </c>
    </row>
    <row r="1659" spans="1:21">
      <c r="A1659" s="56" t="s">
        <v>7166</v>
      </c>
      <c r="B1659" s="56" t="s">
        <v>29</v>
      </c>
      <c r="C1659" s="56" t="s">
        <v>7167</v>
      </c>
      <c r="D1659" s="56" t="s">
        <v>37</v>
      </c>
      <c r="E1659" s="56" t="s">
        <v>2939</v>
      </c>
      <c r="F1659" s="56" t="s">
        <v>7168</v>
      </c>
      <c r="G1659" s="56">
        <v>147</v>
      </c>
      <c r="H1659" s="56">
        <v>2</v>
      </c>
      <c r="I1659" s="56">
        <v>1.3605442176870748E-2</v>
      </c>
      <c r="J1659" s="56" t="s">
        <v>3315</v>
      </c>
      <c r="K1659" s="56" t="s">
        <v>1873</v>
      </c>
      <c r="L1659" s="56" t="s">
        <v>3162</v>
      </c>
      <c r="M1659" s="56" t="str">
        <f>HYPERLINK("https://dribble.octin.io/?mode=Single+log&amp;log_id=f42bd547-559d-438b-8849-5ab5f89f81f9","URL")</f>
        <v>URL</v>
      </c>
      <c r="N1659" s="56" t="s">
        <v>3448</v>
      </c>
      <c r="O1659" t="str">
        <f>_xlfn.XLOOKUP(N1659,'Error-codes'!$C$2:$C$130,'Error-codes'!$B$2:$B$130, "None")</f>
        <v>end of lane open sensor error</v>
      </c>
      <c r="U1659" s="81">
        <f>DATEVALUE(LEFT(F1659,10))</f>
        <v>45007</v>
      </c>
    </row>
    <row r="1660" spans="1:21">
      <c r="A1660" s="56"/>
      <c r="B1660" s="56" t="s">
        <v>29</v>
      </c>
      <c r="C1660" s="56" t="s">
        <v>7167</v>
      </c>
      <c r="D1660" s="56" t="s">
        <v>37</v>
      </c>
      <c r="E1660" s="56" t="s">
        <v>4358</v>
      </c>
      <c r="F1660" s="56" t="s">
        <v>7169</v>
      </c>
      <c r="G1660" s="56">
        <v>147</v>
      </c>
      <c r="H1660" s="56">
        <v>5</v>
      </c>
      <c r="I1660" s="56">
        <v>3.4013605442176874E-2</v>
      </c>
      <c r="J1660" s="56" t="s">
        <v>5017</v>
      </c>
      <c r="K1660" s="56" t="s">
        <v>1873</v>
      </c>
      <c r="L1660" s="56" t="s">
        <v>3162</v>
      </c>
      <c r="N1660" s="56" t="s">
        <v>3458</v>
      </c>
      <c r="O1660" t="str">
        <f>_xlfn.XLOOKUP(N1660,'Error-codes'!$C$2:$C$130,'Error-codes'!$B$2:$B$130, "None")</f>
        <v>motor drive: UNDER VOLTAGE</v>
      </c>
      <c r="U1660" s="81">
        <f>DATEVALUE(LEFT(F1660,10))</f>
        <v>45007</v>
      </c>
    </row>
    <row r="1661" spans="1:21">
      <c r="A1661" s="56"/>
      <c r="B1661" s="56" t="s">
        <v>29</v>
      </c>
      <c r="C1661" s="56" t="s">
        <v>7170</v>
      </c>
      <c r="D1661" s="56"/>
      <c r="E1661" s="56" t="s">
        <v>2939</v>
      </c>
      <c r="F1661" s="56" t="s">
        <v>7171</v>
      </c>
      <c r="G1661" s="56">
        <v>49</v>
      </c>
      <c r="H1661" s="56">
        <v>0</v>
      </c>
      <c r="I1661" s="56">
        <v>0</v>
      </c>
      <c r="J1661" s="56" t="s">
        <v>7172</v>
      </c>
      <c r="K1661" s="56" t="s">
        <v>1873</v>
      </c>
      <c r="L1661" s="56" t="s">
        <v>3162</v>
      </c>
      <c r="N1661" s="56" t="s">
        <v>3448</v>
      </c>
      <c r="O1661" t="str">
        <f>_xlfn.XLOOKUP(N1661,'Error-codes'!$C$2:$C$130,'Error-codes'!$B$2:$B$130, "None")</f>
        <v>end of lane open sensor error</v>
      </c>
      <c r="U1661" s="81">
        <f>DATEVALUE(LEFT(F1661,10))</f>
        <v>45008</v>
      </c>
    </row>
    <row r="1662" spans="1:21">
      <c r="A1662" s="56"/>
      <c r="B1662" s="56" t="s">
        <v>29</v>
      </c>
      <c r="C1662" s="56" t="s">
        <v>7170</v>
      </c>
      <c r="D1662" s="56"/>
      <c r="E1662" s="56" t="s">
        <v>2939</v>
      </c>
      <c r="F1662" s="56" t="s">
        <v>7173</v>
      </c>
      <c r="G1662" s="56">
        <v>49</v>
      </c>
      <c r="H1662" s="56">
        <v>1</v>
      </c>
      <c r="I1662" s="56">
        <v>2.0408163265306121E-2</v>
      </c>
      <c r="J1662" s="56" t="s">
        <v>7174</v>
      </c>
      <c r="K1662" s="56" t="s">
        <v>1873</v>
      </c>
      <c r="L1662" s="56" t="s">
        <v>3162</v>
      </c>
      <c r="N1662" s="56" t="s">
        <v>3448</v>
      </c>
      <c r="O1662" t="str">
        <f>_xlfn.XLOOKUP(N1662,'Error-codes'!$C$2:$C$130,'Error-codes'!$B$2:$B$130, "None")</f>
        <v>end of lane open sensor error</v>
      </c>
      <c r="U1662" s="81">
        <f>DATEVALUE(LEFT(F1662,10))</f>
        <v>45008</v>
      </c>
    </row>
    <row r="1663" spans="1:21">
      <c r="A1663" s="56"/>
      <c r="B1663" s="56" t="s">
        <v>29</v>
      </c>
      <c r="C1663" s="56" t="s">
        <v>7170</v>
      </c>
      <c r="D1663" s="56"/>
      <c r="E1663" s="56" t="s">
        <v>2939</v>
      </c>
      <c r="F1663" s="56" t="s">
        <v>7175</v>
      </c>
      <c r="G1663" s="56">
        <v>49</v>
      </c>
      <c r="H1663" s="56">
        <v>3</v>
      </c>
      <c r="I1663" s="56">
        <v>6.1224489795918366E-2</v>
      </c>
      <c r="J1663" s="56" t="s">
        <v>1622</v>
      </c>
      <c r="K1663" s="56" t="s">
        <v>1873</v>
      </c>
      <c r="L1663" s="56" t="s">
        <v>3162</v>
      </c>
      <c r="N1663" s="56" t="s">
        <v>3448</v>
      </c>
      <c r="O1663" t="str">
        <f>_xlfn.XLOOKUP(N1663,'Error-codes'!$C$2:$C$130,'Error-codes'!$B$2:$B$130, "None")</f>
        <v>end of lane open sensor error</v>
      </c>
      <c r="U1663" s="81">
        <f>DATEVALUE(LEFT(F1663,10))</f>
        <v>45008</v>
      </c>
    </row>
    <row r="1664" spans="1:21">
      <c r="A1664" s="56"/>
      <c r="B1664" s="56" t="s">
        <v>29</v>
      </c>
      <c r="C1664" s="56" t="s">
        <v>7170</v>
      </c>
      <c r="D1664" s="56"/>
      <c r="E1664" s="56" t="s">
        <v>2939</v>
      </c>
      <c r="F1664" s="56" t="s">
        <v>7176</v>
      </c>
      <c r="G1664" s="56">
        <v>49</v>
      </c>
      <c r="H1664" s="56">
        <v>4</v>
      </c>
      <c r="I1664" s="56">
        <v>8.1632653061224483E-2</v>
      </c>
      <c r="J1664" s="56" t="s">
        <v>7177</v>
      </c>
      <c r="K1664" s="56" t="s">
        <v>1873</v>
      </c>
      <c r="L1664" s="56" t="s">
        <v>3162</v>
      </c>
      <c r="N1664" s="56" t="s">
        <v>3448</v>
      </c>
      <c r="O1664" t="str">
        <f>_xlfn.XLOOKUP(N1664,'Error-codes'!$C$2:$C$130,'Error-codes'!$B$2:$B$130, "None")</f>
        <v>end of lane open sensor error</v>
      </c>
      <c r="U1664" s="81">
        <f>DATEVALUE(LEFT(F1664,10))</f>
        <v>45008</v>
      </c>
    </row>
    <row r="1665" spans="1:21">
      <c r="A1665" s="56"/>
      <c r="B1665" s="56" t="s">
        <v>29</v>
      </c>
      <c r="C1665" s="56" t="s">
        <v>7170</v>
      </c>
      <c r="D1665" s="56"/>
      <c r="E1665" s="56" t="s">
        <v>2939</v>
      </c>
      <c r="F1665" s="56" t="s">
        <v>7178</v>
      </c>
      <c r="G1665" s="56">
        <v>49</v>
      </c>
      <c r="H1665" s="56">
        <v>5</v>
      </c>
      <c r="I1665" s="56">
        <v>0.10204081632653061</v>
      </c>
      <c r="J1665" s="56" t="s">
        <v>7179</v>
      </c>
      <c r="K1665" s="56" t="s">
        <v>1873</v>
      </c>
      <c r="L1665" s="56" t="s">
        <v>3162</v>
      </c>
      <c r="N1665" s="56" t="s">
        <v>3448</v>
      </c>
      <c r="O1665" t="str">
        <f>_xlfn.XLOOKUP(N1665,'Error-codes'!$C$2:$C$130,'Error-codes'!$B$2:$B$130, "None")</f>
        <v>end of lane open sensor error</v>
      </c>
      <c r="U1665" s="81">
        <f>DATEVALUE(LEFT(F1665,10))</f>
        <v>45008</v>
      </c>
    </row>
    <row r="1666" spans="1:21">
      <c r="A1666" s="56"/>
      <c r="B1666" s="56" t="s">
        <v>29</v>
      </c>
      <c r="C1666" s="56" t="s">
        <v>7170</v>
      </c>
      <c r="D1666" s="56"/>
      <c r="E1666" s="56" t="s">
        <v>2939</v>
      </c>
      <c r="F1666" s="56" t="s">
        <v>7180</v>
      </c>
      <c r="G1666" s="56">
        <v>49</v>
      </c>
      <c r="H1666" s="56">
        <v>6</v>
      </c>
      <c r="I1666" s="56">
        <v>0.12244897959183673</v>
      </c>
      <c r="J1666" s="56" t="s">
        <v>7181</v>
      </c>
      <c r="K1666" s="56" t="s">
        <v>1873</v>
      </c>
      <c r="L1666" s="56" t="s">
        <v>3162</v>
      </c>
      <c r="N1666" s="56" t="s">
        <v>3448</v>
      </c>
      <c r="O1666" t="str">
        <f>_xlfn.XLOOKUP(N1666,'Error-codes'!$C$2:$C$130,'Error-codes'!$B$2:$B$130, "None")</f>
        <v>end of lane open sensor error</v>
      </c>
      <c r="U1666" s="81">
        <f>DATEVALUE(LEFT(F1666,10))</f>
        <v>45008</v>
      </c>
    </row>
    <row r="1667" spans="1:21">
      <c r="A1667" s="56"/>
      <c r="B1667" s="56" t="s">
        <v>29</v>
      </c>
      <c r="C1667" s="56" t="s">
        <v>7170</v>
      </c>
      <c r="D1667" s="56"/>
      <c r="E1667" s="56" t="s">
        <v>2939</v>
      </c>
      <c r="F1667" s="56" t="s">
        <v>7182</v>
      </c>
      <c r="G1667" s="56">
        <v>49</v>
      </c>
      <c r="H1667" s="56">
        <v>7</v>
      </c>
      <c r="I1667" s="56">
        <v>0.14285714285714285</v>
      </c>
      <c r="J1667" s="56" t="s">
        <v>7183</v>
      </c>
      <c r="K1667" s="56" t="s">
        <v>1873</v>
      </c>
      <c r="L1667" s="56" t="s">
        <v>3162</v>
      </c>
      <c r="N1667" s="56" t="s">
        <v>3448</v>
      </c>
      <c r="O1667" t="str">
        <f>_xlfn.XLOOKUP(N1667,'Error-codes'!$C$2:$C$130,'Error-codes'!$B$2:$B$130, "None")</f>
        <v>end of lane open sensor error</v>
      </c>
      <c r="U1667" s="81">
        <f>DATEVALUE(LEFT(F1667,10))</f>
        <v>45008</v>
      </c>
    </row>
    <row r="1668" spans="1:21">
      <c r="A1668" s="56"/>
      <c r="B1668" s="56" t="s">
        <v>29</v>
      </c>
      <c r="C1668" s="56" t="s">
        <v>7170</v>
      </c>
      <c r="D1668" s="56"/>
      <c r="E1668" s="56" t="s">
        <v>2939</v>
      </c>
      <c r="F1668" s="56" t="s">
        <v>7184</v>
      </c>
      <c r="G1668" s="56">
        <v>49</v>
      </c>
      <c r="H1668" s="56">
        <v>8</v>
      </c>
      <c r="I1668" s="56">
        <v>0.16326530612244897</v>
      </c>
      <c r="J1668" s="56" t="s">
        <v>5183</v>
      </c>
      <c r="K1668" s="56" t="s">
        <v>1873</v>
      </c>
      <c r="L1668" s="56" t="s">
        <v>3162</v>
      </c>
      <c r="N1668" s="56" t="s">
        <v>3448</v>
      </c>
      <c r="O1668" t="str">
        <f>_xlfn.XLOOKUP(N1668,'Error-codes'!$C$2:$C$130,'Error-codes'!$B$2:$B$130, "None")</f>
        <v>end of lane open sensor error</v>
      </c>
      <c r="U1668" s="81">
        <f>DATEVALUE(LEFT(F1668,10))</f>
        <v>45008</v>
      </c>
    </row>
    <row r="1669" spans="1:21">
      <c r="A1669" s="56"/>
      <c r="B1669" s="56" t="s">
        <v>29</v>
      </c>
      <c r="C1669" s="56" t="s">
        <v>7170</v>
      </c>
      <c r="D1669" s="56"/>
      <c r="E1669" s="56" t="s">
        <v>2939</v>
      </c>
      <c r="F1669" s="56" t="s">
        <v>7185</v>
      </c>
      <c r="G1669" s="56">
        <v>49</v>
      </c>
      <c r="H1669" s="56">
        <v>10</v>
      </c>
      <c r="I1669" s="56">
        <v>0.20408163265306123</v>
      </c>
      <c r="J1669" s="56" t="s">
        <v>7186</v>
      </c>
      <c r="K1669" s="56" t="s">
        <v>1873</v>
      </c>
      <c r="L1669" s="56" t="s">
        <v>3162</v>
      </c>
      <c r="N1669" s="56" t="s">
        <v>3448</v>
      </c>
      <c r="O1669" t="str">
        <f>_xlfn.XLOOKUP(N1669,'Error-codes'!$C$2:$C$130,'Error-codes'!$B$2:$B$130, "None")</f>
        <v>end of lane open sensor error</v>
      </c>
      <c r="U1669" s="81">
        <f>DATEVALUE(LEFT(F1669,10))</f>
        <v>45008</v>
      </c>
    </row>
    <row r="1670" spans="1:21">
      <c r="A1670" s="56"/>
      <c r="B1670" s="56" t="s">
        <v>29</v>
      </c>
      <c r="C1670" s="56" t="s">
        <v>7170</v>
      </c>
      <c r="D1670" s="56"/>
      <c r="E1670" s="56" t="s">
        <v>2939</v>
      </c>
      <c r="F1670" s="56" t="s">
        <v>7187</v>
      </c>
      <c r="G1670" s="56">
        <v>49</v>
      </c>
      <c r="H1670" s="56">
        <v>11</v>
      </c>
      <c r="I1670" s="56">
        <v>0.22448979591836735</v>
      </c>
      <c r="J1670" s="56" t="s">
        <v>7188</v>
      </c>
      <c r="K1670" s="56" t="s">
        <v>1873</v>
      </c>
      <c r="L1670" s="56" t="s">
        <v>3162</v>
      </c>
      <c r="N1670" s="56" t="s">
        <v>3448</v>
      </c>
      <c r="O1670" t="str">
        <f>_xlfn.XLOOKUP(N1670,'Error-codes'!$C$2:$C$130,'Error-codes'!$B$2:$B$130, "None")</f>
        <v>end of lane open sensor error</v>
      </c>
      <c r="U1670" s="81">
        <f>DATEVALUE(LEFT(F1670,10))</f>
        <v>45008</v>
      </c>
    </row>
    <row r="1671" spans="1:21">
      <c r="A1671" s="56"/>
      <c r="B1671" s="56" t="s">
        <v>29</v>
      </c>
      <c r="C1671" s="56" t="s">
        <v>7170</v>
      </c>
      <c r="D1671" s="56"/>
      <c r="E1671" s="56" t="s">
        <v>2939</v>
      </c>
      <c r="F1671" s="56" t="s">
        <v>7189</v>
      </c>
      <c r="G1671" s="56">
        <v>49</v>
      </c>
      <c r="H1671" s="56">
        <v>12</v>
      </c>
      <c r="I1671" s="56">
        <v>0.24489795918367346</v>
      </c>
      <c r="J1671" s="56" t="s">
        <v>7190</v>
      </c>
      <c r="K1671" s="56" t="s">
        <v>1873</v>
      </c>
      <c r="L1671" s="56" t="s">
        <v>3162</v>
      </c>
      <c r="N1671" s="56" t="s">
        <v>3448</v>
      </c>
      <c r="O1671" t="str">
        <f>_xlfn.XLOOKUP(N1671,'Error-codes'!$C$2:$C$130,'Error-codes'!$B$2:$B$130, "None")</f>
        <v>end of lane open sensor error</v>
      </c>
      <c r="U1671" s="81">
        <f>DATEVALUE(LEFT(F1671,10))</f>
        <v>45008</v>
      </c>
    </row>
    <row r="1672" spans="1:21">
      <c r="A1672" s="56"/>
      <c r="B1672" s="56" t="s">
        <v>29</v>
      </c>
      <c r="C1672" s="56" t="s">
        <v>7170</v>
      </c>
      <c r="D1672" s="56"/>
      <c r="E1672" s="56" t="s">
        <v>2939</v>
      </c>
      <c r="F1672" s="56" t="s">
        <v>7191</v>
      </c>
      <c r="G1672" s="56">
        <v>49</v>
      </c>
      <c r="H1672" s="56">
        <v>13</v>
      </c>
      <c r="I1672" s="56">
        <v>0.26530612244897961</v>
      </c>
      <c r="J1672" s="56" t="s">
        <v>5089</v>
      </c>
      <c r="K1672" s="56" t="s">
        <v>1873</v>
      </c>
      <c r="L1672" s="56" t="s">
        <v>3162</v>
      </c>
      <c r="N1672" s="56" t="s">
        <v>3448</v>
      </c>
      <c r="O1672" t="str">
        <f>_xlfn.XLOOKUP(N1672,'Error-codes'!$C$2:$C$130,'Error-codes'!$B$2:$B$130, "None")</f>
        <v>end of lane open sensor error</v>
      </c>
      <c r="U1672" s="81">
        <f>DATEVALUE(LEFT(F1672,10))</f>
        <v>45008</v>
      </c>
    </row>
    <row r="1673" spans="1:21">
      <c r="A1673" s="56"/>
      <c r="B1673" s="56" t="s">
        <v>29</v>
      </c>
      <c r="C1673" s="56" t="s">
        <v>7170</v>
      </c>
      <c r="D1673" s="56"/>
      <c r="E1673" s="56" t="s">
        <v>2939</v>
      </c>
      <c r="F1673" s="56" t="s">
        <v>7192</v>
      </c>
      <c r="G1673" s="56">
        <v>49</v>
      </c>
      <c r="H1673" s="56">
        <v>14</v>
      </c>
      <c r="I1673" s="56">
        <v>0.2857142857142857</v>
      </c>
      <c r="J1673" s="56" t="s">
        <v>7193</v>
      </c>
      <c r="K1673" s="56" t="s">
        <v>1873</v>
      </c>
      <c r="L1673" s="56" t="s">
        <v>3162</v>
      </c>
      <c r="N1673" s="56" t="s">
        <v>3448</v>
      </c>
      <c r="O1673" t="str">
        <f>_xlfn.XLOOKUP(N1673,'Error-codes'!$C$2:$C$130,'Error-codes'!$B$2:$B$130, "None")</f>
        <v>end of lane open sensor error</v>
      </c>
      <c r="U1673" s="81">
        <f>DATEVALUE(LEFT(F1673,10))</f>
        <v>45008</v>
      </c>
    </row>
    <row r="1674" spans="1:21">
      <c r="A1674" s="56"/>
      <c r="B1674" s="56" t="s">
        <v>29</v>
      </c>
      <c r="C1674" s="56" t="s">
        <v>7170</v>
      </c>
      <c r="D1674" s="56"/>
      <c r="E1674" s="56" t="s">
        <v>2939</v>
      </c>
      <c r="F1674" s="56" t="s">
        <v>7194</v>
      </c>
      <c r="G1674" s="56">
        <v>49</v>
      </c>
      <c r="H1674" s="56">
        <v>17</v>
      </c>
      <c r="I1674" s="56">
        <v>0.34693877551020408</v>
      </c>
      <c r="J1674" s="56" t="s">
        <v>5021</v>
      </c>
      <c r="K1674" s="56" t="s">
        <v>1873</v>
      </c>
      <c r="L1674" s="56" t="s">
        <v>3162</v>
      </c>
      <c r="N1674" s="56" t="s">
        <v>3448</v>
      </c>
      <c r="O1674" t="str">
        <f>_xlfn.XLOOKUP(N1674,'Error-codes'!$C$2:$C$130,'Error-codes'!$B$2:$B$130, "None")</f>
        <v>end of lane open sensor error</v>
      </c>
      <c r="U1674" s="81">
        <f>DATEVALUE(LEFT(F1674,10))</f>
        <v>45008</v>
      </c>
    </row>
    <row r="1675" spans="1:21">
      <c r="A1675" s="56"/>
      <c r="B1675" s="56" t="s">
        <v>29</v>
      </c>
      <c r="C1675" s="56" t="s">
        <v>7170</v>
      </c>
      <c r="D1675" s="56"/>
      <c r="E1675" s="56" t="s">
        <v>2939</v>
      </c>
      <c r="F1675" s="56" t="s">
        <v>7195</v>
      </c>
      <c r="G1675" s="56">
        <v>49</v>
      </c>
      <c r="H1675" s="56">
        <v>18</v>
      </c>
      <c r="I1675" s="56">
        <v>0.36734693877551022</v>
      </c>
      <c r="J1675" s="56" t="s">
        <v>7196</v>
      </c>
      <c r="K1675" s="56" t="s">
        <v>1873</v>
      </c>
      <c r="L1675" s="56" t="s">
        <v>3162</v>
      </c>
      <c r="N1675" s="56" t="s">
        <v>3448</v>
      </c>
      <c r="O1675" t="str">
        <f>_xlfn.XLOOKUP(N1675,'Error-codes'!$C$2:$C$130,'Error-codes'!$B$2:$B$130, "None")</f>
        <v>end of lane open sensor error</v>
      </c>
      <c r="U1675" s="81">
        <f>DATEVALUE(LEFT(F1675,10))</f>
        <v>45008</v>
      </c>
    </row>
    <row r="1676" spans="1:21">
      <c r="A1676" s="56"/>
      <c r="B1676" s="56" t="s">
        <v>29</v>
      </c>
      <c r="C1676" s="56" t="s">
        <v>7170</v>
      </c>
      <c r="D1676" s="56"/>
      <c r="E1676" s="56" t="s">
        <v>2939</v>
      </c>
      <c r="F1676" s="56" t="s">
        <v>7197</v>
      </c>
      <c r="G1676" s="56">
        <v>49</v>
      </c>
      <c r="H1676" s="56">
        <v>19</v>
      </c>
      <c r="I1676" s="56">
        <v>0.38775510204081631</v>
      </c>
      <c r="J1676" s="56" t="s">
        <v>7198</v>
      </c>
      <c r="K1676" s="56" t="s">
        <v>1873</v>
      </c>
      <c r="L1676" s="56" t="s">
        <v>3162</v>
      </c>
      <c r="N1676" s="56" t="s">
        <v>3448</v>
      </c>
      <c r="O1676" t="str">
        <f>_xlfn.XLOOKUP(N1676,'Error-codes'!$C$2:$C$130,'Error-codes'!$B$2:$B$130, "None")</f>
        <v>end of lane open sensor error</v>
      </c>
      <c r="U1676" s="81">
        <f>DATEVALUE(LEFT(F1676,10))</f>
        <v>45008</v>
      </c>
    </row>
    <row r="1677" spans="1:21">
      <c r="A1677" s="56"/>
      <c r="B1677" s="56" t="s">
        <v>29</v>
      </c>
      <c r="C1677" s="56" t="s">
        <v>7170</v>
      </c>
      <c r="D1677" s="56"/>
      <c r="E1677" s="56" t="s">
        <v>2939</v>
      </c>
      <c r="F1677" s="56" t="s">
        <v>7199</v>
      </c>
      <c r="G1677" s="56">
        <v>49</v>
      </c>
      <c r="H1677" s="56">
        <v>20</v>
      </c>
      <c r="I1677" s="56">
        <v>0.40816326530612246</v>
      </c>
      <c r="J1677" s="56" t="s">
        <v>7200</v>
      </c>
      <c r="K1677" s="56" t="s">
        <v>1873</v>
      </c>
      <c r="L1677" s="56" t="s">
        <v>3162</v>
      </c>
      <c r="N1677" s="56" t="s">
        <v>3448</v>
      </c>
      <c r="O1677" t="str">
        <f>_xlfn.XLOOKUP(N1677,'Error-codes'!$C$2:$C$130,'Error-codes'!$B$2:$B$130, "None")</f>
        <v>end of lane open sensor error</v>
      </c>
      <c r="U1677" s="81">
        <f>DATEVALUE(LEFT(F1677,10))</f>
        <v>45008</v>
      </c>
    </row>
    <row r="1678" spans="1:21">
      <c r="A1678" s="56"/>
      <c r="B1678" s="56" t="s">
        <v>29</v>
      </c>
      <c r="C1678" s="56" t="s">
        <v>7170</v>
      </c>
      <c r="D1678" s="56"/>
      <c r="E1678" s="56" t="s">
        <v>2939</v>
      </c>
      <c r="F1678" s="56" t="s">
        <v>7201</v>
      </c>
      <c r="G1678" s="56">
        <v>49</v>
      </c>
      <c r="H1678" s="56">
        <v>21</v>
      </c>
      <c r="I1678" s="56">
        <v>0.42857142857142855</v>
      </c>
      <c r="J1678" s="56" t="s">
        <v>52</v>
      </c>
      <c r="K1678" s="56" t="s">
        <v>1873</v>
      </c>
      <c r="L1678" s="56" t="s">
        <v>3162</v>
      </c>
      <c r="N1678" s="56" t="s">
        <v>3448</v>
      </c>
      <c r="O1678" t="str">
        <f>_xlfn.XLOOKUP(N1678,'Error-codes'!$C$2:$C$130,'Error-codes'!$B$2:$B$130, "None")</f>
        <v>end of lane open sensor error</v>
      </c>
      <c r="U1678" s="81">
        <f>DATEVALUE(LEFT(F1678,10))</f>
        <v>45008</v>
      </c>
    </row>
    <row r="1679" spans="1:21">
      <c r="A1679" s="56"/>
      <c r="B1679" s="56" t="s">
        <v>29</v>
      </c>
      <c r="C1679" s="56" t="s">
        <v>7170</v>
      </c>
      <c r="D1679" s="56"/>
      <c r="E1679" s="56" t="s">
        <v>2939</v>
      </c>
      <c r="F1679" s="56" t="s">
        <v>7202</v>
      </c>
      <c r="G1679" s="56">
        <v>49</v>
      </c>
      <c r="H1679" s="56">
        <v>22</v>
      </c>
      <c r="I1679" s="56">
        <v>0.44897959183673469</v>
      </c>
      <c r="J1679" s="56" t="s">
        <v>7203</v>
      </c>
      <c r="K1679" s="56" t="s">
        <v>1873</v>
      </c>
      <c r="L1679" s="56" t="s">
        <v>3162</v>
      </c>
      <c r="N1679" s="56" t="s">
        <v>3448</v>
      </c>
      <c r="O1679" t="str">
        <f>_xlfn.XLOOKUP(N1679,'Error-codes'!$C$2:$C$130,'Error-codes'!$B$2:$B$130, "None")</f>
        <v>end of lane open sensor error</v>
      </c>
      <c r="U1679" s="81">
        <f>DATEVALUE(LEFT(F1679,10))</f>
        <v>45008</v>
      </c>
    </row>
    <row r="1680" spans="1:21">
      <c r="A1680" s="56"/>
      <c r="B1680" s="56" t="s">
        <v>29</v>
      </c>
      <c r="C1680" s="56" t="s">
        <v>7170</v>
      </c>
      <c r="D1680" s="56"/>
      <c r="E1680" s="56" t="s">
        <v>2939</v>
      </c>
      <c r="F1680" s="56" t="s">
        <v>7204</v>
      </c>
      <c r="G1680" s="56">
        <v>49</v>
      </c>
      <c r="H1680" s="56">
        <v>24</v>
      </c>
      <c r="I1680" s="56">
        <v>0.48979591836734693</v>
      </c>
      <c r="J1680" s="56" t="s">
        <v>176</v>
      </c>
      <c r="K1680" s="56" t="s">
        <v>1873</v>
      </c>
      <c r="L1680" s="56" t="s">
        <v>3162</v>
      </c>
      <c r="N1680" s="56" t="s">
        <v>3448</v>
      </c>
      <c r="O1680" t="str">
        <f>_xlfn.XLOOKUP(N1680,'Error-codes'!$C$2:$C$130,'Error-codes'!$B$2:$B$130, "None")</f>
        <v>end of lane open sensor error</v>
      </c>
      <c r="U1680" s="81">
        <f>DATEVALUE(LEFT(F1680,10))</f>
        <v>45008</v>
      </c>
    </row>
    <row r="1681" spans="1:21">
      <c r="A1681" s="56"/>
      <c r="B1681" s="56" t="s">
        <v>29</v>
      </c>
      <c r="C1681" s="56" t="s">
        <v>7170</v>
      </c>
      <c r="D1681" s="56"/>
      <c r="E1681" s="56" t="s">
        <v>2939</v>
      </c>
      <c r="F1681" s="56" t="s">
        <v>7205</v>
      </c>
      <c r="G1681" s="56">
        <v>49</v>
      </c>
      <c r="H1681" s="56">
        <v>31</v>
      </c>
      <c r="I1681" s="56">
        <v>0.63265306122448983</v>
      </c>
      <c r="J1681" s="56" t="s">
        <v>5024</v>
      </c>
      <c r="K1681" s="56" t="s">
        <v>1873</v>
      </c>
      <c r="L1681" s="56" t="s">
        <v>3162</v>
      </c>
      <c r="N1681" s="56" t="s">
        <v>3448</v>
      </c>
      <c r="O1681" t="str">
        <f>_xlfn.XLOOKUP(N1681,'Error-codes'!$C$2:$C$130,'Error-codes'!$B$2:$B$130, "None")</f>
        <v>end of lane open sensor error</v>
      </c>
      <c r="U1681" s="81">
        <f>DATEVALUE(LEFT(F1681,10))</f>
        <v>45008</v>
      </c>
    </row>
    <row r="1682" spans="1:21">
      <c r="A1682" s="56"/>
      <c r="B1682" s="56" t="s">
        <v>29</v>
      </c>
      <c r="C1682" s="56" t="s">
        <v>7170</v>
      </c>
      <c r="D1682" s="56"/>
      <c r="E1682" s="56" t="s">
        <v>2939</v>
      </c>
      <c r="F1682" s="56" t="s">
        <v>7206</v>
      </c>
      <c r="G1682" s="56">
        <v>49</v>
      </c>
      <c r="H1682" s="56">
        <v>32</v>
      </c>
      <c r="I1682" s="56">
        <v>0.65306122448979587</v>
      </c>
      <c r="J1682" s="56" t="s">
        <v>7207</v>
      </c>
      <c r="K1682" s="56" t="s">
        <v>1873</v>
      </c>
      <c r="L1682" s="56" t="s">
        <v>3162</v>
      </c>
      <c r="N1682" s="56" t="s">
        <v>3448</v>
      </c>
      <c r="O1682" t="str">
        <f>_xlfn.XLOOKUP(N1682,'Error-codes'!$C$2:$C$130,'Error-codes'!$B$2:$B$130, "None")</f>
        <v>end of lane open sensor error</v>
      </c>
      <c r="U1682" s="81">
        <f>DATEVALUE(LEFT(F1682,10))</f>
        <v>45008</v>
      </c>
    </row>
    <row r="1683" spans="1:21">
      <c r="A1683" s="56"/>
      <c r="B1683" s="56" t="s">
        <v>29</v>
      </c>
      <c r="C1683" s="56" t="s">
        <v>7170</v>
      </c>
      <c r="D1683" s="56"/>
      <c r="E1683" s="56" t="s">
        <v>2939</v>
      </c>
      <c r="F1683" s="56" t="s">
        <v>7208</v>
      </c>
      <c r="G1683" s="56">
        <v>49</v>
      </c>
      <c r="H1683" s="56">
        <v>33</v>
      </c>
      <c r="I1683" s="56">
        <v>0.67346938775510201</v>
      </c>
      <c r="J1683" s="56" t="s">
        <v>7209</v>
      </c>
      <c r="K1683" s="56" t="s">
        <v>1873</v>
      </c>
      <c r="L1683" s="56" t="s">
        <v>3162</v>
      </c>
      <c r="N1683" s="56" t="s">
        <v>3448</v>
      </c>
      <c r="O1683" t="str">
        <f>_xlfn.XLOOKUP(N1683,'Error-codes'!$C$2:$C$130,'Error-codes'!$B$2:$B$130, "None")</f>
        <v>end of lane open sensor error</v>
      </c>
      <c r="U1683" s="81">
        <f>DATEVALUE(LEFT(F1683,10))</f>
        <v>45008</v>
      </c>
    </row>
    <row r="1684" spans="1:21">
      <c r="A1684" s="56"/>
      <c r="B1684" s="56" t="s">
        <v>29</v>
      </c>
      <c r="C1684" s="56" t="s">
        <v>7170</v>
      </c>
      <c r="D1684" s="56"/>
      <c r="E1684" s="56" t="s">
        <v>2939</v>
      </c>
      <c r="F1684" s="56" t="s">
        <v>7210</v>
      </c>
      <c r="G1684" s="56">
        <v>49</v>
      </c>
      <c r="H1684" s="56">
        <v>35</v>
      </c>
      <c r="I1684" s="56">
        <v>0.7142857142857143</v>
      </c>
      <c r="J1684" s="56" t="s">
        <v>5187</v>
      </c>
      <c r="K1684" s="56" t="s">
        <v>1873</v>
      </c>
      <c r="L1684" s="56" t="s">
        <v>3162</v>
      </c>
      <c r="N1684" s="56" t="s">
        <v>3448</v>
      </c>
      <c r="O1684" t="str">
        <f>_xlfn.XLOOKUP(N1684,'Error-codes'!$C$2:$C$130,'Error-codes'!$B$2:$B$130, "None")</f>
        <v>end of lane open sensor error</v>
      </c>
      <c r="U1684" s="81">
        <f>DATEVALUE(LEFT(F1684,10))</f>
        <v>45008</v>
      </c>
    </row>
    <row r="1685" spans="1:21">
      <c r="A1685" s="56"/>
      <c r="B1685" s="56" t="s">
        <v>29</v>
      </c>
      <c r="C1685" s="56" t="s">
        <v>7170</v>
      </c>
      <c r="D1685" s="56"/>
      <c r="E1685" s="56" t="s">
        <v>2939</v>
      </c>
      <c r="F1685" s="56" t="s">
        <v>7211</v>
      </c>
      <c r="G1685" s="56">
        <v>49</v>
      </c>
      <c r="H1685" s="56">
        <v>38</v>
      </c>
      <c r="I1685" s="56">
        <v>0.77551020408163263</v>
      </c>
      <c r="J1685" s="56" t="s">
        <v>5189</v>
      </c>
      <c r="K1685" s="56" t="s">
        <v>1873</v>
      </c>
      <c r="L1685" s="56" t="s">
        <v>3162</v>
      </c>
      <c r="N1685" s="56" t="s">
        <v>3448</v>
      </c>
      <c r="O1685" t="str">
        <f>_xlfn.XLOOKUP(N1685,'Error-codes'!$C$2:$C$130,'Error-codes'!$B$2:$B$130, "None")</f>
        <v>end of lane open sensor error</v>
      </c>
      <c r="U1685" s="81">
        <f>DATEVALUE(LEFT(F1685,10))</f>
        <v>45008</v>
      </c>
    </row>
    <row r="1686" spans="1:21">
      <c r="A1686" s="56"/>
      <c r="B1686" s="56" t="s">
        <v>29</v>
      </c>
      <c r="C1686" s="56" t="s">
        <v>7170</v>
      </c>
      <c r="D1686" s="56"/>
      <c r="E1686" s="56" t="s">
        <v>2939</v>
      </c>
      <c r="F1686" s="56" t="s">
        <v>7212</v>
      </c>
      <c r="G1686" s="56">
        <v>49</v>
      </c>
      <c r="H1686" s="56">
        <v>39</v>
      </c>
      <c r="I1686" s="56">
        <v>0.79591836734693877</v>
      </c>
      <c r="J1686" s="56" t="s">
        <v>7213</v>
      </c>
      <c r="K1686" s="56" t="s">
        <v>1873</v>
      </c>
      <c r="L1686" s="56" t="s">
        <v>3162</v>
      </c>
      <c r="N1686" s="56" t="s">
        <v>3448</v>
      </c>
      <c r="O1686" t="str">
        <f>_xlfn.XLOOKUP(N1686,'Error-codes'!$C$2:$C$130,'Error-codes'!$B$2:$B$130, "None")</f>
        <v>end of lane open sensor error</v>
      </c>
      <c r="U1686" s="81">
        <f>DATEVALUE(LEFT(F1686,10))</f>
        <v>45008</v>
      </c>
    </row>
    <row r="1687" spans="1:21">
      <c r="A1687" s="56"/>
      <c r="B1687" s="56" t="s">
        <v>29</v>
      </c>
      <c r="C1687" s="56" t="s">
        <v>7170</v>
      </c>
      <c r="D1687" s="56"/>
      <c r="E1687" s="56" t="s">
        <v>2939</v>
      </c>
      <c r="F1687" s="56" t="s">
        <v>7214</v>
      </c>
      <c r="G1687" s="56">
        <v>49</v>
      </c>
      <c r="H1687" s="56">
        <v>40</v>
      </c>
      <c r="I1687" s="56">
        <v>0.81632653061224492</v>
      </c>
      <c r="J1687" s="56" t="s">
        <v>196</v>
      </c>
      <c r="K1687" s="56" t="s">
        <v>1873</v>
      </c>
      <c r="L1687" s="56" t="s">
        <v>3162</v>
      </c>
      <c r="N1687" s="56" t="s">
        <v>3448</v>
      </c>
      <c r="O1687" t="str">
        <f>_xlfn.XLOOKUP(N1687,'Error-codes'!$C$2:$C$130,'Error-codes'!$B$2:$B$130, "None")</f>
        <v>end of lane open sensor error</v>
      </c>
      <c r="U1687" s="81">
        <f>DATEVALUE(LEFT(F1687,10))</f>
        <v>45008</v>
      </c>
    </row>
    <row r="1688" spans="1:21">
      <c r="A1688" s="56"/>
      <c r="B1688" s="56" t="s">
        <v>29</v>
      </c>
      <c r="C1688" s="56" t="s">
        <v>7170</v>
      </c>
      <c r="D1688" s="56"/>
      <c r="E1688" s="56" t="s">
        <v>2939</v>
      </c>
      <c r="F1688" s="56" t="s">
        <v>7215</v>
      </c>
      <c r="G1688" s="56">
        <v>49</v>
      </c>
      <c r="H1688" s="56">
        <v>42</v>
      </c>
      <c r="I1688" s="56">
        <v>0.8571428571428571</v>
      </c>
      <c r="J1688" s="56" t="s">
        <v>7216</v>
      </c>
      <c r="K1688" s="56" t="s">
        <v>1873</v>
      </c>
      <c r="L1688" s="56" t="s">
        <v>3162</v>
      </c>
      <c r="N1688" s="56" t="s">
        <v>3448</v>
      </c>
      <c r="O1688" t="str">
        <f>_xlfn.XLOOKUP(N1688,'Error-codes'!$C$2:$C$130,'Error-codes'!$B$2:$B$130, "None")</f>
        <v>end of lane open sensor error</v>
      </c>
      <c r="U1688" s="81">
        <f>DATEVALUE(LEFT(F1688,10))</f>
        <v>45008</v>
      </c>
    </row>
    <row r="1689" spans="1:21">
      <c r="A1689" s="56"/>
      <c r="B1689" s="56" t="s">
        <v>29</v>
      </c>
      <c r="C1689" s="56" t="s">
        <v>7170</v>
      </c>
      <c r="D1689" s="56"/>
      <c r="E1689" s="56" t="s">
        <v>2939</v>
      </c>
      <c r="F1689" s="56" t="s">
        <v>7217</v>
      </c>
      <c r="G1689" s="56">
        <v>49</v>
      </c>
      <c r="H1689" s="56">
        <v>43</v>
      </c>
      <c r="I1689" s="56">
        <v>0.87755102040816324</v>
      </c>
      <c r="J1689" s="56" t="s">
        <v>7218</v>
      </c>
      <c r="K1689" s="56" t="s">
        <v>1873</v>
      </c>
      <c r="L1689" s="56" t="s">
        <v>3162</v>
      </c>
      <c r="N1689" s="56" t="s">
        <v>3448</v>
      </c>
      <c r="O1689" t="str">
        <f>_xlfn.XLOOKUP(N1689,'Error-codes'!$C$2:$C$130,'Error-codes'!$B$2:$B$130, "None")</f>
        <v>end of lane open sensor error</v>
      </c>
      <c r="U1689" s="81">
        <f>DATEVALUE(LEFT(F1689,10))</f>
        <v>45008</v>
      </c>
    </row>
    <row r="1690" spans="1:21">
      <c r="A1690" s="56"/>
      <c r="B1690" s="56" t="s">
        <v>29</v>
      </c>
      <c r="C1690" s="56" t="s">
        <v>7170</v>
      </c>
      <c r="D1690" s="56"/>
      <c r="E1690" s="56" t="s">
        <v>2939</v>
      </c>
      <c r="F1690" s="56" t="s">
        <v>7219</v>
      </c>
      <c r="G1690" s="56">
        <v>49</v>
      </c>
      <c r="H1690" s="56">
        <v>45</v>
      </c>
      <c r="I1690" s="56">
        <v>0.91836734693877553</v>
      </c>
      <c r="J1690" s="56" t="s">
        <v>5108</v>
      </c>
      <c r="K1690" s="56" t="s">
        <v>1873</v>
      </c>
      <c r="L1690" s="56" t="s">
        <v>3162</v>
      </c>
      <c r="N1690" s="56" t="s">
        <v>3448</v>
      </c>
      <c r="O1690" t="str">
        <f>_xlfn.XLOOKUP(N1690,'Error-codes'!$C$2:$C$130,'Error-codes'!$B$2:$B$130, "None")</f>
        <v>end of lane open sensor error</v>
      </c>
      <c r="U1690" s="81">
        <f>DATEVALUE(LEFT(F1690,10))</f>
        <v>45008</v>
      </c>
    </row>
    <row r="1691" spans="1:21">
      <c r="A1691" s="56"/>
      <c r="B1691" s="56" t="s">
        <v>29</v>
      </c>
      <c r="C1691" s="56" t="s">
        <v>7170</v>
      </c>
      <c r="D1691" s="56"/>
      <c r="E1691" s="56" t="s">
        <v>2939</v>
      </c>
      <c r="F1691" s="56" t="s">
        <v>7220</v>
      </c>
      <c r="G1691" s="56">
        <v>49</v>
      </c>
      <c r="H1691" s="56">
        <v>46</v>
      </c>
      <c r="I1691" s="56">
        <v>0.93877551020408168</v>
      </c>
      <c r="J1691" s="56" t="s">
        <v>3315</v>
      </c>
      <c r="K1691" s="56" t="s">
        <v>1873</v>
      </c>
      <c r="L1691" s="56" t="s">
        <v>3162</v>
      </c>
      <c r="N1691" s="56" t="s">
        <v>3448</v>
      </c>
      <c r="O1691" t="str">
        <f>_xlfn.XLOOKUP(N1691,'Error-codes'!$C$2:$C$130,'Error-codes'!$B$2:$B$130, "None")</f>
        <v>end of lane open sensor error</v>
      </c>
      <c r="U1691" s="81">
        <f>DATEVALUE(LEFT(F1691,10))</f>
        <v>45008</v>
      </c>
    </row>
    <row r="1692" spans="1:21">
      <c r="A1692" s="56"/>
      <c r="B1692" s="56" t="s">
        <v>29</v>
      </c>
      <c r="C1692" s="56" t="s">
        <v>7170</v>
      </c>
      <c r="D1692" s="56"/>
      <c r="E1692" s="56"/>
      <c r="F1692" s="56" t="s">
        <v>7221</v>
      </c>
      <c r="G1692" s="56">
        <v>49</v>
      </c>
      <c r="H1692" s="56">
        <v>47</v>
      </c>
      <c r="I1692" s="56">
        <v>0.95918367346938771</v>
      </c>
      <c r="J1692" s="56" t="s">
        <v>7222</v>
      </c>
      <c r="K1692" s="56" t="s">
        <v>1873</v>
      </c>
      <c r="L1692" s="56" t="s">
        <v>3162</v>
      </c>
      <c r="N1692" s="56" t="s">
        <v>3448</v>
      </c>
      <c r="O1692" t="str">
        <f>_xlfn.XLOOKUP(N1692,'Error-codes'!$C$2:$C$130,'Error-codes'!$B$2:$B$130, "None")</f>
        <v>end of lane open sensor error</v>
      </c>
      <c r="U1692" s="81">
        <f>DATEVALUE(LEFT(F1692,10))</f>
        <v>45008</v>
      </c>
    </row>
    <row r="1693" spans="1:21">
      <c r="A1693" s="56"/>
      <c r="B1693" s="56" t="s">
        <v>29</v>
      </c>
      <c r="C1693" s="56" t="s">
        <v>7223</v>
      </c>
      <c r="D1693" s="56" t="s">
        <v>388</v>
      </c>
      <c r="E1693" s="56" t="s">
        <v>2939</v>
      </c>
      <c r="F1693" s="56" t="s">
        <v>7224</v>
      </c>
      <c r="G1693" s="56">
        <v>147</v>
      </c>
      <c r="H1693" s="56">
        <v>4</v>
      </c>
      <c r="I1693" s="56">
        <v>2.7210884353741496E-2</v>
      </c>
      <c r="J1693" s="56" t="s">
        <v>7225</v>
      </c>
      <c r="K1693" s="56" t="s">
        <v>1893</v>
      </c>
      <c r="L1693" s="56" t="s">
        <v>3162</v>
      </c>
      <c r="N1693" s="56" t="s">
        <v>3448</v>
      </c>
      <c r="O1693" t="str">
        <f>_xlfn.XLOOKUP(N1693,'Error-codes'!$C$2:$C$130,'Error-codes'!$B$2:$B$130, "None")</f>
        <v>end of lane open sensor error</v>
      </c>
      <c r="U1693" s="81">
        <f>DATEVALUE(LEFT(F1693,10))</f>
        <v>45008</v>
      </c>
    </row>
    <row r="1694" spans="1:21">
      <c r="A1694" s="56"/>
      <c r="B1694" s="56" t="s">
        <v>29</v>
      </c>
      <c r="C1694" s="56" t="s">
        <v>7223</v>
      </c>
      <c r="D1694" s="56" t="s">
        <v>388</v>
      </c>
      <c r="E1694" s="56" t="s">
        <v>2939</v>
      </c>
      <c r="F1694" s="56" t="s">
        <v>7226</v>
      </c>
      <c r="G1694" s="56">
        <v>147</v>
      </c>
      <c r="H1694" s="56">
        <v>16</v>
      </c>
      <c r="I1694" s="56">
        <v>0.10884353741496598</v>
      </c>
      <c r="J1694" s="56" t="s">
        <v>1540</v>
      </c>
      <c r="K1694" s="56" t="s">
        <v>1893</v>
      </c>
      <c r="L1694" s="56" t="s">
        <v>3162</v>
      </c>
      <c r="N1694" s="56" t="s">
        <v>3448</v>
      </c>
      <c r="O1694" t="str">
        <f>_xlfn.XLOOKUP(N1694,'Error-codes'!$C$2:$C$130,'Error-codes'!$B$2:$B$130, "None")</f>
        <v>end of lane open sensor error</v>
      </c>
      <c r="U1694" s="81">
        <f>DATEVALUE(LEFT(F1694,10))</f>
        <v>45008</v>
      </c>
    </row>
    <row r="1695" spans="1:21">
      <c r="A1695" s="56"/>
      <c r="B1695" s="56" t="s">
        <v>29</v>
      </c>
      <c r="C1695" s="56" t="s">
        <v>7223</v>
      </c>
      <c r="D1695" s="56" t="s">
        <v>388</v>
      </c>
      <c r="E1695" s="56" t="s">
        <v>2939</v>
      </c>
      <c r="F1695" s="56" t="s">
        <v>7227</v>
      </c>
      <c r="G1695" s="56">
        <v>147</v>
      </c>
      <c r="H1695" s="56">
        <v>18</v>
      </c>
      <c r="I1695" s="56">
        <v>0.12244897959183673</v>
      </c>
      <c r="J1695" s="56" t="s">
        <v>122</v>
      </c>
      <c r="K1695" s="56" t="s">
        <v>1893</v>
      </c>
      <c r="L1695" s="56" t="s">
        <v>3162</v>
      </c>
      <c r="N1695" s="56" t="s">
        <v>3448</v>
      </c>
      <c r="O1695" t="str">
        <f>_xlfn.XLOOKUP(N1695,'Error-codes'!$C$2:$C$130,'Error-codes'!$B$2:$B$130, "None")</f>
        <v>end of lane open sensor error</v>
      </c>
      <c r="U1695" s="81">
        <f>DATEVALUE(LEFT(F1695,10))</f>
        <v>45008</v>
      </c>
    </row>
    <row r="1696" spans="1:21">
      <c r="A1696" s="56"/>
      <c r="B1696" s="56" t="s">
        <v>29</v>
      </c>
      <c r="C1696" s="56" t="s">
        <v>7223</v>
      </c>
      <c r="D1696" s="56" t="s">
        <v>388</v>
      </c>
      <c r="E1696" s="56" t="s">
        <v>2939</v>
      </c>
      <c r="F1696" s="56" t="s">
        <v>7228</v>
      </c>
      <c r="G1696" s="56">
        <v>147</v>
      </c>
      <c r="H1696" s="56">
        <v>20</v>
      </c>
      <c r="I1696" s="56">
        <v>0.1360544217687075</v>
      </c>
      <c r="J1696" s="56" t="s">
        <v>7229</v>
      </c>
      <c r="K1696" s="56" t="s">
        <v>1893</v>
      </c>
      <c r="L1696" s="56" t="s">
        <v>3162</v>
      </c>
      <c r="N1696" s="56" t="s">
        <v>3448</v>
      </c>
      <c r="O1696" t="str">
        <f>_xlfn.XLOOKUP(N1696,'Error-codes'!$C$2:$C$130,'Error-codes'!$B$2:$B$130, "None")</f>
        <v>end of lane open sensor error</v>
      </c>
      <c r="U1696" s="81">
        <f>DATEVALUE(LEFT(F1696,10))</f>
        <v>45008</v>
      </c>
    </row>
    <row r="1697" spans="1:21">
      <c r="A1697" s="56"/>
      <c r="B1697" s="56" t="s">
        <v>29</v>
      </c>
      <c r="C1697" s="56" t="s">
        <v>7223</v>
      </c>
      <c r="D1697" s="56" t="s">
        <v>388</v>
      </c>
      <c r="E1697" s="56" t="s">
        <v>2939</v>
      </c>
      <c r="F1697" s="56" t="s">
        <v>7230</v>
      </c>
      <c r="G1697" s="56">
        <v>147</v>
      </c>
      <c r="H1697" s="56">
        <v>21</v>
      </c>
      <c r="I1697" s="56">
        <v>0.14285714285714285</v>
      </c>
      <c r="J1697" s="56" t="s">
        <v>7231</v>
      </c>
      <c r="K1697" s="56" t="s">
        <v>1893</v>
      </c>
      <c r="L1697" s="56" t="s">
        <v>3162</v>
      </c>
      <c r="N1697" s="56" t="s">
        <v>3448</v>
      </c>
      <c r="O1697" t="str">
        <f>_xlfn.XLOOKUP(N1697,'Error-codes'!$C$2:$C$130,'Error-codes'!$B$2:$B$130, "None")</f>
        <v>end of lane open sensor error</v>
      </c>
      <c r="U1697" s="81">
        <f>DATEVALUE(LEFT(F1697,10))</f>
        <v>45008</v>
      </c>
    </row>
    <row r="1698" spans="1:21">
      <c r="A1698" s="56"/>
      <c r="B1698" s="56" t="s">
        <v>29</v>
      </c>
      <c r="C1698" s="56" t="s">
        <v>7223</v>
      </c>
      <c r="D1698" s="56" t="s">
        <v>388</v>
      </c>
      <c r="E1698" s="56" t="s">
        <v>2939</v>
      </c>
      <c r="F1698" s="56" t="s">
        <v>7232</v>
      </c>
      <c r="G1698" s="56">
        <v>147</v>
      </c>
      <c r="H1698" s="56">
        <v>23</v>
      </c>
      <c r="I1698" s="56">
        <v>0.15646258503401361</v>
      </c>
      <c r="J1698" s="56" t="s">
        <v>5053</v>
      </c>
      <c r="K1698" s="56" t="s">
        <v>1893</v>
      </c>
      <c r="L1698" s="56" t="s">
        <v>3162</v>
      </c>
      <c r="N1698" s="56" t="s">
        <v>3448</v>
      </c>
      <c r="O1698" t="str">
        <f>_xlfn.XLOOKUP(N1698,'Error-codes'!$C$2:$C$130,'Error-codes'!$B$2:$B$130, "None")</f>
        <v>end of lane open sensor error</v>
      </c>
      <c r="U1698" s="81">
        <f>DATEVALUE(LEFT(F1698,10))</f>
        <v>45008</v>
      </c>
    </row>
    <row r="1699" spans="1:21">
      <c r="A1699" s="56"/>
      <c r="B1699" s="56" t="s">
        <v>29</v>
      </c>
      <c r="C1699" s="56" t="s">
        <v>7223</v>
      </c>
      <c r="D1699" s="56" t="s">
        <v>388</v>
      </c>
      <c r="E1699" s="56" t="s">
        <v>2939</v>
      </c>
      <c r="F1699" s="56" t="s">
        <v>7233</v>
      </c>
      <c r="G1699" s="56">
        <v>147</v>
      </c>
      <c r="H1699" s="56">
        <v>24</v>
      </c>
      <c r="I1699" s="56">
        <v>0.16326530612244897</v>
      </c>
      <c r="J1699" s="56" t="s">
        <v>7234</v>
      </c>
      <c r="K1699" s="56" t="s">
        <v>1893</v>
      </c>
      <c r="L1699" s="56" t="s">
        <v>3162</v>
      </c>
      <c r="N1699" s="56" t="s">
        <v>3448</v>
      </c>
      <c r="O1699" t="str">
        <f>_xlfn.XLOOKUP(N1699,'Error-codes'!$C$2:$C$130,'Error-codes'!$B$2:$B$130, "None")</f>
        <v>end of lane open sensor error</v>
      </c>
      <c r="U1699" s="81">
        <f>DATEVALUE(LEFT(F1699,10))</f>
        <v>45008</v>
      </c>
    </row>
    <row r="1700" spans="1:21">
      <c r="A1700" s="56"/>
      <c r="B1700" s="56" t="s">
        <v>29</v>
      </c>
      <c r="C1700" s="56" t="s">
        <v>7223</v>
      </c>
      <c r="D1700" s="56" t="s">
        <v>388</v>
      </c>
      <c r="E1700" s="56" t="s">
        <v>2939</v>
      </c>
      <c r="F1700" s="56" t="s">
        <v>7235</v>
      </c>
      <c r="G1700" s="56">
        <v>147</v>
      </c>
      <c r="H1700" s="56">
        <v>25</v>
      </c>
      <c r="I1700" s="56">
        <v>0.17006802721088435</v>
      </c>
      <c r="J1700" s="56" t="s">
        <v>7236</v>
      </c>
      <c r="K1700" s="56" t="s">
        <v>1893</v>
      </c>
      <c r="L1700" s="56" t="s">
        <v>3162</v>
      </c>
      <c r="N1700" s="56" t="s">
        <v>3448</v>
      </c>
      <c r="O1700" t="str">
        <f>_xlfn.XLOOKUP(N1700,'Error-codes'!$C$2:$C$130,'Error-codes'!$B$2:$B$130, "None")</f>
        <v>end of lane open sensor error</v>
      </c>
      <c r="U1700" s="81">
        <f>DATEVALUE(LEFT(F1700,10))</f>
        <v>45008</v>
      </c>
    </row>
    <row r="1701" spans="1:21">
      <c r="A1701" s="56"/>
      <c r="B1701" s="56" t="s">
        <v>29</v>
      </c>
      <c r="C1701" s="56" t="s">
        <v>7223</v>
      </c>
      <c r="D1701" s="56" t="s">
        <v>388</v>
      </c>
      <c r="E1701" s="56" t="s">
        <v>2939</v>
      </c>
      <c r="F1701" s="56" t="s">
        <v>7237</v>
      </c>
      <c r="G1701" s="56">
        <v>147</v>
      </c>
      <c r="H1701" s="56">
        <v>26</v>
      </c>
      <c r="I1701" s="56">
        <v>0.17687074829931973</v>
      </c>
      <c r="J1701" s="56" t="s">
        <v>7238</v>
      </c>
      <c r="K1701" s="56" t="s">
        <v>1893</v>
      </c>
      <c r="L1701" s="56" t="s">
        <v>3162</v>
      </c>
      <c r="N1701" s="56" t="s">
        <v>3448</v>
      </c>
      <c r="O1701" t="str">
        <f>_xlfn.XLOOKUP(N1701,'Error-codes'!$C$2:$C$130,'Error-codes'!$B$2:$B$130, "None")</f>
        <v>end of lane open sensor error</v>
      </c>
      <c r="U1701" s="81">
        <f>DATEVALUE(LEFT(F1701,10))</f>
        <v>45008</v>
      </c>
    </row>
    <row r="1702" spans="1:21">
      <c r="A1702" s="56"/>
      <c r="B1702" s="56" t="s">
        <v>29</v>
      </c>
      <c r="C1702" s="56" t="s">
        <v>7223</v>
      </c>
      <c r="D1702" s="56" t="s">
        <v>388</v>
      </c>
      <c r="E1702" s="56" t="s">
        <v>2939</v>
      </c>
      <c r="F1702" s="56" t="s">
        <v>7239</v>
      </c>
      <c r="G1702" s="56">
        <v>147</v>
      </c>
      <c r="H1702" s="56">
        <v>27</v>
      </c>
      <c r="I1702" s="56">
        <v>0.18367346938775511</v>
      </c>
      <c r="J1702" s="56" t="s">
        <v>7240</v>
      </c>
      <c r="K1702" s="56" t="s">
        <v>1893</v>
      </c>
      <c r="L1702" s="56" t="s">
        <v>3162</v>
      </c>
      <c r="N1702" s="56" t="s">
        <v>3426</v>
      </c>
      <c r="O1702" t="str">
        <f>_xlfn.XLOOKUP(N1702,'Error-codes'!$C$2:$C$130,'Error-codes'!$B$2:$B$130, "None")</f>
        <v>low level fsm is no longer executing the given command</v>
      </c>
      <c r="U1702" s="81">
        <f>DATEVALUE(LEFT(F1702,10))</f>
        <v>45008</v>
      </c>
    </row>
    <row r="1703" spans="1:21">
      <c r="A1703" s="56"/>
      <c r="B1703" s="56" t="s">
        <v>29</v>
      </c>
      <c r="C1703" s="56" t="s">
        <v>7223</v>
      </c>
      <c r="D1703" s="56" t="s">
        <v>388</v>
      </c>
      <c r="E1703" s="56" t="s">
        <v>2939</v>
      </c>
      <c r="F1703" s="56" t="s">
        <v>7241</v>
      </c>
      <c r="G1703" s="56">
        <v>147</v>
      </c>
      <c r="H1703" s="56">
        <v>28</v>
      </c>
      <c r="I1703" s="56">
        <v>0.19047619047619047</v>
      </c>
      <c r="J1703" s="56" t="s">
        <v>7242</v>
      </c>
      <c r="K1703" s="56" t="s">
        <v>1893</v>
      </c>
      <c r="L1703" s="56" t="s">
        <v>3162</v>
      </c>
      <c r="N1703" s="56" t="s">
        <v>3448</v>
      </c>
      <c r="O1703" t="str">
        <f>_xlfn.XLOOKUP(N1703,'Error-codes'!$C$2:$C$130,'Error-codes'!$B$2:$B$130, "None")</f>
        <v>end of lane open sensor error</v>
      </c>
      <c r="U1703" s="81">
        <f>DATEVALUE(LEFT(F1703,10))</f>
        <v>45008</v>
      </c>
    </row>
    <row r="1704" spans="1:21">
      <c r="A1704" s="56"/>
      <c r="B1704" s="56" t="s">
        <v>29</v>
      </c>
      <c r="C1704" s="56" t="s">
        <v>7223</v>
      </c>
      <c r="D1704" s="56" t="s">
        <v>388</v>
      </c>
      <c r="E1704" s="56" t="s">
        <v>2939</v>
      </c>
      <c r="F1704" s="56" t="s">
        <v>7243</v>
      </c>
      <c r="G1704" s="56">
        <v>147</v>
      </c>
      <c r="H1704" s="56">
        <v>30</v>
      </c>
      <c r="I1704" s="56">
        <v>0.20408163265306123</v>
      </c>
      <c r="J1704" s="56" t="s">
        <v>7244</v>
      </c>
      <c r="K1704" s="56" t="s">
        <v>1893</v>
      </c>
      <c r="L1704" s="56" t="s">
        <v>3162</v>
      </c>
      <c r="N1704" s="56" t="s">
        <v>3448</v>
      </c>
      <c r="O1704" t="str">
        <f>_xlfn.XLOOKUP(N1704,'Error-codes'!$C$2:$C$130,'Error-codes'!$B$2:$B$130, "None")</f>
        <v>end of lane open sensor error</v>
      </c>
      <c r="U1704" s="81">
        <f>DATEVALUE(LEFT(F1704,10))</f>
        <v>45008</v>
      </c>
    </row>
    <row r="1705" spans="1:21">
      <c r="A1705" s="56"/>
      <c r="B1705" s="56" t="s">
        <v>29</v>
      </c>
      <c r="C1705" s="56" t="s">
        <v>7223</v>
      </c>
      <c r="D1705" s="56" t="s">
        <v>388</v>
      </c>
      <c r="E1705" s="56" t="s">
        <v>2939</v>
      </c>
      <c r="F1705" s="56" t="s">
        <v>7245</v>
      </c>
      <c r="G1705" s="56">
        <v>147</v>
      </c>
      <c r="H1705" s="56">
        <v>31</v>
      </c>
      <c r="I1705" s="56">
        <v>0.21088435374149661</v>
      </c>
      <c r="J1705" s="56" t="s">
        <v>7246</v>
      </c>
      <c r="K1705" s="56" t="s">
        <v>1893</v>
      </c>
      <c r="L1705" s="56" t="s">
        <v>3162</v>
      </c>
      <c r="N1705" s="56" t="s">
        <v>3448</v>
      </c>
      <c r="O1705" t="str">
        <f>_xlfn.XLOOKUP(N1705,'Error-codes'!$C$2:$C$130,'Error-codes'!$B$2:$B$130, "None")</f>
        <v>end of lane open sensor error</v>
      </c>
      <c r="U1705" s="81">
        <f>DATEVALUE(LEFT(F1705,10))</f>
        <v>45008</v>
      </c>
    </row>
    <row r="1706" spans="1:21">
      <c r="A1706" s="56"/>
      <c r="B1706" s="56" t="s">
        <v>29</v>
      </c>
      <c r="C1706" s="56" t="s">
        <v>7223</v>
      </c>
      <c r="D1706" s="56" t="s">
        <v>388</v>
      </c>
      <c r="E1706" s="56" t="s">
        <v>2939</v>
      </c>
      <c r="F1706" s="56" t="s">
        <v>7247</v>
      </c>
      <c r="G1706" s="56">
        <v>147</v>
      </c>
      <c r="H1706" s="56">
        <v>32</v>
      </c>
      <c r="I1706" s="56">
        <v>0.21768707482993196</v>
      </c>
      <c r="J1706" s="56" t="s">
        <v>191</v>
      </c>
      <c r="K1706" s="56" t="s">
        <v>1893</v>
      </c>
      <c r="L1706" s="56" t="s">
        <v>3162</v>
      </c>
      <c r="N1706" s="56" t="s">
        <v>3448</v>
      </c>
      <c r="O1706" t="str">
        <f>_xlfn.XLOOKUP(N1706,'Error-codes'!$C$2:$C$130,'Error-codes'!$B$2:$B$130, "None")</f>
        <v>end of lane open sensor error</v>
      </c>
      <c r="U1706" s="81">
        <f>DATEVALUE(LEFT(F1706,10))</f>
        <v>45008</v>
      </c>
    </row>
    <row r="1707" spans="1:21">
      <c r="A1707" s="56"/>
      <c r="B1707" s="56" t="s">
        <v>29</v>
      </c>
      <c r="C1707" s="56" t="s">
        <v>7223</v>
      </c>
      <c r="D1707" s="56" t="s">
        <v>388</v>
      </c>
      <c r="E1707" s="56" t="s">
        <v>2939</v>
      </c>
      <c r="F1707" s="56" t="s">
        <v>7248</v>
      </c>
      <c r="G1707" s="56">
        <v>147</v>
      </c>
      <c r="H1707" s="56">
        <v>34</v>
      </c>
      <c r="I1707" s="56">
        <v>0.23129251700680273</v>
      </c>
      <c r="J1707" s="56" t="s">
        <v>7249</v>
      </c>
      <c r="K1707" s="56" t="s">
        <v>1893</v>
      </c>
      <c r="L1707" s="56" t="s">
        <v>3162</v>
      </c>
      <c r="N1707" s="56" t="s">
        <v>3448</v>
      </c>
      <c r="O1707" t="str">
        <f>_xlfn.XLOOKUP(N1707,'Error-codes'!$C$2:$C$130,'Error-codes'!$B$2:$B$130, "None")</f>
        <v>end of lane open sensor error</v>
      </c>
      <c r="U1707" s="81">
        <f>DATEVALUE(LEFT(F1707,10))</f>
        <v>45008</v>
      </c>
    </row>
    <row r="1708" spans="1:21">
      <c r="A1708" s="56"/>
      <c r="B1708" s="56" t="s">
        <v>29</v>
      </c>
      <c r="C1708" s="56" t="s">
        <v>7223</v>
      </c>
      <c r="D1708" s="56" t="s">
        <v>388</v>
      </c>
      <c r="E1708" s="56" t="s">
        <v>2939</v>
      </c>
      <c r="F1708" s="56" t="s">
        <v>7250</v>
      </c>
      <c r="G1708" s="56">
        <v>147</v>
      </c>
      <c r="H1708" s="56">
        <v>35</v>
      </c>
      <c r="I1708" s="56">
        <v>0.23809523809523808</v>
      </c>
      <c r="J1708" s="56" t="s">
        <v>7251</v>
      </c>
      <c r="K1708" s="56" t="s">
        <v>1893</v>
      </c>
      <c r="L1708" s="56" t="s">
        <v>3162</v>
      </c>
      <c r="N1708" s="56" t="s">
        <v>3448</v>
      </c>
      <c r="O1708" t="str">
        <f>_xlfn.XLOOKUP(N1708,'Error-codes'!$C$2:$C$130,'Error-codes'!$B$2:$B$130, "None")</f>
        <v>end of lane open sensor error</v>
      </c>
      <c r="U1708" s="81">
        <f>DATEVALUE(LEFT(F1708,10))</f>
        <v>45008</v>
      </c>
    </row>
    <row r="1709" spans="1:21">
      <c r="A1709" s="56"/>
      <c r="B1709" s="56" t="s">
        <v>29</v>
      </c>
      <c r="C1709" s="56" t="s">
        <v>7223</v>
      </c>
      <c r="D1709" s="56" t="s">
        <v>388</v>
      </c>
      <c r="E1709" s="56" t="s">
        <v>2939</v>
      </c>
      <c r="F1709" s="56" t="s">
        <v>7252</v>
      </c>
      <c r="G1709" s="56">
        <v>147</v>
      </c>
      <c r="H1709" s="56">
        <v>37</v>
      </c>
      <c r="I1709" s="56">
        <v>0.25170068027210885</v>
      </c>
      <c r="J1709" s="56" t="s">
        <v>7253</v>
      </c>
      <c r="K1709" s="56" t="s">
        <v>1893</v>
      </c>
      <c r="L1709" s="56" t="s">
        <v>3162</v>
      </c>
      <c r="N1709" s="56" t="s">
        <v>3448</v>
      </c>
      <c r="O1709" t="str">
        <f>_xlfn.XLOOKUP(N1709,'Error-codes'!$C$2:$C$130,'Error-codes'!$B$2:$B$130, "None")</f>
        <v>end of lane open sensor error</v>
      </c>
      <c r="U1709" s="81">
        <f>DATEVALUE(LEFT(F1709,10))</f>
        <v>45008</v>
      </c>
    </row>
    <row r="1710" spans="1:21">
      <c r="A1710" s="56"/>
      <c r="B1710" s="56" t="s">
        <v>29</v>
      </c>
      <c r="C1710" s="56" t="s">
        <v>7223</v>
      </c>
      <c r="D1710" s="56" t="s">
        <v>388</v>
      </c>
      <c r="E1710" s="56" t="s">
        <v>2939</v>
      </c>
      <c r="F1710" s="56" t="s">
        <v>7254</v>
      </c>
      <c r="G1710" s="56">
        <v>147</v>
      </c>
      <c r="H1710" s="56">
        <v>38</v>
      </c>
      <c r="I1710" s="56">
        <v>0.25850340136054423</v>
      </c>
      <c r="J1710" s="56" t="s">
        <v>7255</v>
      </c>
      <c r="K1710" s="56" t="s">
        <v>1893</v>
      </c>
      <c r="L1710" s="56" t="s">
        <v>3162</v>
      </c>
      <c r="N1710" s="56" t="s">
        <v>3448</v>
      </c>
      <c r="O1710" t="str">
        <f>_xlfn.XLOOKUP(N1710,'Error-codes'!$C$2:$C$130,'Error-codes'!$B$2:$B$130, "None")</f>
        <v>end of lane open sensor error</v>
      </c>
      <c r="U1710" s="81">
        <f>DATEVALUE(LEFT(F1710,10))</f>
        <v>45008</v>
      </c>
    </row>
    <row r="1711" spans="1:21">
      <c r="A1711" s="56"/>
      <c r="B1711" s="56" t="s">
        <v>29</v>
      </c>
      <c r="C1711" s="56" t="s">
        <v>7223</v>
      </c>
      <c r="D1711" s="56" t="s">
        <v>388</v>
      </c>
      <c r="E1711" s="56" t="s">
        <v>2939</v>
      </c>
      <c r="F1711" s="56" t="s">
        <v>7256</v>
      </c>
      <c r="G1711" s="56">
        <v>147</v>
      </c>
      <c r="H1711" s="56">
        <v>39</v>
      </c>
      <c r="I1711" s="56">
        <v>0.26530612244897961</v>
      </c>
      <c r="J1711" s="56" t="s">
        <v>130</v>
      </c>
      <c r="K1711" s="56" t="s">
        <v>1893</v>
      </c>
      <c r="L1711" s="56" t="s">
        <v>3162</v>
      </c>
      <c r="N1711" s="56" t="s">
        <v>3448</v>
      </c>
      <c r="O1711" t="str">
        <f>_xlfn.XLOOKUP(N1711,'Error-codes'!$C$2:$C$130,'Error-codes'!$B$2:$B$130, "None")</f>
        <v>end of lane open sensor error</v>
      </c>
      <c r="U1711" s="81">
        <f>DATEVALUE(LEFT(F1711,10))</f>
        <v>45008</v>
      </c>
    </row>
    <row r="1712" spans="1:21">
      <c r="A1712" s="56"/>
      <c r="B1712" s="56" t="s">
        <v>29</v>
      </c>
      <c r="C1712" s="56" t="s">
        <v>7223</v>
      </c>
      <c r="D1712" s="56" t="s">
        <v>388</v>
      </c>
      <c r="E1712" s="56" t="s">
        <v>2939</v>
      </c>
      <c r="F1712" s="56" t="s">
        <v>7257</v>
      </c>
      <c r="G1712" s="56">
        <v>147</v>
      </c>
      <c r="H1712" s="56">
        <v>40</v>
      </c>
      <c r="I1712" s="56">
        <v>0.27210884353741499</v>
      </c>
      <c r="J1712" s="56" t="s">
        <v>4993</v>
      </c>
      <c r="K1712" s="56" t="s">
        <v>1893</v>
      </c>
      <c r="L1712" s="56" t="s">
        <v>3162</v>
      </c>
      <c r="N1712" s="56" t="s">
        <v>3448</v>
      </c>
      <c r="O1712" t="str">
        <f>_xlfn.XLOOKUP(N1712,'Error-codes'!$C$2:$C$130,'Error-codes'!$B$2:$B$130, "None")</f>
        <v>end of lane open sensor error</v>
      </c>
      <c r="U1712" s="81">
        <f>DATEVALUE(LEFT(F1712,10))</f>
        <v>45008</v>
      </c>
    </row>
    <row r="1713" spans="1:21">
      <c r="A1713" s="56"/>
      <c r="B1713" s="56" t="s">
        <v>29</v>
      </c>
      <c r="C1713" s="56" t="s">
        <v>7223</v>
      </c>
      <c r="D1713" s="56" t="s">
        <v>388</v>
      </c>
      <c r="E1713" s="56" t="s">
        <v>2939</v>
      </c>
      <c r="F1713" s="56" t="s">
        <v>7258</v>
      </c>
      <c r="G1713" s="56">
        <v>147</v>
      </c>
      <c r="H1713" s="56">
        <v>41</v>
      </c>
      <c r="I1713" s="56">
        <v>0.27891156462585032</v>
      </c>
      <c r="J1713" s="56" t="s">
        <v>7259</v>
      </c>
      <c r="K1713" s="56" t="s">
        <v>1893</v>
      </c>
      <c r="L1713" s="56" t="s">
        <v>3162</v>
      </c>
      <c r="N1713" s="56" t="s">
        <v>3448</v>
      </c>
      <c r="O1713" t="str">
        <f>_xlfn.XLOOKUP(N1713,'Error-codes'!$C$2:$C$130,'Error-codes'!$B$2:$B$130, "None")</f>
        <v>end of lane open sensor error</v>
      </c>
      <c r="U1713" s="81">
        <f>DATEVALUE(LEFT(F1713,10))</f>
        <v>45008</v>
      </c>
    </row>
    <row r="1714" spans="1:21">
      <c r="A1714" s="56"/>
      <c r="B1714" s="56" t="s">
        <v>29</v>
      </c>
      <c r="C1714" s="56" t="s">
        <v>7223</v>
      </c>
      <c r="D1714" s="56" t="s">
        <v>388</v>
      </c>
      <c r="E1714" s="56" t="s">
        <v>2939</v>
      </c>
      <c r="F1714" s="56" t="s">
        <v>7260</v>
      </c>
      <c r="G1714" s="56">
        <v>147</v>
      </c>
      <c r="H1714" s="56">
        <v>42</v>
      </c>
      <c r="I1714" s="56">
        <v>0.2857142857142857</v>
      </c>
      <c r="J1714" s="56" t="s">
        <v>1712</v>
      </c>
      <c r="K1714" s="56" t="s">
        <v>1893</v>
      </c>
      <c r="L1714" s="56" t="s">
        <v>3162</v>
      </c>
      <c r="N1714" s="56" t="s">
        <v>3448</v>
      </c>
      <c r="O1714" t="str">
        <f>_xlfn.XLOOKUP(N1714,'Error-codes'!$C$2:$C$130,'Error-codes'!$B$2:$B$130, "None")</f>
        <v>end of lane open sensor error</v>
      </c>
      <c r="U1714" s="81">
        <f>DATEVALUE(LEFT(F1714,10))</f>
        <v>45008</v>
      </c>
    </row>
    <row r="1715" spans="1:21">
      <c r="A1715" s="56"/>
      <c r="B1715" s="56" t="s">
        <v>29</v>
      </c>
      <c r="C1715" s="56" t="s">
        <v>7223</v>
      </c>
      <c r="D1715" s="56" t="s">
        <v>388</v>
      </c>
      <c r="E1715" s="56" t="s">
        <v>2939</v>
      </c>
      <c r="F1715" s="56" t="s">
        <v>7261</v>
      </c>
      <c r="G1715" s="56">
        <v>147</v>
      </c>
      <c r="H1715" s="56">
        <v>44</v>
      </c>
      <c r="I1715" s="56">
        <v>0.29931972789115646</v>
      </c>
      <c r="J1715" s="56" t="s">
        <v>135</v>
      </c>
      <c r="K1715" s="56" t="s">
        <v>1893</v>
      </c>
      <c r="L1715" s="56" t="s">
        <v>3162</v>
      </c>
      <c r="N1715" s="56" t="s">
        <v>3448</v>
      </c>
      <c r="O1715" t="str">
        <f>_xlfn.XLOOKUP(N1715,'Error-codes'!$C$2:$C$130,'Error-codes'!$B$2:$B$130, "None")</f>
        <v>end of lane open sensor error</v>
      </c>
      <c r="U1715" s="81">
        <f>DATEVALUE(LEFT(F1715,10))</f>
        <v>45008</v>
      </c>
    </row>
    <row r="1716" spans="1:21">
      <c r="A1716" s="56"/>
      <c r="B1716" s="56" t="s">
        <v>29</v>
      </c>
      <c r="C1716" s="56" t="s">
        <v>7223</v>
      </c>
      <c r="D1716" s="56" t="s">
        <v>388</v>
      </c>
      <c r="E1716" s="56" t="s">
        <v>2939</v>
      </c>
      <c r="F1716" s="56" t="s">
        <v>7262</v>
      </c>
      <c r="G1716" s="56">
        <v>147</v>
      </c>
      <c r="H1716" s="56">
        <v>45</v>
      </c>
      <c r="I1716" s="56">
        <v>0.30612244897959184</v>
      </c>
      <c r="J1716" s="56" t="s">
        <v>4957</v>
      </c>
      <c r="K1716" s="56" t="s">
        <v>1893</v>
      </c>
      <c r="L1716" s="56" t="s">
        <v>3162</v>
      </c>
      <c r="N1716" s="56" t="s">
        <v>3444</v>
      </c>
      <c r="O1716" t="str">
        <f>_xlfn.XLOOKUP(N1716,'Error-codes'!$C$2:$C$130,'Error-codes'!$B$2:$B$130, "None")</f>
        <v>collision detected in operational state for the 4th time in a row</v>
      </c>
      <c r="U1716" s="81">
        <f>DATEVALUE(LEFT(F1716,10))</f>
        <v>45008</v>
      </c>
    </row>
    <row r="1717" spans="1:21">
      <c r="A1717" s="56"/>
      <c r="B1717" s="56" t="s">
        <v>29</v>
      </c>
      <c r="C1717" s="56" t="s">
        <v>7223</v>
      </c>
      <c r="D1717" s="56" t="s">
        <v>388</v>
      </c>
      <c r="E1717" s="56" t="s">
        <v>2939</v>
      </c>
      <c r="F1717" s="56" t="s">
        <v>7263</v>
      </c>
      <c r="G1717" s="56">
        <v>147</v>
      </c>
      <c r="H1717" s="56">
        <v>46</v>
      </c>
      <c r="I1717" s="56">
        <v>0.31292517006802723</v>
      </c>
      <c r="J1717" s="56" t="s">
        <v>1560</v>
      </c>
      <c r="K1717" s="56" t="s">
        <v>1893</v>
      </c>
      <c r="L1717" s="56" t="s">
        <v>3162</v>
      </c>
      <c r="N1717" s="56" t="s">
        <v>3448</v>
      </c>
      <c r="O1717" t="str">
        <f>_xlfn.XLOOKUP(N1717,'Error-codes'!$C$2:$C$130,'Error-codes'!$B$2:$B$130, "None")</f>
        <v>end of lane open sensor error</v>
      </c>
      <c r="U1717" s="81">
        <f>DATEVALUE(LEFT(F1717,10))</f>
        <v>45008</v>
      </c>
    </row>
    <row r="1718" spans="1:21">
      <c r="A1718" s="56"/>
      <c r="B1718" s="56" t="s">
        <v>29</v>
      </c>
      <c r="C1718" s="56" t="s">
        <v>7223</v>
      </c>
      <c r="D1718" s="56" t="s">
        <v>388</v>
      </c>
      <c r="E1718" s="56" t="s">
        <v>2939</v>
      </c>
      <c r="F1718" s="56" t="s">
        <v>7264</v>
      </c>
      <c r="G1718" s="56">
        <v>147</v>
      </c>
      <c r="H1718" s="56">
        <v>47</v>
      </c>
      <c r="I1718" s="56">
        <v>0.31972789115646261</v>
      </c>
      <c r="J1718" s="56" t="s">
        <v>1592</v>
      </c>
      <c r="K1718" s="56" t="s">
        <v>1893</v>
      </c>
      <c r="L1718" s="56" t="s">
        <v>3162</v>
      </c>
      <c r="N1718" s="56" t="s">
        <v>3448</v>
      </c>
      <c r="O1718" t="str">
        <f>_xlfn.XLOOKUP(N1718,'Error-codes'!$C$2:$C$130,'Error-codes'!$B$2:$B$130, "None")</f>
        <v>end of lane open sensor error</v>
      </c>
      <c r="U1718" s="81">
        <f>DATEVALUE(LEFT(F1718,10))</f>
        <v>45008</v>
      </c>
    </row>
    <row r="1719" spans="1:21">
      <c r="A1719" s="56"/>
      <c r="B1719" s="56" t="s">
        <v>29</v>
      </c>
      <c r="C1719" s="56" t="s">
        <v>7223</v>
      </c>
      <c r="D1719" s="56" t="s">
        <v>388</v>
      </c>
      <c r="E1719" s="56" t="s">
        <v>2939</v>
      </c>
      <c r="F1719" s="56" t="s">
        <v>7265</v>
      </c>
      <c r="G1719" s="56">
        <v>147</v>
      </c>
      <c r="H1719" s="56">
        <v>48</v>
      </c>
      <c r="I1719" s="56">
        <v>0.32653061224489793</v>
      </c>
      <c r="J1719" s="56" t="s">
        <v>77</v>
      </c>
      <c r="K1719" s="56" t="s">
        <v>1893</v>
      </c>
      <c r="L1719" s="56" t="s">
        <v>3162</v>
      </c>
      <c r="N1719" s="56" t="s">
        <v>3448</v>
      </c>
      <c r="O1719" t="str">
        <f>_xlfn.XLOOKUP(N1719,'Error-codes'!$C$2:$C$130,'Error-codes'!$B$2:$B$130, "None")</f>
        <v>end of lane open sensor error</v>
      </c>
      <c r="U1719" s="81">
        <f>DATEVALUE(LEFT(F1719,10))</f>
        <v>45008</v>
      </c>
    </row>
    <row r="1720" spans="1:21">
      <c r="A1720" s="56"/>
      <c r="B1720" s="56" t="s">
        <v>29</v>
      </c>
      <c r="C1720" s="56" t="s">
        <v>7223</v>
      </c>
      <c r="D1720" s="56" t="s">
        <v>388</v>
      </c>
      <c r="E1720" s="56" t="s">
        <v>2939</v>
      </c>
      <c r="F1720" s="56" t="s">
        <v>7266</v>
      </c>
      <c r="G1720" s="56">
        <v>147</v>
      </c>
      <c r="H1720" s="56">
        <v>49</v>
      </c>
      <c r="I1720" s="56">
        <v>0.33333333333333331</v>
      </c>
      <c r="J1720" s="56" t="s">
        <v>7267</v>
      </c>
      <c r="K1720" s="56" t="s">
        <v>1893</v>
      </c>
      <c r="L1720" s="56" t="s">
        <v>3162</v>
      </c>
      <c r="N1720" s="56" t="s">
        <v>3448</v>
      </c>
      <c r="O1720" t="str">
        <f>_xlfn.XLOOKUP(N1720,'Error-codes'!$C$2:$C$130,'Error-codes'!$B$2:$B$130, "None")</f>
        <v>end of lane open sensor error</v>
      </c>
      <c r="U1720" s="81">
        <f>DATEVALUE(LEFT(F1720,10))</f>
        <v>45008</v>
      </c>
    </row>
    <row r="1721" spans="1:21">
      <c r="A1721" s="56"/>
      <c r="B1721" s="56" t="s">
        <v>29</v>
      </c>
      <c r="C1721" s="56" t="s">
        <v>7223</v>
      </c>
      <c r="D1721" s="56" t="s">
        <v>388</v>
      </c>
      <c r="E1721" s="56" t="s">
        <v>2939</v>
      </c>
      <c r="F1721" s="56" t="s">
        <v>7268</v>
      </c>
      <c r="G1721" s="56">
        <v>147</v>
      </c>
      <c r="H1721" s="56">
        <v>51</v>
      </c>
      <c r="I1721" s="56">
        <v>0.34693877551020408</v>
      </c>
      <c r="J1721" s="56" t="s">
        <v>7269</v>
      </c>
      <c r="K1721" s="56" t="s">
        <v>1893</v>
      </c>
      <c r="L1721" s="56" t="s">
        <v>3162</v>
      </c>
      <c r="N1721" s="56" t="s">
        <v>3448</v>
      </c>
      <c r="O1721" t="str">
        <f>_xlfn.XLOOKUP(N1721,'Error-codes'!$C$2:$C$130,'Error-codes'!$B$2:$B$130, "None")</f>
        <v>end of lane open sensor error</v>
      </c>
      <c r="U1721" s="81">
        <f>DATEVALUE(LEFT(F1721,10))</f>
        <v>45008</v>
      </c>
    </row>
    <row r="1722" spans="1:21">
      <c r="A1722" s="56"/>
      <c r="B1722" s="56" t="s">
        <v>29</v>
      </c>
      <c r="C1722" s="56" t="s">
        <v>7223</v>
      </c>
      <c r="D1722" s="56" t="s">
        <v>388</v>
      </c>
      <c r="E1722" s="56" t="s">
        <v>2939</v>
      </c>
      <c r="F1722" s="56" t="s">
        <v>7270</v>
      </c>
      <c r="G1722" s="56">
        <v>147</v>
      </c>
      <c r="H1722" s="56">
        <v>52</v>
      </c>
      <c r="I1722" s="56">
        <v>0.35374149659863946</v>
      </c>
      <c r="J1722" s="56" t="s">
        <v>7271</v>
      </c>
      <c r="K1722" s="56" t="s">
        <v>1893</v>
      </c>
      <c r="L1722" s="56" t="s">
        <v>3162</v>
      </c>
      <c r="N1722" s="56" t="s">
        <v>3448</v>
      </c>
      <c r="O1722" t="str">
        <f>_xlfn.XLOOKUP(N1722,'Error-codes'!$C$2:$C$130,'Error-codes'!$B$2:$B$130, "None")</f>
        <v>end of lane open sensor error</v>
      </c>
      <c r="U1722" s="81">
        <f>DATEVALUE(LEFT(F1722,10))</f>
        <v>45008</v>
      </c>
    </row>
    <row r="1723" spans="1:21">
      <c r="A1723" s="56"/>
      <c r="B1723" s="56" t="s">
        <v>29</v>
      </c>
      <c r="C1723" s="56" t="s">
        <v>7223</v>
      </c>
      <c r="D1723" s="56" t="s">
        <v>388</v>
      </c>
      <c r="E1723" s="56" t="s">
        <v>2939</v>
      </c>
      <c r="F1723" s="56" t="s">
        <v>7272</v>
      </c>
      <c r="G1723" s="56">
        <v>147</v>
      </c>
      <c r="H1723" s="56">
        <v>53</v>
      </c>
      <c r="I1723" s="56">
        <v>0.36054421768707484</v>
      </c>
      <c r="J1723" s="56" t="s">
        <v>7273</v>
      </c>
      <c r="K1723" s="56" t="s">
        <v>1893</v>
      </c>
      <c r="L1723" s="56" t="s">
        <v>3162</v>
      </c>
      <c r="N1723" s="56" t="s">
        <v>3448</v>
      </c>
      <c r="O1723" t="str">
        <f>_xlfn.XLOOKUP(N1723,'Error-codes'!$C$2:$C$130,'Error-codes'!$B$2:$B$130, "None")</f>
        <v>end of lane open sensor error</v>
      </c>
      <c r="U1723" s="81">
        <f>DATEVALUE(LEFT(F1723,10))</f>
        <v>45008</v>
      </c>
    </row>
    <row r="1724" spans="1:21">
      <c r="A1724" s="56"/>
      <c r="B1724" s="56" t="s">
        <v>29</v>
      </c>
      <c r="C1724" s="56" t="s">
        <v>7223</v>
      </c>
      <c r="D1724" s="56" t="s">
        <v>388</v>
      </c>
      <c r="E1724" s="56" t="s">
        <v>2939</v>
      </c>
      <c r="F1724" s="56" t="s">
        <v>7274</v>
      </c>
      <c r="G1724" s="56">
        <v>147</v>
      </c>
      <c r="H1724" s="56">
        <v>54</v>
      </c>
      <c r="I1724" s="56">
        <v>0.36734693877551022</v>
      </c>
      <c r="J1724" s="56" t="s">
        <v>7275</v>
      </c>
      <c r="K1724" s="56" t="s">
        <v>1893</v>
      </c>
      <c r="L1724" s="56" t="s">
        <v>3162</v>
      </c>
      <c r="N1724" s="56" t="s">
        <v>3448</v>
      </c>
      <c r="O1724" t="str">
        <f>_xlfn.XLOOKUP(N1724,'Error-codes'!$C$2:$C$130,'Error-codes'!$B$2:$B$130, "None")</f>
        <v>end of lane open sensor error</v>
      </c>
      <c r="U1724" s="81">
        <f>DATEVALUE(LEFT(F1724,10))</f>
        <v>45008</v>
      </c>
    </row>
    <row r="1725" spans="1:21">
      <c r="A1725" s="56"/>
      <c r="B1725" s="56" t="s">
        <v>29</v>
      </c>
      <c r="C1725" s="56" t="s">
        <v>7223</v>
      </c>
      <c r="D1725" s="56" t="s">
        <v>388</v>
      </c>
      <c r="E1725" s="56" t="s">
        <v>2939</v>
      </c>
      <c r="F1725" s="56" t="s">
        <v>7276</v>
      </c>
      <c r="G1725" s="56">
        <v>147</v>
      </c>
      <c r="H1725" s="56">
        <v>55</v>
      </c>
      <c r="I1725" s="56">
        <v>0.37414965986394561</v>
      </c>
      <c r="J1725" s="56" t="s">
        <v>7277</v>
      </c>
      <c r="K1725" s="56" t="s">
        <v>1893</v>
      </c>
      <c r="L1725" s="56" t="s">
        <v>3162</v>
      </c>
      <c r="N1725" s="56" t="s">
        <v>3448</v>
      </c>
      <c r="O1725" t="str">
        <f>_xlfn.XLOOKUP(N1725,'Error-codes'!$C$2:$C$130,'Error-codes'!$B$2:$B$130, "None")</f>
        <v>end of lane open sensor error</v>
      </c>
      <c r="U1725" s="81">
        <f>DATEVALUE(LEFT(F1725,10))</f>
        <v>45008</v>
      </c>
    </row>
    <row r="1726" spans="1:21">
      <c r="A1726" s="56"/>
      <c r="B1726" s="56" t="s">
        <v>29</v>
      </c>
      <c r="C1726" s="56" t="s">
        <v>7223</v>
      </c>
      <c r="D1726" s="56" t="s">
        <v>388</v>
      </c>
      <c r="E1726" s="56" t="s">
        <v>2939</v>
      </c>
      <c r="F1726" s="56" t="s">
        <v>7278</v>
      </c>
      <c r="G1726" s="56">
        <v>147</v>
      </c>
      <c r="H1726" s="56">
        <v>56</v>
      </c>
      <c r="I1726" s="56">
        <v>0.38095238095238093</v>
      </c>
      <c r="J1726" s="56" t="s">
        <v>7279</v>
      </c>
      <c r="K1726" s="56" t="s">
        <v>1893</v>
      </c>
      <c r="L1726" s="56" t="s">
        <v>3162</v>
      </c>
      <c r="N1726" s="56" t="s">
        <v>3444</v>
      </c>
      <c r="O1726" t="str">
        <f>_xlfn.XLOOKUP(N1726,'Error-codes'!$C$2:$C$130,'Error-codes'!$B$2:$B$130, "None")</f>
        <v>collision detected in operational state for the 4th time in a row</v>
      </c>
      <c r="U1726" s="81">
        <f>DATEVALUE(LEFT(F1726,10))</f>
        <v>45008</v>
      </c>
    </row>
    <row r="1727" spans="1:21">
      <c r="A1727" s="56"/>
      <c r="B1727" s="56" t="s">
        <v>29</v>
      </c>
      <c r="C1727" s="56" t="s">
        <v>7223</v>
      </c>
      <c r="D1727" s="56" t="s">
        <v>388</v>
      </c>
      <c r="E1727" s="56" t="s">
        <v>2939</v>
      </c>
      <c r="F1727" s="56" t="s">
        <v>7280</v>
      </c>
      <c r="G1727" s="56">
        <v>147</v>
      </c>
      <c r="H1727" s="56">
        <v>58</v>
      </c>
      <c r="I1727" s="56">
        <v>0.39455782312925169</v>
      </c>
      <c r="J1727" s="56" t="s">
        <v>3189</v>
      </c>
      <c r="K1727" s="56" t="s">
        <v>1893</v>
      </c>
      <c r="L1727" s="56" t="s">
        <v>3162</v>
      </c>
      <c r="N1727" s="56" t="s">
        <v>3448</v>
      </c>
      <c r="O1727" t="str">
        <f>_xlfn.XLOOKUP(N1727,'Error-codes'!$C$2:$C$130,'Error-codes'!$B$2:$B$130, "None")</f>
        <v>end of lane open sensor error</v>
      </c>
      <c r="U1727" s="81">
        <f>DATEVALUE(LEFT(F1727,10))</f>
        <v>45008</v>
      </c>
    </row>
    <row r="1728" spans="1:21">
      <c r="A1728" s="56"/>
      <c r="B1728" s="56" t="s">
        <v>29</v>
      </c>
      <c r="C1728" s="56" t="s">
        <v>7223</v>
      </c>
      <c r="D1728" s="56" t="s">
        <v>388</v>
      </c>
      <c r="E1728" s="56" t="s">
        <v>2939</v>
      </c>
      <c r="F1728" s="56" t="s">
        <v>7281</v>
      </c>
      <c r="G1728" s="56">
        <v>147</v>
      </c>
      <c r="H1728" s="56">
        <v>59</v>
      </c>
      <c r="I1728" s="56">
        <v>0.40136054421768708</v>
      </c>
      <c r="J1728" s="56" t="s">
        <v>1631</v>
      </c>
      <c r="K1728" s="56" t="s">
        <v>1893</v>
      </c>
      <c r="L1728" s="56" t="s">
        <v>3162</v>
      </c>
      <c r="N1728" s="56" t="s">
        <v>3448</v>
      </c>
      <c r="O1728" t="str">
        <f>_xlfn.XLOOKUP(N1728,'Error-codes'!$C$2:$C$130,'Error-codes'!$B$2:$B$130, "None")</f>
        <v>end of lane open sensor error</v>
      </c>
      <c r="U1728" s="81">
        <f>DATEVALUE(LEFT(F1728,10))</f>
        <v>45008</v>
      </c>
    </row>
    <row r="1729" spans="1:21">
      <c r="A1729" s="56"/>
      <c r="B1729" s="56" t="s">
        <v>29</v>
      </c>
      <c r="C1729" s="56" t="s">
        <v>7223</v>
      </c>
      <c r="D1729" s="56" t="s">
        <v>388</v>
      </c>
      <c r="E1729" s="56" t="s">
        <v>2939</v>
      </c>
      <c r="F1729" s="56" t="s">
        <v>7282</v>
      </c>
      <c r="G1729" s="56">
        <v>147</v>
      </c>
      <c r="H1729" s="56">
        <v>60</v>
      </c>
      <c r="I1729" s="56">
        <v>0.40816326530612246</v>
      </c>
      <c r="J1729" s="56" t="s">
        <v>7283</v>
      </c>
      <c r="K1729" s="56" t="s">
        <v>1893</v>
      </c>
      <c r="L1729" s="56" t="s">
        <v>3162</v>
      </c>
      <c r="N1729" s="56" t="s">
        <v>3448</v>
      </c>
      <c r="O1729" t="str">
        <f>_xlfn.XLOOKUP(N1729,'Error-codes'!$C$2:$C$130,'Error-codes'!$B$2:$B$130, "None")</f>
        <v>end of lane open sensor error</v>
      </c>
      <c r="U1729" s="81">
        <f>DATEVALUE(LEFT(F1729,10))</f>
        <v>45008</v>
      </c>
    </row>
    <row r="1730" spans="1:21">
      <c r="A1730" s="56"/>
      <c r="B1730" s="56" t="s">
        <v>29</v>
      </c>
      <c r="C1730" s="56" t="s">
        <v>7223</v>
      </c>
      <c r="D1730" s="56" t="s">
        <v>388</v>
      </c>
      <c r="E1730" s="56" t="s">
        <v>2939</v>
      </c>
      <c r="F1730" s="56" t="s">
        <v>7284</v>
      </c>
      <c r="G1730" s="56">
        <v>147</v>
      </c>
      <c r="H1730" s="56">
        <v>61</v>
      </c>
      <c r="I1730" s="56">
        <v>0.41496598639455784</v>
      </c>
      <c r="J1730" s="56" t="s">
        <v>7285</v>
      </c>
      <c r="K1730" s="56" t="s">
        <v>1893</v>
      </c>
      <c r="L1730" s="56" t="s">
        <v>3162</v>
      </c>
      <c r="N1730" s="56" t="s">
        <v>3448</v>
      </c>
      <c r="O1730" t="str">
        <f>_xlfn.XLOOKUP(N1730,'Error-codes'!$C$2:$C$130,'Error-codes'!$B$2:$B$130, "None")</f>
        <v>end of lane open sensor error</v>
      </c>
      <c r="U1730" s="81">
        <f>DATEVALUE(LEFT(F1730,10))</f>
        <v>45008</v>
      </c>
    </row>
    <row r="1731" spans="1:21">
      <c r="A1731" s="56"/>
      <c r="B1731" s="56" t="s">
        <v>29</v>
      </c>
      <c r="C1731" s="56" t="s">
        <v>7223</v>
      </c>
      <c r="D1731" s="56" t="s">
        <v>388</v>
      </c>
      <c r="E1731" s="56" t="s">
        <v>2939</v>
      </c>
      <c r="F1731" s="56" t="s">
        <v>7286</v>
      </c>
      <c r="G1731" s="56">
        <v>147</v>
      </c>
      <c r="H1731" s="56">
        <v>62</v>
      </c>
      <c r="I1731" s="56">
        <v>0.42176870748299322</v>
      </c>
      <c r="J1731" s="56" t="s">
        <v>7287</v>
      </c>
      <c r="K1731" s="56" t="s">
        <v>1893</v>
      </c>
      <c r="L1731" s="56" t="s">
        <v>3162</v>
      </c>
      <c r="N1731" s="56" t="s">
        <v>3448</v>
      </c>
      <c r="O1731" t="str">
        <f>_xlfn.XLOOKUP(N1731,'Error-codes'!$C$2:$C$130,'Error-codes'!$B$2:$B$130, "None")</f>
        <v>end of lane open sensor error</v>
      </c>
      <c r="U1731" s="81">
        <f>DATEVALUE(LEFT(F1731,10))</f>
        <v>45008</v>
      </c>
    </row>
    <row r="1732" spans="1:21">
      <c r="A1732" s="56"/>
      <c r="B1732" s="56" t="s">
        <v>29</v>
      </c>
      <c r="C1732" s="56" t="s">
        <v>7223</v>
      </c>
      <c r="D1732" s="56" t="s">
        <v>388</v>
      </c>
      <c r="E1732" s="56" t="s">
        <v>2939</v>
      </c>
      <c r="F1732" s="56" t="s">
        <v>7288</v>
      </c>
      <c r="G1732" s="56">
        <v>147</v>
      </c>
      <c r="H1732" s="56">
        <v>63</v>
      </c>
      <c r="I1732" s="56">
        <v>0.42857142857142855</v>
      </c>
      <c r="J1732" s="56" t="s">
        <v>7289</v>
      </c>
      <c r="K1732" s="56" t="s">
        <v>1893</v>
      </c>
      <c r="L1732" s="56" t="s">
        <v>3162</v>
      </c>
      <c r="N1732" s="56" t="s">
        <v>3448</v>
      </c>
      <c r="O1732" t="str">
        <f>_xlfn.XLOOKUP(N1732,'Error-codes'!$C$2:$C$130,'Error-codes'!$B$2:$B$130, "None")</f>
        <v>end of lane open sensor error</v>
      </c>
      <c r="U1732" s="81">
        <f>DATEVALUE(LEFT(F1732,10))</f>
        <v>45008</v>
      </c>
    </row>
    <row r="1733" spans="1:21">
      <c r="A1733" s="56"/>
      <c r="B1733" s="56" t="s">
        <v>29</v>
      </c>
      <c r="C1733" s="56" t="s">
        <v>7223</v>
      </c>
      <c r="D1733" s="56" t="s">
        <v>388</v>
      </c>
      <c r="E1733" s="56" t="s">
        <v>2939</v>
      </c>
      <c r="F1733" s="56" t="s">
        <v>7290</v>
      </c>
      <c r="G1733" s="56">
        <v>147</v>
      </c>
      <c r="H1733" s="56">
        <v>65</v>
      </c>
      <c r="I1733" s="56">
        <v>0.44217687074829931</v>
      </c>
      <c r="J1733" s="56" t="s">
        <v>7291</v>
      </c>
      <c r="K1733" s="56" t="s">
        <v>1893</v>
      </c>
      <c r="L1733" s="56" t="s">
        <v>3162</v>
      </c>
      <c r="N1733" s="56" t="s">
        <v>3448</v>
      </c>
      <c r="O1733" t="str">
        <f>_xlfn.XLOOKUP(N1733,'Error-codes'!$C$2:$C$130,'Error-codes'!$B$2:$B$130, "None")</f>
        <v>end of lane open sensor error</v>
      </c>
      <c r="U1733" s="81">
        <f>DATEVALUE(LEFT(F1733,10))</f>
        <v>45008</v>
      </c>
    </row>
    <row r="1734" spans="1:21">
      <c r="A1734" s="56"/>
      <c r="B1734" s="56" t="s">
        <v>29</v>
      </c>
      <c r="C1734" s="56" t="s">
        <v>7223</v>
      </c>
      <c r="D1734" s="56" t="s">
        <v>388</v>
      </c>
      <c r="E1734" s="56" t="s">
        <v>2939</v>
      </c>
      <c r="F1734" s="56" t="s">
        <v>7292</v>
      </c>
      <c r="G1734" s="56">
        <v>147</v>
      </c>
      <c r="H1734" s="56">
        <v>66</v>
      </c>
      <c r="I1734" s="56">
        <v>0.44897959183673469</v>
      </c>
      <c r="J1734" s="56" t="s">
        <v>4953</v>
      </c>
      <c r="K1734" s="56" t="s">
        <v>1893</v>
      </c>
      <c r="L1734" s="56" t="s">
        <v>3162</v>
      </c>
      <c r="N1734" s="56" t="s">
        <v>3448</v>
      </c>
      <c r="O1734" t="str">
        <f>_xlfn.XLOOKUP(N1734,'Error-codes'!$C$2:$C$130,'Error-codes'!$B$2:$B$130, "None")</f>
        <v>end of lane open sensor error</v>
      </c>
      <c r="U1734" s="81">
        <f>DATEVALUE(LEFT(F1734,10))</f>
        <v>45008</v>
      </c>
    </row>
    <row r="1735" spans="1:21">
      <c r="A1735" s="56"/>
      <c r="B1735" s="56" t="s">
        <v>29</v>
      </c>
      <c r="C1735" s="56" t="s">
        <v>7223</v>
      </c>
      <c r="D1735" s="56" t="s">
        <v>388</v>
      </c>
      <c r="E1735" s="56" t="s">
        <v>2939</v>
      </c>
      <c r="F1735" s="56" t="s">
        <v>7293</v>
      </c>
      <c r="G1735" s="56">
        <v>147</v>
      </c>
      <c r="H1735" s="56">
        <v>67</v>
      </c>
      <c r="I1735" s="56">
        <v>0.45578231292517007</v>
      </c>
      <c r="J1735" s="56" t="s">
        <v>7294</v>
      </c>
      <c r="K1735" s="56" t="s">
        <v>1893</v>
      </c>
      <c r="L1735" s="56" t="s">
        <v>3162</v>
      </c>
      <c r="N1735" s="56" t="s">
        <v>3448</v>
      </c>
      <c r="O1735" t="str">
        <f>_xlfn.XLOOKUP(N1735,'Error-codes'!$C$2:$C$130,'Error-codes'!$B$2:$B$130, "None")</f>
        <v>end of lane open sensor error</v>
      </c>
      <c r="U1735" s="81">
        <f>DATEVALUE(LEFT(F1735,10))</f>
        <v>45008</v>
      </c>
    </row>
    <row r="1736" spans="1:21">
      <c r="A1736" s="56"/>
      <c r="B1736" s="56" t="s">
        <v>29</v>
      </c>
      <c r="C1736" s="56" t="s">
        <v>7223</v>
      </c>
      <c r="D1736" s="56" t="s">
        <v>388</v>
      </c>
      <c r="E1736" s="56" t="s">
        <v>2939</v>
      </c>
      <c r="F1736" s="56" t="s">
        <v>7295</v>
      </c>
      <c r="G1736" s="56">
        <v>147</v>
      </c>
      <c r="H1736" s="56">
        <v>69</v>
      </c>
      <c r="I1736" s="56">
        <v>0.46938775510204084</v>
      </c>
      <c r="J1736" s="56" t="s">
        <v>65</v>
      </c>
      <c r="K1736" s="56" t="s">
        <v>1893</v>
      </c>
      <c r="L1736" s="56" t="s">
        <v>3162</v>
      </c>
      <c r="N1736" s="56" t="s">
        <v>3448</v>
      </c>
      <c r="O1736" t="str">
        <f>_xlfn.XLOOKUP(N1736,'Error-codes'!$C$2:$C$130,'Error-codes'!$B$2:$B$130, "None")</f>
        <v>end of lane open sensor error</v>
      </c>
      <c r="U1736" s="81">
        <f>DATEVALUE(LEFT(F1736,10))</f>
        <v>45008</v>
      </c>
    </row>
    <row r="1737" spans="1:21">
      <c r="A1737" s="56"/>
      <c r="B1737" s="56" t="s">
        <v>29</v>
      </c>
      <c r="C1737" s="56" t="s">
        <v>7223</v>
      </c>
      <c r="D1737" s="56" t="s">
        <v>388</v>
      </c>
      <c r="E1737" s="56" t="s">
        <v>2939</v>
      </c>
      <c r="F1737" s="56" t="s">
        <v>7296</v>
      </c>
      <c r="G1737" s="56">
        <v>147</v>
      </c>
      <c r="H1737" s="56">
        <v>70</v>
      </c>
      <c r="I1737" s="56">
        <v>0.47619047619047616</v>
      </c>
      <c r="J1737" s="56" t="s">
        <v>7297</v>
      </c>
      <c r="K1737" s="56" t="s">
        <v>1893</v>
      </c>
      <c r="L1737" s="56" t="s">
        <v>3162</v>
      </c>
      <c r="N1737" s="56" t="s">
        <v>3448</v>
      </c>
      <c r="O1737" t="str">
        <f>_xlfn.XLOOKUP(N1737,'Error-codes'!$C$2:$C$130,'Error-codes'!$B$2:$B$130, "None")</f>
        <v>end of lane open sensor error</v>
      </c>
      <c r="U1737" s="81">
        <f>DATEVALUE(LEFT(F1737,10))</f>
        <v>45008</v>
      </c>
    </row>
    <row r="1738" spans="1:21">
      <c r="A1738" s="56"/>
      <c r="B1738" s="56" t="s">
        <v>29</v>
      </c>
      <c r="C1738" s="56" t="s">
        <v>7223</v>
      </c>
      <c r="D1738" s="56" t="s">
        <v>388</v>
      </c>
      <c r="E1738" s="56" t="s">
        <v>2939</v>
      </c>
      <c r="F1738" s="56" t="s">
        <v>7298</v>
      </c>
      <c r="G1738" s="56">
        <v>147</v>
      </c>
      <c r="H1738" s="56">
        <v>72</v>
      </c>
      <c r="I1738" s="56">
        <v>0.48979591836734693</v>
      </c>
      <c r="J1738" s="56" t="s">
        <v>7299</v>
      </c>
      <c r="K1738" s="56" t="s">
        <v>1893</v>
      </c>
      <c r="L1738" s="56" t="s">
        <v>3162</v>
      </c>
      <c r="N1738" s="56" t="s">
        <v>3448</v>
      </c>
      <c r="O1738" t="str">
        <f>_xlfn.XLOOKUP(N1738,'Error-codes'!$C$2:$C$130,'Error-codes'!$B$2:$B$130, "None")</f>
        <v>end of lane open sensor error</v>
      </c>
      <c r="U1738" s="81">
        <f>DATEVALUE(LEFT(F1738,10))</f>
        <v>45008</v>
      </c>
    </row>
    <row r="1739" spans="1:21">
      <c r="A1739" s="56"/>
      <c r="B1739" s="56" t="s">
        <v>29</v>
      </c>
      <c r="C1739" s="56" t="s">
        <v>7223</v>
      </c>
      <c r="D1739" s="56" t="s">
        <v>388</v>
      </c>
      <c r="E1739" s="56" t="s">
        <v>2939</v>
      </c>
      <c r="F1739" s="56" t="s">
        <v>7300</v>
      </c>
      <c r="G1739" s="56">
        <v>147</v>
      </c>
      <c r="H1739" s="56">
        <v>73</v>
      </c>
      <c r="I1739" s="56">
        <v>0.49659863945578231</v>
      </c>
      <c r="J1739" s="56" t="s">
        <v>7301</v>
      </c>
      <c r="K1739" s="56" t="s">
        <v>1893</v>
      </c>
      <c r="L1739" s="56" t="s">
        <v>3162</v>
      </c>
      <c r="N1739" s="56" t="s">
        <v>3448</v>
      </c>
      <c r="O1739" t="str">
        <f>_xlfn.XLOOKUP(N1739,'Error-codes'!$C$2:$C$130,'Error-codes'!$B$2:$B$130, "None")</f>
        <v>end of lane open sensor error</v>
      </c>
      <c r="U1739" s="81">
        <f>DATEVALUE(LEFT(F1739,10))</f>
        <v>45008</v>
      </c>
    </row>
    <row r="1740" spans="1:21">
      <c r="A1740" s="56"/>
      <c r="B1740" s="56" t="s">
        <v>29</v>
      </c>
      <c r="C1740" s="56" t="s">
        <v>7223</v>
      </c>
      <c r="D1740" s="56" t="s">
        <v>388</v>
      </c>
      <c r="E1740" s="56" t="s">
        <v>2939</v>
      </c>
      <c r="F1740" s="56" t="s">
        <v>7302</v>
      </c>
      <c r="G1740" s="56">
        <v>147</v>
      </c>
      <c r="H1740" s="56">
        <v>74</v>
      </c>
      <c r="I1740" s="56">
        <v>0.50340136054421769</v>
      </c>
      <c r="J1740" s="56" t="s">
        <v>7303</v>
      </c>
      <c r="K1740" s="56" t="s">
        <v>1893</v>
      </c>
      <c r="L1740" s="56" t="s">
        <v>3162</v>
      </c>
      <c r="N1740" s="56" t="s">
        <v>3448</v>
      </c>
      <c r="O1740" t="str">
        <f>_xlfn.XLOOKUP(N1740,'Error-codes'!$C$2:$C$130,'Error-codes'!$B$2:$B$130, "None")</f>
        <v>end of lane open sensor error</v>
      </c>
      <c r="U1740" s="81">
        <f>DATEVALUE(LEFT(F1740,10))</f>
        <v>45008</v>
      </c>
    </row>
    <row r="1741" spans="1:21">
      <c r="A1741" s="56"/>
      <c r="B1741" s="56" t="s">
        <v>29</v>
      </c>
      <c r="C1741" s="56" t="s">
        <v>7223</v>
      </c>
      <c r="D1741" s="56" t="s">
        <v>388</v>
      </c>
      <c r="E1741" s="56" t="s">
        <v>2939</v>
      </c>
      <c r="F1741" s="56" t="s">
        <v>7304</v>
      </c>
      <c r="G1741" s="56">
        <v>147</v>
      </c>
      <c r="H1741" s="56">
        <v>75</v>
      </c>
      <c r="I1741" s="56">
        <v>0.51020408163265307</v>
      </c>
      <c r="J1741" s="56" t="s">
        <v>7305</v>
      </c>
      <c r="K1741" s="56" t="s">
        <v>1893</v>
      </c>
      <c r="L1741" s="56" t="s">
        <v>3162</v>
      </c>
      <c r="N1741" s="56" t="s">
        <v>3448</v>
      </c>
      <c r="O1741" t="str">
        <f>_xlfn.XLOOKUP(N1741,'Error-codes'!$C$2:$C$130,'Error-codes'!$B$2:$B$130, "None")</f>
        <v>end of lane open sensor error</v>
      </c>
      <c r="U1741" s="81">
        <f>DATEVALUE(LEFT(F1741,10))</f>
        <v>45008</v>
      </c>
    </row>
    <row r="1742" spans="1:21">
      <c r="A1742" s="56"/>
      <c r="B1742" s="56" t="s">
        <v>29</v>
      </c>
      <c r="C1742" s="56" t="s">
        <v>7223</v>
      </c>
      <c r="D1742" s="56" t="s">
        <v>388</v>
      </c>
      <c r="E1742" s="56" t="s">
        <v>2939</v>
      </c>
      <c r="F1742" s="56" t="s">
        <v>7306</v>
      </c>
      <c r="G1742" s="56">
        <v>147</v>
      </c>
      <c r="H1742" s="56">
        <v>76</v>
      </c>
      <c r="I1742" s="56">
        <v>0.51700680272108845</v>
      </c>
      <c r="J1742" s="56" t="s">
        <v>7307</v>
      </c>
      <c r="K1742" s="56" t="s">
        <v>1893</v>
      </c>
      <c r="L1742" s="56" t="s">
        <v>3162</v>
      </c>
      <c r="N1742" s="56" t="s">
        <v>3448</v>
      </c>
      <c r="O1742" t="str">
        <f>_xlfn.XLOOKUP(N1742,'Error-codes'!$C$2:$C$130,'Error-codes'!$B$2:$B$130, "None")</f>
        <v>end of lane open sensor error</v>
      </c>
      <c r="U1742" s="81">
        <f>DATEVALUE(LEFT(F1742,10))</f>
        <v>45008</v>
      </c>
    </row>
    <row r="1743" spans="1:21">
      <c r="A1743" s="56"/>
      <c r="B1743" s="56" t="s">
        <v>29</v>
      </c>
      <c r="C1743" s="56" t="s">
        <v>7223</v>
      </c>
      <c r="D1743" s="56" t="s">
        <v>388</v>
      </c>
      <c r="E1743" s="56" t="s">
        <v>2939</v>
      </c>
      <c r="F1743" s="56" t="s">
        <v>7308</v>
      </c>
      <c r="G1743" s="56">
        <v>147</v>
      </c>
      <c r="H1743" s="56">
        <v>77</v>
      </c>
      <c r="I1743" s="56">
        <v>0.52380952380952384</v>
      </c>
      <c r="J1743" s="56" t="s">
        <v>84</v>
      </c>
      <c r="K1743" s="56" t="s">
        <v>1893</v>
      </c>
      <c r="L1743" s="56" t="s">
        <v>3162</v>
      </c>
      <c r="N1743" s="56" t="s">
        <v>3472</v>
      </c>
      <c r="O1743" t="str">
        <f>_xlfn.XLOOKUP(N1743,'Error-codes'!$C$2:$C$130,'Error-codes'!$B$2:$B$130, "None")</f>
        <v>Excessive slip detected</v>
      </c>
      <c r="U1743" s="81">
        <f>DATEVALUE(LEFT(F1743,10))</f>
        <v>45008</v>
      </c>
    </row>
    <row r="1744" spans="1:21">
      <c r="A1744" s="56"/>
      <c r="B1744" s="56" t="s">
        <v>29</v>
      </c>
      <c r="C1744" s="56" t="s">
        <v>7223</v>
      </c>
      <c r="D1744" s="56" t="s">
        <v>388</v>
      </c>
      <c r="E1744" s="56" t="s">
        <v>2939</v>
      </c>
      <c r="F1744" s="56" t="s">
        <v>7309</v>
      </c>
      <c r="G1744" s="56">
        <v>147</v>
      </c>
      <c r="H1744" s="56">
        <v>79</v>
      </c>
      <c r="I1744" s="56">
        <v>0.5374149659863946</v>
      </c>
      <c r="J1744" s="56" t="s">
        <v>7310</v>
      </c>
      <c r="K1744" s="56" t="s">
        <v>1893</v>
      </c>
      <c r="L1744" s="56" t="s">
        <v>3162</v>
      </c>
      <c r="N1744" s="56" t="s">
        <v>3448</v>
      </c>
      <c r="O1744" t="str">
        <f>_xlfn.XLOOKUP(N1744,'Error-codes'!$C$2:$C$130,'Error-codes'!$B$2:$B$130, "None")</f>
        <v>end of lane open sensor error</v>
      </c>
      <c r="U1744" s="81">
        <f>DATEVALUE(LEFT(F1744,10))</f>
        <v>45008</v>
      </c>
    </row>
    <row r="1745" spans="1:21">
      <c r="A1745" s="56"/>
      <c r="B1745" s="56" t="s">
        <v>29</v>
      </c>
      <c r="C1745" s="56" t="s">
        <v>7223</v>
      </c>
      <c r="D1745" s="56" t="s">
        <v>388</v>
      </c>
      <c r="E1745" s="56" t="s">
        <v>2939</v>
      </c>
      <c r="F1745" s="56" t="s">
        <v>7311</v>
      </c>
      <c r="G1745" s="56">
        <v>147</v>
      </c>
      <c r="H1745" s="56">
        <v>80</v>
      </c>
      <c r="I1745" s="56">
        <v>0.54421768707482998</v>
      </c>
      <c r="J1745" s="56" t="s">
        <v>7312</v>
      </c>
      <c r="K1745" s="56" t="s">
        <v>1893</v>
      </c>
      <c r="L1745" s="56" t="s">
        <v>3162</v>
      </c>
      <c r="N1745" s="56" t="s">
        <v>3448</v>
      </c>
      <c r="O1745" t="str">
        <f>_xlfn.XLOOKUP(N1745,'Error-codes'!$C$2:$C$130,'Error-codes'!$B$2:$B$130, "None")</f>
        <v>end of lane open sensor error</v>
      </c>
      <c r="U1745" s="81">
        <f>DATEVALUE(LEFT(F1745,10))</f>
        <v>45008</v>
      </c>
    </row>
    <row r="1746" spans="1:21">
      <c r="A1746" s="56"/>
      <c r="B1746" s="56" t="s">
        <v>29</v>
      </c>
      <c r="C1746" s="56" t="s">
        <v>7223</v>
      </c>
      <c r="D1746" s="56" t="s">
        <v>388</v>
      </c>
      <c r="E1746" s="56" t="s">
        <v>2939</v>
      </c>
      <c r="F1746" s="56" t="s">
        <v>7313</v>
      </c>
      <c r="G1746" s="56">
        <v>147</v>
      </c>
      <c r="H1746" s="56">
        <v>81</v>
      </c>
      <c r="I1746" s="56">
        <v>0.55102040816326525</v>
      </c>
      <c r="J1746" s="56" t="s">
        <v>7314</v>
      </c>
      <c r="K1746" s="56" t="s">
        <v>1893</v>
      </c>
      <c r="L1746" s="56" t="s">
        <v>3162</v>
      </c>
      <c r="N1746" s="56" t="s">
        <v>3448</v>
      </c>
      <c r="O1746" t="str">
        <f>_xlfn.XLOOKUP(N1746,'Error-codes'!$C$2:$C$130,'Error-codes'!$B$2:$B$130, "None")</f>
        <v>end of lane open sensor error</v>
      </c>
      <c r="U1746" s="81">
        <f>DATEVALUE(LEFT(F1746,10))</f>
        <v>45008</v>
      </c>
    </row>
    <row r="1747" spans="1:21">
      <c r="A1747" s="56"/>
      <c r="B1747" s="56" t="s">
        <v>29</v>
      </c>
      <c r="C1747" s="56" t="s">
        <v>7223</v>
      </c>
      <c r="D1747" s="56" t="s">
        <v>388</v>
      </c>
      <c r="E1747" s="56" t="s">
        <v>2939</v>
      </c>
      <c r="F1747" s="56" t="s">
        <v>7315</v>
      </c>
      <c r="G1747" s="56">
        <v>147</v>
      </c>
      <c r="H1747" s="56">
        <v>82</v>
      </c>
      <c r="I1747" s="56">
        <v>0.55782312925170063</v>
      </c>
      <c r="J1747" s="56" t="s">
        <v>7316</v>
      </c>
      <c r="K1747" s="56" t="s">
        <v>1893</v>
      </c>
      <c r="L1747" s="56" t="s">
        <v>3162</v>
      </c>
      <c r="N1747" s="56" t="s">
        <v>3448</v>
      </c>
      <c r="O1747" t="str">
        <f>_xlfn.XLOOKUP(N1747,'Error-codes'!$C$2:$C$130,'Error-codes'!$B$2:$B$130, "None")</f>
        <v>end of lane open sensor error</v>
      </c>
      <c r="U1747" s="81">
        <f>DATEVALUE(LEFT(F1747,10))</f>
        <v>45008</v>
      </c>
    </row>
    <row r="1748" spans="1:21">
      <c r="A1748" s="56"/>
      <c r="B1748" s="56" t="s">
        <v>29</v>
      </c>
      <c r="C1748" s="56" t="s">
        <v>7223</v>
      </c>
      <c r="D1748" s="56" t="s">
        <v>388</v>
      </c>
      <c r="E1748" s="56" t="s">
        <v>2939</v>
      </c>
      <c r="F1748" s="56" t="s">
        <v>7317</v>
      </c>
      <c r="G1748" s="56">
        <v>147</v>
      </c>
      <c r="H1748" s="56">
        <v>83</v>
      </c>
      <c r="I1748" s="56">
        <v>0.56462585034013602</v>
      </c>
      <c r="J1748" s="56" t="s">
        <v>1655</v>
      </c>
      <c r="K1748" s="56" t="s">
        <v>1893</v>
      </c>
      <c r="L1748" s="56" t="s">
        <v>3162</v>
      </c>
      <c r="N1748" s="56" t="s">
        <v>3448</v>
      </c>
      <c r="O1748" t="str">
        <f>_xlfn.XLOOKUP(N1748,'Error-codes'!$C$2:$C$130,'Error-codes'!$B$2:$B$130, "None")</f>
        <v>end of lane open sensor error</v>
      </c>
      <c r="U1748" s="81">
        <f>DATEVALUE(LEFT(F1748,10))</f>
        <v>45008</v>
      </c>
    </row>
    <row r="1749" spans="1:21">
      <c r="A1749" s="56"/>
      <c r="B1749" s="56" t="s">
        <v>29</v>
      </c>
      <c r="C1749" s="56" t="s">
        <v>7223</v>
      </c>
      <c r="D1749" s="56" t="s">
        <v>388</v>
      </c>
      <c r="E1749" s="56" t="s">
        <v>2939</v>
      </c>
      <c r="F1749" s="56" t="s">
        <v>7318</v>
      </c>
      <c r="G1749" s="56">
        <v>147</v>
      </c>
      <c r="H1749" s="56">
        <v>84</v>
      </c>
      <c r="I1749" s="56">
        <v>0.5714285714285714</v>
      </c>
      <c r="J1749" s="56" t="s">
        <v>3315</v>
      </c>
      <c r="K1749" s="56" t="s">
        <v>1893</v>
      </c>
      <c r="L1749" s="56" t="s">
        <v>3162</v>
      </c>
      <c r="N1749" s="56" t="s">
        <v>3448</v>
      </c>
      <c r="O1749" t="str">
        <f>_xlfn.XLOOKUP(N1749,'Error-codes'!$C$2:$C$130,'Error-codes'!$B$2:$B$130, "None")</f>
        <v>end of lane open sensor error</v>
      </c>
      <c r="U1749" s="81">
        <f>DATEVALUE(LEFT(F1749,10))</f>
        <v>45008</v>
      </c>
    </row>
    <row r="1750" spans="1:21">
      <c r="A1750" s="56"/>
      <c r="B1750" s="56" t="s">
        <v>29</v>
      </c>
      <c r="C1750" s="56" t="s">
        <v>7223</v>
      </c>
      <c r="D1750" s="56" t="s">
        <v>388</v>
      </c>
      <c r="E1750" s="56" t="s">
        <v>2939</v>
      </c>
      <c r="F1750" s="56" t="s">
        <v>7319</v>
      </c>
      <c r="G1750" s="56">
        <v>147</v>
      </c>
      <c r="H1750" s="56">
        <v>86</v>
      </c>
      <c r="I1750" s="56">
        <v>0.58503401360544216</v>
      </c>
      <c r="J1750" s="56" t="s">
        <v>7320</v>
      </c>
      <c r="K1750" s="56" t="s">
        <v>1893</v>
      </c>
      <c r="L1750" s="56" t="s">
        <v>3162</v>
      </c>
      <c r="N1750" s="56" t="s">
        <v>3448</v>
      </c>
      <c r="O1750" t="str">
        <f>_xlfn.XLOOKUP(N1750,'Error-codes'!$C$2:$C$130,'Error-codes'!$B$2:$B$130, "None")</f>
        <v>end of lane open sensor error</v>
      </c>
      <c r="U1750" s="81">
        <f>DATEVALUE(LEFT(F1750,10))</f>
        <v>45008</v>
      </c>
    </row>
    <row r="1751" spans="1:21">
      <c r="A1751" s="56"/>
      <c r="B1751" s="56" t="s">
        <v>29</v>
      </c>
      <c r="C1751" s="56" t="s">
        <v>7223</v>
      </c>
      <c r="D1751" s="56" t="s">
        <v>388</v>
      </c>
      <c r="E1751" s="56" t="s">
        <v>2939</v>
      </c>
      <c r="F1751" s="56" t="s">
        <v>7321</v>
      </c>
      <c r="G1751" s="56">
        <v>147</v>
      </c>
      <c r="H1751" s="56">
        <v>87</v>
      </c>
      <c r="I1751" s="56">
        <v>0.59183673469387754</v>
      </c>
      <c r="J1751" s="56" t="s">
        <v>7322</v>
      </c>
      <c r="K1751" s="56" t="s">
        <v>1893</v>
      </c>
      <c r="L1751" s="56" t="s">
        <v>3162</v>
      </c>
      <c r="N1751" s="56" t="s">
        <v>3448</v>
      </c>
      <c r="O1751" t="str">
        <f>_xlfn.XLOOKUP(N1751,'Error-codes'!$C$2:$C$130,'Error-codes'!$B$2:$B$130, "None")</f>
        <v>end of lane open sensor error</v>
      </c>
      <c r="U1751" s="81">
        <f>DATEVALUE(LEFT(F1751,10))</f>
        <v>45008</v>
      </c>
    </row>
    <row r="1752" spans="1:21">
      <c r="A1752" s="56"/>
      <c r="B1752" s="56" t="s">
        <v>29</v>
      </c>
      <c r="C1752" s="56" t="s">
        <v>7223</v>
      </c>
      <c r="D1752" s="56" t="s">
        <v>388</v>
      </c>
      <c r="E1752" s="56" t="s">
        <v>2939</v>
      </c>
      <c r="F1752" s="56" t="s">
        <v>7323</v>
      </c>
      <c r="G1752" s="56">
        <v>147</v>
      </c>
      <c r="H1752" s="56">
        <v>88</v>
      </c>
      <c r="I1752" s="56">
        <v>0.59863945578231292</v>
      </c>
      <c r="J1752" s="56" t="s">
        <v>7324</v>
      </c>
      <c r="K1752" s="56" t="s">
        <v>1893</v>
      </c>
      <c r="L1752" s="56" t="s">
        <v>3162</v>
      </c>
      <c r="N1752" s="56" t="s">
        <v>3448</v>
      </c>
      <c r="O1752" t="str">
        <f>_xlfn.XLOOKUP(N1752,'Error-codes'!$C$2:$C$130,'Error-codes'!$B$2:$B$130, "None")</f>
        <v>end of lane open sensor error</v>
      </c>
      <c r="U1752" s="81">
        <f>DATEVALUE(LEFT(F1752,10))</f>
        <v>45008</v>
      </c>
    </row>
    <row r="1753" spans="1:21">
      <c r="A1753" s="56"/>
      <c r="B1753" s="56" t="s">
        <v>29</v>
      </c>
      <c r="C1753" s="56" t="s">
        <v>7223</v>
      </c>
      <c r="D1753" s="56" t="s">
        <v>388</v>
      </c>
      <c r="E1753" s="56" t="s">
        <v>2939</v>
      </c>
      <c r="F1753" s="56" t="s">
        <v>7325</v>
      </c>
      <c r="G1753" s="56">
        <v>147</v>
      </c>
      <c r="H1753" s="56">
        <v>89</v>
      </c>
      <c r="I1753" s="56">
        <v>0.60544217687074831</v>
      </c>
      <c r="J1753" s="56" t="s">
        <v>7326</v>
      </c>
      <c r="K1753" s="56" t="s">
        <v>1893</v>
      </c>
      <c r="L1753" s="56" t="s">
        <v>3162</v>
      </c>
      <c r="N1753" s="56" t="s">
        <v>3448</v>
      </c>
      <c r="O1753" t="str">
        <f>_xlfn.XLOOKUP(N1753,'Error-codes'!$C$2:$C$130,'Error-codes'!$B$2:$B$130, "None")</f>
        <v>end of lane open sensor error</v>
      </c>
      <c r="U1753" s="81">
        <f>DATEVALUE(LEFT(F1753,10))</f>
        <v>45008</v>
      </c>
    </row>
    <row r="1754" spans="1:21">
      <c r="A1754" s="56"/>
      <c r="B1754" s="56" t="s">
        <v>29</v>
      </c>
      <c r="C1754" s="56" t="s">
        <v>7223</v>
      </c>
      <c r="D1754" s="56" t="s">
        <v>388</v>
      </c>
      <c r="E1754" s="56" t="s">
        <v>2939</v>
      </c>
      <c r="F1754" s="56" t="s">
        <v>7327</v>
      </c>
      <c r="G1754" s="56">
        <v>147</v>
      </c>
      <c r="H1754" s="56">
        <v>90</v>
      </c>
      <c r="I1754" s="56">
        <v>0.61224489795918369</v>
      </c>
      <c r="J1754" s="56" t="s">
        <v>1640</v>
      </c>
      <c r="K1754" s="56" t="s">
        <v>1893</v>
      </c>
      <c r="L1754" s="56" t="s">
        <v>3162</v>
      </c>
      <c r="N1754" s="56" t="s">
        <v>3448</v>
      </c>
      <c r="O1754" t="str">
        <f>_xlfn.XLOOKUP(N1754,'Error-codes'!$C$2:$C$130,'Error-codes'!$B$2:$B$130, "None")</f>
        <v>end of lane open sensor error</v>
      </c>
      <c r="U1754" s="81">
        <f>DATEVALUE(LEFT(F1754,10))</f>
        <v>45008</v>
      </c>
    </row>
    <row r="1755" spans="1:21">
      <c r="A1755" s="56"/>
      <c r="B1755" s="56" t="s">
        <v>29</v>
      </c>
      <c r="C1755" s="56" t="s">
        <v>7223</v>
      </c>
      <c r="D1755" s="56" t="s">
        <v>388</v>
      </c>
      <c r="E1755" s="56" t="s">
        <v>2939</v>
      </c>
      <c r="F1755" s="56" t="s">
        <v>7328</v>
      </c>
      <c r="G1755" s="56">
        <v>147</v>
      </c>
      <c r="H1755" s="56">
        <v>91</v>
      </c>
      <c r="I1755" s="56">
        <v>0.61904761904761907</v>
      </c>
      <c r="J1755" s="56" t="s">
        <v>1717</v>
      </c>
      <c r="K1755" s="56" t="s">
        <v>1893</v>
      </c>
      <c r="L1755" s="56" t="s">
        <v>3162</v>
      </c>
      <c r="N1755" s="56" t="s">
        <v>3448</v>
      </c>
      <c r="O1755" t="str">
        <f>_xlfn.XLOOKUP(N1755,'Error-codes'!$C$2:$C$130,'Error-codes'!$B$2:$B$130, "None")</f>
        <v>end of lane open sensor error</v>
      </c>
      <c r="U1755" s="81">
        <f>DATEVALUE(LEFT(F1755,10))</f>
        <v>45008</v>
      </c>
    </row>
    <row r="1756" spans="1:21">
      <c r="A1756" s="56"/>
      <c r="B1756" s="56" t="s">
        <v>29</v>
      </c>
      <c r="C1756" s="56" t="s">
        <v>7223</v>
      </c>
      <c r="D1756" s="56" t="s">
        <v>388</v>
      </c>
      <c r="E1756" s="56" t="s">
        <v>2939</v>
      </c>
      <c r="F1756" s="56" t="s">
        <v>7329</v>
      </c>
      <c r="G1756" s="56">
        <v>147</v>
      </c>
      <c r="H1756" s="56">
        <v>93</v>
      </c>
      <c r="I1756" s="56">
        <v>0.63265306122448983</v>
      </c>
      <c r="J1756" s="56" t="s">
        <v>7330</v>
      </c>
      <c r="K1756" s="56" t="s">
        <v>1893</v>
      </c>
      <c r="L1756" s="56" t="s">
        <v>3162</v>
      </c>
      <c r="N1756" s="56" t="s">
        <v>3448</v>
      </c>
      <c r="O1756" t="str">
        <f>_xlfn.XLOOKUP(N1756,'Error-codes'!$C$2:$C$130,'Error-codes'!$B$2:$B$130, "None")</f>
        <v>end of lane open sensor error</v>
      </c>
      <c r="U1756" s="81">
        <f>DATEVALUE(LEFT(F1756,10))</f>
        <v>45008</v>
      </c>
    </row>
    <row r="1757" spans="1:21">
      <c r="A1757" s="56"/>
      <c r="B1757" s="56" t="s">
        <v>29</v>
      </c>
      <c r="C1757" s="56" t="s">
        <v>7223</v>
      </c>
      <c r="D1757" s="56" t="s">
        <v>388</v>
      </c>
      <c r="E1757" s="56" t="s">
        <v>2939</v>
      </c>
      <c r="F1757" s="56" t="s">
        <v>7331</v>
      </c>
      <c r="G1757" s="56">
        <v>147</v>
      </c>
      <c r="H1757" s="56">
        <v>94</v>
      </c>
      <c r="I1757" s="56">
        <v>0.63945578231292521</v>
      </c>
      <c r="J1757" s="56" t="s">
        <v>7332</v>
      </c>
      <c r="K1757" s="56" t="s">
        <v>1893</v>
      </c>
      <c r="L1757" s="56" t="s">
        <v>3162</v>
      </c>
      <c r="N1757" s="56" t="s">
        <v>3448</v>
      </c>
      <c r="O1757" t="str">
        <f>_xlfn.XLOOKUP(N1757,'Error-codes'!$C$2:$C$130,'Error-codes'!$B$2:$B$130, "None")</f>
        <v>end of lane open sensor error</v>
      </c>
      <c r="U1757" s="81">
        <f>DATEVALUE(LEFT(F1757,10))</f>
        <v>45008</v>
      </c>
    </row>
    <row r="1758" spans="1:21">
      <c r="A1758" s="56"/>
      <c r="B1758" s="56" t="s">
        <v>29</v>
      </c>
      <c r="C1758" s="56" t="s">
        <v>7223</v>
      </c>
      <c r="D1758" s="56" t="s">
        <v>388</v>
      </c>
      <c r="E1758" s="56" t="s">
        <v>2939</v>
      </c>
      <c r="F1758" s="56" t="s">
        <v>7333</v>
      </c>
      <c r="G1758" s="56">
        <v>147</v>
      </c>
      <c r="H1758" s="56">
        <v>95</v>
      </c>
      <c r="I1758" s="56">
        <v>0.6462585034013606</v>
      </c>
      <c r="J1758" s="56" t="s">
        <v>7334</v>
      </c>
      <c r="K1758" s="56" t="s">
        <v>1893</v>
      </c>
      <c r="L1758" s="56" t="s">
        <v>3162</v>
      </c>
      <c r="N1758" s="56" t="s">
        <v>3448</v>
      </c>
      <c r="O1758" t="str">
        <f>_xlfn.XLOOKUP(N1758,'Error-codes'!$C$2:$C$130,'Error-codes'!$B$2:$B$130, "None")</f>
        <v>end of lane open sensor error</v>
      </c>
      <c r="U1758" s="81">
        <f>DATEVALUE(LEFT(F1758,10))</f>
        <v>45008</v>
      </c>
    </row>
    <row r="1759" spans="1:21">
      <c r="A1759" s="56"/>
      <c r="B1759" s="56" t="s">
        <v>29</v>
      </c>
      <c r="C1759" s="56" t="s">
        <v>7223</v>
      </c>
      <c r="D1759" s="56" t="s">
        <v>388</v>
      </c>
      <c r="E1759" s="56" t="s">
        <v>2939</v>
      </c>
      <c r="F1759" s="56" t="s">
        <v>7335</v>
      </c>
      <c r="G1759" s="56">
        <v>147</v>
      </c>
      <c r="H1759" s="56">
        <v>96</v>
      </c>
      <c r="I1759" s="56">
        <v>0.65306122448979587</v>
      </c>
      <c r="J1759" s="56" t="s">
        <v>7336</v>
      </c>
      <c r="K1759" s="56" t="s">
        <v>1893</v>
      </c>
      <c r="L1759" s="56" t="s">
        <v>3162</v>
      </c>
      <c r="N1759" s="56" t="s">
        <v>3448</v>
      </c>
      <c r="O1759" t="str">
        <f>_xlfn.XLOOKUP(N1759,'Error-codes'!$C$2:$C$130,'Error-codes'!$B$2:$B$130, "None")</f>
        <v>end of lane open sensor error</v>
      </c>
      <c r="U1759" s="81">
        <f>DATEVALUE(LEFT(F1759,10))</f>
        <v>45008</v>
      </c>
    </row>
    <row r="1760" spans="1:21">
      <c r="A1760" s="56"/>
      <c r="B1760" s="56" t="s">
        <v>29</v>
      </c>
      <c r="C1760" s="56" t="s">
        <v>7223</v>
      </c>
      <c r="D1760" s="56" t="s">
        <v>388</v>
      </c>
      <c r="E1760" s="56" t="s">
        <v>2939</v>
      </c>
      <c r="F1760" s="56" t="s">
        <v>7337</v>
      </c>
      <c r="G1760" s="56">
        <v>147</v>
      </c>
      <c r="H1760" s="56">
        <v>97</v>
      </c>
      <c r="I1760" s="56">
        <v>0.65986394557823125</v>
      </c>
      <c r="J1760" s="56" t="s">
        <v>7338</v>
      </c>
      <c r="K1760" s="56" t="s">
        <v>1893</v>
      </c>
      <c r="L1760" s="56" t="s">
        <v>3162</v>
      </c>
      <c r="N1760" s="56" t="s">
        <v>3448</v>
      </c>
      <c r="O1760" t="str">
        <f>_xlfn.XLOOKUP(N1760,'Error-codes'!$C$2:$C$130,'Error-codes'!$B$2:$B$130, "None")</f>
        <v>end of lane open sensor error</v>
      </c>
      <c r="U1760" s="81">
        <f>DATEVALUE(LEFT(F1760,10))</f>
        <v>45008</v>
      </c>
    </row>
    <row r="1761" spans="1:21">
      <c r="A1761" s="56"/>
      <c r="B1761" s="56" t="s">
        <v>29</v>
      </c>
      <c r="C1761" s="56" t="s">
        <v>7223</v>
      </c>
      <c r="D1761" s="56" t="s">
        <v>388</v>
      </c>
      <c r="E1761" s="56" t="s">
        <v>2939</v>
      </c>
      <c r="F1761" s="56" t="s">
        <v>7339</v>
      </c>
      <c r="G1761" s="56">
        <v>147</v>
      </c>
      <c r="H1761" s="56">
        <v>98</v>
      </c>
      <c r="I1761" s="56">
        <v>0.66666666666666663</v>
      </c>
      <c r="J1761" s="56" t="s">
        <v>1546</v>
      </c>
      <c r="K1761" s="56" t="s">
        <v>1893</v>
      </c>
      <c r="L1761" s="56" t="s">
        <v>3162</v>
      </c>
      <c r="N1761" s="56" t="s">
        <v>3448</v>
      </c>
      <c r="O1761" t="str">
        <f>_xlfn.XLOOKUP(N1761,'Error-codes'!$C$2:$C$130,'Error-codes'!$B$2:$B$130, "None")</f>
        <v>end of lane open sensor error</v>
      </c>
      <c r="U1761" s="81">
        <f>DATEVALUE(LEFT(F1761,10))</f>
        <v>45008</v>
      </c>
    </row>
    <row r="1762" spans="1:21">
      <c r="A1762" s="56"/>
      <c r="B1762" s="56" t="s">
        <v>29</v>
      </c>
      <c r="C1762" s="56" t="s">
        <v>7223</v>
      </c>
      <c r="D1762" s="56" t="s">
        <v>388</v>
      </c>
      <c r="E1762" s="56" t="s">
        <v>2939</v>
      </c>
      <c r="F1762" s="56" t="s">
        <v>7340</v>
      </c>
      <c r="G1762" s="56">
        <v>147</v>
      </c>
      <c r="H1762" s="56">
        <v>100</v>
      </c>
      <c r="I1762" s="56">
        <v>0.68027210884353739</v>
      </c>
      <c r="J1762" s="56" t="s">
        <v>7341</v>
      </c>
      <c r="K1762" s="56" t="s">
        <v>1893</v>
      </c>
      <c r="L1762" s="56" t="s">
        <v>3162</v>
      </c>
      <c r="N1762" s="56" t="s">
        <v>3448</v>
      </c>
      <c r="O1762" t="str">
        <f>_xlfn.XLOOKUP(N1762,'Error-codes'!$C$2:$C$130,'Error-codes'!$B$2:$B$130, "None")</f>
        <v>end of lane open sensor error</v>
      </c>
      <c r="U1762" s="81">
        <f>DATEVALUE(LEFT(F1762,10))</f>
        <v>45009</v>
      </c>
    </row>
    <row r="1763" spans="1:21">
      <c r="A1763" s="56"/>
      <c r="B1763" s="56" t="s">
        <v>29</v>
      </c>
      <c r="C1763" s="56" t="s">
        <v>7223</v>
      </c>
      <c r="D1763" s="56" t="s">
        <v>388</v>
      </c>
      <c r="E1763" s="56" t="s">
        <v>2939</v>
      </c>
      <c r="F1763" s="56" t="s">
        <v>7342</v>
      </c>
      <c r="G1763" s="56">
        <v>147</v>
      </c>
      <c r="H1763" s="56">
        <v>101</v>
      </c>
      <c r="I1763" s="56">
        <v>0.68707482993197277</v>
      </c>
      <c r="J1763" s="56" t="s">
        <v>164</v>
      </c>
      <c r="K1763" s="56" t="s">
        <v>1893</v>
      </c>
      <c r="L1763" s="56" t="s">
        <v>3162</v>
      </c>
      <c r="N1763" s="56" t="s">
        <v>3448</v>
      </c>
      <c r="O1763" t="str">
        <f>_xlfn.XLOOKUP(N1763,'Error-codes'!$C$2:$C$130,'Error-codes'!$B$2:$B$130, "None")</f>
        <v>end of lane open sensor error</v>
      </c>
      <c r="U1763" s="81">
        <f>DATEVALUE(LEFT(F1763,10))</f>
        <v>45009</v>
      </c>
    </row>
    <row r="1764" spans="1:21">
      <c r="A1764" s="56"/>
      <c r="B1764" s="56" t="s">
        <v>29</v>
      </c>
      <c r="C1764" s="56" t="s">
        <v>7223</v>
      </c>
      <c r="D1764" s="56" t="s">
        <v>388</v>
      </c>
      <c r="E1764" s="56" t="s">
        <v>2939</v>
      </c>
      <c r="F1764" s="56" t="s">
        <v>7343</v>
      </c>
      <c r="G1764" s="56">
        <v>147</v>
      </c>
      <c r="H1764" s="56">
        <v>102</v>
      </c>
      <c r="I1764" s="56">
        <v>0.69387755102040816</v>
      </c>
      <c r="J1764" s="56" t="s">
        <v>7344</v>
      </c>
      <c r="K1764" s="56" t="s">
        <v>1893</v>
      </c>
      <c r="L1764" s="56" t="s">
        <v>3162</v>
      </c>
      <c r="N1764" s="56" t="s">
        <v>3448</v>
      </c>
      <c r="O1764" t="str">
        <f>_xlfn.XLOOKUP(N1764,'Error-codes'!$C$2:$C$130,'Error-codes'!$B$2:$B$130, "None")</f>
        <v>end of lane open sensor error</v>
      </c>
      <c r="U1764" s="81">
        <f>DATEVALUE(LEFT(F1764,10))</f>
        <v>45009</v>
      </c>
    </row>
    <row r="1765" spans="1:21">
      <c r="A1765" s="56"/>
      <c r="B1765" s="56" t="s">
        <v>29</v>
      </c>
      <c r="C1765" s="56" t="s">
        <v>7223</v>
      </c>
      <c r="D1765" s="56" t="s">
        <v>388</v>
      </c>
      <c r="E1765" s="56" t="s">
        <v>2939</v>
      </c>
      <c r="F1765" s="56" t="s">
        <v>7345</v>
      </c>
      <c r="G1765" s="56">
        <v>147</v>
      </c>
      <c r="H1765" s="56">
        <v>104</v>
      </c>
      <c r="I1765" s="56">
        <v>0.70748299319727892</v>
      </c>
      <c r="J1765" s="56" t="s">
        <v>7346</v>
      </c>
      <c r="K1765" s="56" t="s">
        <v>1893</v>
      </c>
      <c r="L1765" s="56" t="s">
        <v>3162</v>
      </c>
      <c r="N1765" s="56" t="s">
        <v>3448</v>
      </c>
      <c r="O1765" t="str">
        <f>_xlfn.XLOOKUP(N1765,'Error-codes'!$C$2:$C$130,'Error-codes'!$B$2:$B$130, "None")</f>
        <v>end of lane open sensor error</v>
      </c>
      <c r="U1765" s="81">
        <f>DATEVALUE(LEFT(F1765,10))</f>
        <v>45009</v>
      </c>
    </row>
    <row r="1766" spans="1:21">
      <c r="A1766" s="56"/>
      <c r="B1766" s="56" t="s">
        <v>29</v>
      </c>
      <c r="C1766" s="56" t="s">
        <v>7223</v>
      </c>
      <c r="D1766" s="56" t="s">
        <v>388</v>
      </c>
      <c r="E1766" s="56" t="s">
        <v>2939</v>
      </c>
      <c r="F1766" s="56" t="s">
        <v>7347</v>
      </c>
      <c r="G1766" s="56">
        <v>147</v>
      </c>
      <c r="H1766" s="56">
        <v>105</v>
      </c>
      <c r="I1766" s="56">
        <v>0.7142857142857143</v>
      </c>
      <c r="J1766" s="56" t="s">
        <v>7348</v>
      </c>
      <c r="K1766" s="56" t="s">
        <v>1893</v>
      </c>
      <c r="L1766" s="56" t="s">
        <v>3162</v>
      </c>
      <c r="N1766" s="56" t="s">
        <v>3448</v>
      </c>
      <c r="O1766" t="str">
        <f>_xlfn.XLOOKUP(N1766,'Error-codes'!$C$2:$C$130,'Error-codes'!$B$2:$B$130, "None")</f>
        <v>end of lane open sensor error</v>
      </c>
      <c r="U1766" s="81">
        <f>DATEVALUE(LEFT(F1766,10))</f>
        <v>45009</v>
      </c>
    </row>
    <row r="1767" spans="1:21">
      <c r="A1767" s="56"/>
      <c r="B1767" s="56" t="s">
        <v>29</v>
      </c>
      <c r="C1767" s="56" t="s">
        <v>7223</v>
      </c>
      <c r="D1767" s="56" t="s">
        <v>388</v>
      </c>
      <c r="E1767" s="56" t="s">
        <v>2939</v>
      </c>
      <c r="F1767" s="56" t="s">
        <v>7349</v>
      </c>
      <c r="G1767" s="56">
        <v>147</v>
      </c>
      <c r="H1767" s="56">
        <v>107</v>
      </c>
      <c r="I1767" s="56">
        <v>0.72789115646258506</v>
      </c>
      <c r="J1767" s="56" t="s">
        <v>7350</v>
      </c>
      <c r="K1767" s="56" t="s">
        <v>1893</v>
      </c>
      <c r="L1767" s="56" t="s">
        <v>3162</v>
      </c>
      <c r="N1767" s="56" t="s">
        <v>3448</v>
      </c>
      <c r="O1767" t="str">
        <f>_xlfn.XLOOKUP(N1767,'Error-codes'!$C$2:$C$130,'Error-codes'!$B$2:$B$130, "None")</f>
        <v>end of lane open sensor error</v>
      </c>
      <c r="U1767" s="81">
        <f>DATEVALUE(LEFT(F1767,10))</f>
        <v>45009</v>
      </c>
    </row>
    <row r="1768" spans="1:21">
      <c r="A1768" s="56"/>
      <c r="B1768" s="56" t="s">
        <v>29</v>
      </c>
      <c r="C1768" s="56" t="s">
        <v>7223</v>
      </c>
      <c r="D1768" s="56" t="s">
        <v>388</v>
      </c>
      <c r="E1768" s="56" t="s">
        <v>2939</v>
      </c>
      <c r="F1768" s="56" t="s">
        <v>7351</v>
      </c>
      <c r="G1768" s="56">
        <v>147</v>
      </c>
      <c r="H1768" s="56">
        <v>108</v>
      </c>
      <c r="I1768" s="56">
        <v>0.73469387755102045</v>
      </c>
      <c r="J1768" s="56" t="s">
        <v>5000</v>
      </c>
      <c r="K1768" s="56" t="s">
        <v>1893</v>
      </c>
      <c r="L1768" s="56" t="s">
        <v>3162</v>
      </c>
      <c r="N1768" s="56" t="s">
        <v>3444</v>
      </c>
      <c r="O1768" t="str">
        <f>_xlfn.XLOOKUP(N1768,'Error-codes'!$C$2:$C$130,'Error-codes'!$B$2:$B$130, "None")</f>
        <v>collision detected in operational state for the 4th time in a row</v>
      </c>
      <c r="U1768" s="81">
        <f>DATEVALUE(LEFT(F1768,10))</f>
        <v>45009</v>
      </c>
    </row>
    <row r="1769" spans="1:21">
      <c r="A1769" s="56"/>
      <c r="B1769" s="56" t="s">
        <v>29</v>
      </c>
      <c r="C1769" s="56" t="s">
        <v>7223</v>
      </c>
      <c r="D1769" s="56" t="s">
        <v>388</v>
      </c>
      <c r="E1769" s="56" t="s">
        <v>2939</v>
      </c>
      <c r="F1769" s="56" t="s">
        <v>7352</v>
      </c>
      <c r="G1769" s="56">
        <v>147</v>
      </c>
      <c r="H1769" s="56">
        <v>109</v>
      </c>
      <c r="I1769" s="56">
        <v>0.74149659863945583</v>
      </c>
      <c r="J1769" s="56" t="s">
        <v>98</v>
      </c>
      <c r="K1769" s="56" t="s">
        <v>1893</v>
      </c>
      <c r="L1769" s="56" t="s">
        <v>3162</v>
      </c>
      <c r="N1769" s="56" t="s">
        <v>3448</v>
      </c>
      <c r="O1769" t="str">
        <f>_xlfn.XLOOKUP(N1769,'Error-codes'!$C$2:$C$130,'Error-codes'!$B$2:$B$130, "None")</f>
        <v>end of lane open sensor error</v>
      </c>
      <c r="U1769" s="81">
        <f>DATEVALUE(LEFT(F1769,10))</f>
        <v>45009</v>
      </c>
    </row>
    <row r="1770" spans="1:21">
      <c r="A1770" s="56"/>
      <c r="B1770" s="56" t="s">
        <v>29</v>
      </c>
      <c r="C1770" s="56" t="s">
        <v>7223</v>
      </c>
      <c r="D1770" s="56" t="s">
        <v>388</v>
      </c>
      <c r="E1770" s="56" t="s">
        <v>2939</v>
      </c>
      <c r="F1770" s="56" t="s">
        <v>7353</v>
      </c>
      <c r="G1770" s="56">
        <v>147</v>
      </c>
      <c r="H1770" s="56">
        <v>110</v>
      </c>
      <c r="I1770" s="56">
        <v>0.74829931972789121</v>
      </c>
      <c r="J1770" s="56" t="s">
        <v>7354</v>
      </c>
      <c r="K1770" s="56" t="s">
        <v>1893</v>
      </c>
      <c r="L1770" s="56" t="s">
        <v>3162</v>
      </c>
      <c r="N1770" s="56" t="s">
        <v>3448</v>
      </c>
      <c r="O1770" t="str">
        <f>_xlfn.XLOOKUP(N1770,'Error-codes'!$C$2:$C$130,'Error-codes'!$B$2:$B$130, "None")</f>
        <v>end of lane open sensor error</v>
      </c>
      <c r="U1770" s="81">
        <f>DATEVALUE(LEFT(F1770,10))</f>
        <v>45009</v>
      </c>
    </row>
    <row r="1771" spans="1:21">
      <c r="A1771" s="56"/>
      <c r="B1771" s="56" t="s">
        <v>29</v>
      </c>
      <c r="C1771" s="56" t="s">
        <v>7223</v>
      </c>
      <c r="D1771" s="56" t="s">
        <v>388</v>
      </c>
      <c r="E1771" s="56" t="s">
        <v>2939</v>
      </c>
      <c r="F1771" s="56" t="s">
        <v>7355</v>
      </c>
      <c r="G1771" s="56">
        <v>147</v>
      </c>
      <c r="H1771" s="56">
        <v>111</v>
      </c>
      <c r="I1771" s="56">
        <v>0.75510204081632648</v>
      </c>
      <c r="J1771" s="56" t="s">
        <v>7356</v>
      </c>
      <c r="K1771" s="56" t="s">
        <v>1893</v>
      </c>
      <c r="L1771" s="56" t="s">
        <v>3162</v>
      </c>
      <c r="N1771" s="56" t="s">
        <v>3426</v>
      </c>
      <c r="O1771" t="str">
        <f>_xlfn.XLOOKUP(N1771,'Error-codes'!$C$2:$C$130,'Error-codes'!$B$2:$B$130, "None")</f>
        <v>low level fsm is no longer executing the given command</v>
      </c>
      <c r="U1771" s="81">
        <f>DATEVALUE(LEFT(F1771,10))</f>
        <v>45009</v>
      </c>
    </row>
    <row r="1772" spans="1:21">
      <c r="A1772" s="56"/>
      <c r="B1772" s="56" t="s">
        <v>29</v>
      </c>
      <c r="C1772" s="56" t="s">
        <v>7223</v>
      </c>
      <c r="D1772" s="56" t="s">
        <v>388</v>
      </c>
      <c r="E1772" s="56" t="s">
        <v>2939</v>
      </c>
      <c r="F1772" s="56" t="s">
        <v>7357</v>
      </c>
      <c r="G1772" s="56">
        <v>147</v>
      </c>
      <c r="H1772" s="56">
        <v>112</v>
      </c>
      <c r="I1772" s="56">
        <v>0.76190476190476186</v>
      </c>
      <c r="J1772" s="56" t="s">
        <v>88</v>
      </c>
      <c r="K1772" s="56" t="s">
        <v>1893</v>
      </c>
      <c r="L1772" s="56" t="s">
        <v>3162</v>
      </c>
      <c r="N1772" s="56" t="s">
        <v>3448</v>
      </c>
      <c r="O1772" t="str">
        <f>_xlfn.XLOOKUP(N1772,'Error-codes'!$C$2:$C$130,'Error-codes'!$B$2:$B$130, "None")</f>
        <v>end of lane open sensor error</v>
      </c>
      <c r="U1772" s="81">
        <f>DATEVALUE(LEFT(F1772,10))</f>
        <v>45009</v>
      </c>
    </row>
    <row r="1773" spans="1:21">
      <c r="A1773" s="56"/>
      <c r="B1773" s="56" t="s">
        <v>29</v>
      </c>
      <c r="C1773" s="56" t="s">
        <v>7223</v>
      </c>
      <c r="D1773" s="56" t="s">
        <v>388</v>
      </c>
      <c r="E1773" s="56" t="s">
        <v>2939</v>
      </c>
      <c r="F1773" s="56" t="s">
        <v>7358</v>
      </c>
      <c r="G1773" s="56">
        <v>147</v>
      </c>
      <c r="H1773" s="56">
        <v>114</v>
      </c>
      <c r="I1773" s="56">
        <v>0.77551020408163263</v>
      </c>
      <c r="J1773" s="56" t="s">
        <v>102</v>
      </c>
      <c r="K1773" s="56" t="s">
        <v>1893</v>
      </c>
      <c r="L1773" s="56" t="s">
        <v>3162</v>
      </c>
      <c r="N1773" s="56" t="s">
        <v>3448</v>
      </c>
      <c r="O1773" t="str">
        <f>_xlfn.XLOOKUP(N1773,'Error-codes'!$C$2:$C$130,'Error-codes'!$B$2:$B$130, "None")</f>
        <v>end of lane open sensor error</v>
      </c>
      <c r="U1773" s="81">
        <f>DATEVALUE(LEFT(F1773,10))</f>
        <v>45009</v>
      </c>
    </row>
    <row r="1774" spans="1:21">
      <c r="A1774" s="56"/>
      <c r="B1774" s="56" t="s">
        <v>29</v>
      </c>
      <c r="C1774" s="56" t="s">
        <v>7223</v>
      </c>
      <c r="D1774" s="56" t="s">
        <v>388</v>
      </c>
      <c r="E1774" s="56" t="s">
        <v>2939</v>
      </c>
      <c r="F1774" s="56" t="s">
        <v>7359</v>
      </c>
      <c r="G1774" s="56">
        <v>147</v>
      </c>
      <c r="H1774" s="56">
        <v>115</v>
      </c>
      <c r="I1774" s="56">
        <v>0.78231292517006801</v>
      </c>
      <c r="J1774" s="56" t="s">
        <v>7360</v>
      </c>
      <c r="K1774" s="56" t="s">
        <v>1893</v>
      </c>
      <c r="L1774" s="56" t="s">
        <v>3162</v>
      </c>
      <c r="N1774" s="56" t="s">
        <v>3448</v>
      </c>
      <c r="O1774" t="str">
        <f>_xlfn.XLOOKUP(N1774,'Error-codes'!$C$2:$C$130,'Error-codes'!$B$2:$B$130, "None")</f>
        <v>end of lane open sensor error</v>
      </c>
      <c r="U1774" s="81">
        <f>DATEVALUE(LEFT(F1774,10))</f>
        <v>45009</v>
      </c>
    </row>
    <row r="1775" spans="1:21">
      <c r="A1775" s="56"/>
      <c r="B1775" s="56" t="s">
        <v>29</v>
      </c>
      <c r="C1775" s="56" t="s">
        <v>7223</v>
      </c>
      <c r="D1775" s="56" t="s">
        <v>388</v>
      </c>
      <c r="E1775" s="56" t="s">
        <v>2939</v>
      </c>
      <c r="F1775" s="56" t="s">
        <v>7361</v>
      </c>
      <c r="G1775" s="56">
        <v>147</v>
      </c>
      <c r="H1775" s="56">
        <v>116</v>
      </c>
      <c r="I1775" s="56">
        <v>0.78911564625850339</v>
      </c>
      <c r="J1775" s="56" t="s">
        <v>7362</v>
      </c>
      <c r="K1775" s="56" t="s">
        <v>1893</v>
      </c>
      <c r="L1775" s="56" t="s">
        <v>3162</v>
      </c>
      <c r="N1775" s="56" t="s">
        <v>3448</v>
      </c>
      <c r="O1775" t="str">
        <f>_xlfn.XLOOKUP(N1775,'Error-codes'!$C$2:$C$130,'Error-codes'!$B$2:$B$130, "None")</f>
        <v>end of lane open sensor error</v>
      </c>
      <c r="U1775" s="81">
        <f>DATEVALUE(LEFT(F1775,10))</f>
        <v>45009</v>
      </c>
    </row>
    <row r="1776" spans="1:21">
      <c r="A1776" s="56"/>
      <c r="B1776" s="56" t="s">
        <v>29</v>
      </c>
      <c r="C1776" s="56" t="s">
        <v>7223</v>
      </c>
      <c r="D1776" s="56" t="s">
        <v>388</v>
      </c>
      <c r="E1776" s="56" t="s">
        <v>2939</v>
      </c>
      <c r="F1776" s="56" t="s">
        <v>7363</v>
      </c>
      <c r="G1776" s="56">
        <v>147</v>
      </c>
      <c r="H1776" s="56">
        <v>117</v>
      </c>
      <c r="I1776" s="56">
        <v>0.79591836734693877</v>
      </c>
      <c r="J1776" s="56" t="s">
        <v>7364</v>
      </c>
      <c r="K1776" s="56" t="s">
        <v>1893</v>
      </c>
      <c r="L1776" s="56" t="s">
        <v>3162</v>
      </c>
      <c r="N1776" s="56" t="s">
        <v>3448</v>
      </c>
      <c r="O1776" t="str">
        <f>_xlfn.XLOOKUP(N1776,'Error-codes'!$C$2:$C$130,'Error-codes'!$B$2:$B$130, "None")</f>
        <v>end of lane open sensor error</v>
      </c>
      <c r="U1776" s="81">
        <f>DATEVALUE(LEFT(F1776,10))</f>
        <v>45009</v>
      </c>
    </row>
    <row r="1777" spans="1:21">
      <c r="A1777" s="56"/>
      <c r="B1777" s="56" t="s">
        <v>29</v>
      </c>
      <c r="C1777" s="56" t="s">
        <v>7223</v>
      </c>
      <c r="D1777" s="56" t="s">
        <v>388</v>
      </c>
      <c r="E1777" s="56" t="s">
        <v>2939</v>
      </c>
      <c r="F1777" s="56" t="s">
        <v>7365</v>
      </c>
      <c r="G1777" s="56">
        <v>147</v>
      </c>
      <c r="H1777" s="56">
        <v>118</v>
      </c>
      <c r="I1777" s="56">
        <v>0.80272108843537415</v>
      </c>
      <c r="J1777" s="56" t="s">
        <v>7366</v>
      </c>
      <c r="K1777" s="56" t="s">
        <v>1893</v>
      </c>
      <c r="L1777" s="56" t="s">
        <v>3162</v>
      </c>
      <c r="N1777" s="56" t="s">
        <v>3448</v>
      </c>
      <c r="O1777" t="str">
        <f>_xlfn.XLOOKUP(N1777,'Error-codes'!$C$2:$C$130,'Error-codes'!$B$2:$B$130, "None")</f>
        <v>end of lane open sensor error</v>
      </c>
      <c r="U1777" s="81">
        <f>DATEVALUE(LEFT(F1777,10))</f>
        <v>45009</v>
      </c>
    </row>
    <row r="1778" spans="1:21">
      <c r="A1778" s="56"/>
      <c r="B1778" s="56" t="s">
        <v>29</v>
      </c>
      <c r="C1778" s="56" t="s">
        <v>7223</v>
      </c>
      <c r="D1778" s="56" t="s">
        <v>388</v>
      </c>
      <c r="E1778" s="56" t="s">
        <v>2939</v>
      </c>
      <c r="F1778" s="56" t="s">
        <v>7367</v>
      </c>
      <c r="G1778" s="56">
        <v>147</v>
      </c>
      <c r="H1778" s="56">
        <v>119</v>
      </c>
      <c r="I1778" s="56">
        <v>0.80952380952380953</v>
      </c>
      <c r="J1778" s="56" t="s">
        <v>7368</v>
      </c>
      <c r="K1778" s="56" t="s">
        <v>1893</v>
      </c>
      <c r="L1778" s="56" t="s">
        <v>3162</v>
      </c>
      <c r="N1778" s="56" t="s">
        <v>3448</v>
      </c>
      <c r="O1778" t="str">
        <f>_xlfn.XLOOKUP(N1778,'Error-codes'!$C$2:$C$130,'Error-codes'!$B$2:$B$130, "None")</f>
        <v>end of lane open sensor error</v>
      </c>
      <c r="U1778" s="81">
        <f>DATEVALUE(LEFT(F1778,10))</f>
        <v>45009</v>
      </c>
    </row>
    <row r="1779" spans="1:21">
      <c r="A1779" s="56"/>
      <c r="B1779" s="56" t="s">
        <v>29</v>
      </c>
      <c r="C1779" s="56" t="s">
        <v>7223</v>
      </c>
      <c r="D1779" s="56" t="s">
        <v>388</v>
      </c>
      <c r="E1779" s="56" t="s">
        <v>2939</v>
      </c>
      <c r="F1779" s="56" t="s">
        <v>7369</v>
      </c>
      <c r="G1779" s="56">
        <v>147</v>
      </c>
      <c r="H1779" s="56">
        <v>121</v>
      </c>
      <c r="I1779" s="56">
        <v>0.8231292517006803</v>
      </c>
      <c r="J1779" s="56" t="s">
        <v>7370</v>
      </c>
      <c r="K1779" s="56" t="s">
        <v>1893</v>
      </c>
      <c r="L1779" s="56" t="s">
        <v>3162</v>
      </c>
      <c r="N1779" s="56" t="s">
        <v>3448</v>
      </c>
      <c r="O1779" t="str">
        <f>_xlfn.XLOOKUP(N1779,'Error-codes'!$C$2:$C$130,'Error-codes'!$B$2:$B$130, "None")</f>
        <v>end of lane open sensor error</v>
      </c>
      <c r="U1779" s="81">
        <f>DATEVALUE(LEFT(F1779,10))</f>
        <v>45009</v>
      </c>
    </row>
    <row r="1780" spans="1:21">
      <c r="A1780" s="56"/>
      <c r="B1780" s="56" t="s">
        <v>29</v>
      </c>
      <c r="C1780" s="56" t="s">
        <v>7223</v>
      </c>
      <c r="D1780" s="56" t="s">
        <v>388</v>
      </c>
      <c r="E1780" s="56" t="s">
        <v>2939</v>
      </c>
      <c r="F1780" s="56" t="s">
        <v>7371</v>
      </c>
      <c r="G1780" s="56">
        <v>147</v>
      </c>
      <c r="H1780" s="56">
        <v>122</v>
      </c>
      <c r="I1780" s="56">
        <v>0.82993197278911568</v>
      </c>
      <c r="J1780" s="56" t="s">
        <v>7372</v>
      </c>
      <c r="K1780" s="56" t="s">
        <v>1893</v>
      </c>
      <c r="L1780" s="56" t="s">
        <v>3162</v>
      </c>
      <c r="N1780" s="56" t="s">
        <v>3448</v>
      </c>
      <c r="O1780" t="str">
        <f>_xlfn.XLOOKUP(N1780,'Error-codes'!$C$2:$C$130,'Error-codes'!$B$2:$B$130, "None")</f>
        <v>end of lane open sensor error</v>
      </c>
      <c r="U1780" s="81">
        <f>DATEVALUE(LEFT(F1780,10))</f>
        <v>45009</v>
      </c>
    </row>
    <row r="1781" spans="1:21">
      <c r="A1781" s="56"/>
      <c r="B1781" s="56" t="s">
        <v>29</v>
      </c>
      <c r="C1781" s="56" t="s">
        <v>7223</v>
      </c>
      <c r="D1781" s="56" t="s">
        <v>388</v>
      </c>
      <c r="E1781" s="56" t="s">
        <v>2939</v>
      </c>
      <c r="F1781" s="56" t="s">
        <v>7373</v>
      </c>
      <c r="G1781" s="56">
        <v>147</v>
      </c>
      <c r="H1781" s="56">
        <v>123</v>
      </c>
      <c r="I1781" s="56">
        <v>0.83673469387755106</v>
      </c>
      <c r="J1781" s="56" t="s">
        <v>7374</v>
      </c>
      <c r="K1781" s="56" t="s">
        <v>1893</v>
      </c>
      <c r="L1781" s="56" t="s">
        <v>3162</v>
      </c>
      <c r="N1781" s="56" t="s">
        <v>3448</v>
      </c>
      <c r="O1781" t="str">
        <f>_xlfn.XLOOKUP(N1781,'Error-codes'!$C$2:$C$130,'Error-codes'!$B$2:$B$130, "None")</f>
        <v>end of lane open sensor error</v>
      </c>
      <c r="U1781" s="81">
        <f>DATEVALUE(LEFT(F1781,10))</f>
        <v>45009</v>
      </c>
    </row>
    <row r="1782" spans="1:21">
      <c r="A1782" s="56"/>
      <c r="B1782" s="56" t="s">
        <v>29</v>
      </c>
      <c r="C1782" s="56" t="s">
        <v>7223</v>
      </c>
      <c r="D1782" s="56" t="s">
        <v>388</v>
      </c>
      <c r="E1782" s="56" t="s">
        <v>2939</v>
      </c>
      <c r="F1782" s="56" t="s">
        <v>7375</v>
      </c>
      <c r="G1782" s="56">
        <v>147</v>
      </c>
      <c r="H1782" s="56">
        <v>124</v>
      </c>
      <c r="I1782" s="56">
        <v>0.84353741496598644</v>
      </c>
      <c r="J1782" s="56" t="s">
        <v>7376</v>
      </c>
      <c r="K1782" s="56" t="s">
        <v>1893</v>
      </c>
      <c r="L1782" s="56" t="s">
        <v>3162</v>
      </c>
      <c r="N1782" s="56" t="s">
        <v>3448</v>
      </c>
      <c r="O1782" t="str">
        <f>_xlfn.XLOOKUP(N1782,'Error-codes'!$C$2:$C$130,'Error-codes'!$B$2:$B$130, "None")</f>
        <v>end of lane open sensor error</v>
      </c>
      <c r="U1782" s="81">
        <f>DATEVALUE(LEFT(F1782,10))</f>
        <v>45009</v>
      </c>
    </row>
    <row r="1783" spans="1:21">
      <c r="A1783" s="56"/>
      <c r="B1783" s="56" t="s">
        <v>29</v>
      </c>
      <c r="C1783" s="56" t="s">
        <v>7223</v>
      </c>
      <c r="D1783" s="56" t="s">
        <v>388</v>
      </c>
      <c r="E1783" s="56" t="s">
        <v>2939</v>
      </c>
      <c r="F1783" s="56" t="s">
        <v>7377</v>
      </c>
      <c r="G1783" s="56">
        <v>147</v>
      </c>
      <c r="H1783" s="56">
        <v>125</v>
      </c>
      <c r="I1783" s="56">
        <v>0.85034013605442171</v>
      </c>
      <c r="J1783" s="56" t="s">
        <v>7378</v>
      </c>
      <c r="K1783" s="56" t="s">
        <v>1893</v>
      </c>
      <c r="L1783" s="56" t="s">
        <v>3162</v>
      </c>
      <c r="N1783" s="56" t="s">
        <v>3448</v>
      </c>
      <c r="O1783" t="str">
        <f>_xlfn.XLOOKUP(N1783,'Error-codes'!$C$2:$C$130,'Error-codes'!$B$2:$B$130, "None")</f>
        <v>end of lane open sensor error</v>
      </c>
      <c r="U1783" s="81">
        <f>DATEVALUE(LEFT(F1783,10))</f>
        <v>45009</v>
      </c>
    </row>
    <row r="1784" spans="1:21">
      <c r="A1784" s="56"/>
      <c r="B1784" s="56" t="s">
        <v>29</v>
      </c>
      <c r="C1784" s="56" t="s">
        <v>7223</v>
      </c>
      <c r="D1784" s="56" t="s">
        <v>388</v>
      </c>
      <c r="E1784" s="56" t="s">
        <v>2939</v>
      </c>
      <c r="F1784" s="56" t="s">
        <v>7379</v>
      </c>
      <c r="G1784" s="56">
        <v>147</v>
      </c>
      <c r="H1784" s="56">
        <v>126</v>
      </c>
      <c r="I1784" s="56">
        <v>0.8571428571428571</v>
      </c>
      <c r="J1784" s="56" t="s">
        <v>7380</v>
      </c>
      <c r="K1784" s="56" t="s">
        <v>1893</v>
      </c>
      <c r="L1784" s="56" t="s">
        <v>3162</v>
      </c>
      <c r="N1784" s="56" t="s">
        <v>3448</v>
      </c>
      <c r="O1784" t="str">
        <f>_xlfn.XLOOKUP(N1784,'Error-codes'!$C$2:$C$130,'Error-codes'!$B$2:$B$130, "None")</f>
        <v>end of lane open sensor error</v>
      </c>
      <c r="U1784" s="81">
        <f>DATEVALUE(LEFT(F1784,10))</f>
        <v>45009</v>
      </c>
    </row>
    <row r="1785" spans="1:21">
      <c r="A1785" s="56"/>
      <c r="B1785" s="56" t="s">
        <v>29</v>
      </c>
      <c r="C1785" s="56" t="s">
        <v>7223</v>
      </c>
      <c r="D1785" s="56" t="s">
        <v>388</v>
      </c>
      <c r="E1785" s="56" t="s">
        <v>2939</v>
      </c>
      <c r="F1785" s="56" t="s">
        <v>7381</v>
      </c>
      <c r="G1785" s="56">
        <v>147</v>
      </c>
      <c r="H1785" s="56">
        <v>128</v>
      </c>
      <c r="I1785" s="56">
        <v>0.87074829931972786</v>
      </c>
      <c r="J1785" s="56" t="s">
        <v>7382</v>
      </c>
      <c r="K1785" s="56" t="s">
        <v>1893</v>
      </c>
      <c r="L1785" s="56" t="s">
        <v>3162</v>
      </c>
      <c r="N1785" s="56" t="s">
        <v>3448</v>
      </c>
      <c r="O1785" t="str">
        <f>_xlfn.XLOOKUP(N1785,'Error-codes'!$C$2:$C$130,'Error-codes'!$B$2:$B$130, "None")</f>
        <v>end of lane open sensor error</v>
      </c>
      <c r="U1785" s="81">
        <f>DATEVALUE(LEFT(F1785,10))</f>
        <v>45009</v>
      </c>
    </row>
    <row r="1786" spans="1:21">
      <c r="A1786" s="56"/>
      <c r="B1786" s="56" t="s">
        <v>29</v>
      </c>
      <c r="C1786" s="56" t="s">
        <v>7223</v>
      </c>
      <c r="D1786" s="56" t="s">
        <v>388</v>
      </c>
      <c r="E1786" s="56" t="s">
        <v>2939</v>
      </c>
      <c r="F1786" s="56" t="s">
        <v>7383</v>
      </c>
      <c r="G1786" s="56">
        <v>147</v>
      </c>
      <c r="H1786" s="56">
        <v>129</v>
      </c>
      <c r="I1786" s="56">
        <v>0.87755102040816324</v>
      </c>
      <c r="J1786" s="56" t="s">
        <v>7384</v>
      </c>
      <c r="K1786" s="56" t="s">
        <v>1893</v>
      </c>
      <c r="L1786" s="56" t="s">
        <v>3162</v>
      </c>
      <c r="N1786" s="56" t="s">
        <v>3448</v>
      </c>
      <c r="O1786" t="str">
        <f>_xlfn.XLOOKUP(N1786,'Error-codes'!$C$2:$C$130,'Error-codes'!$B$2:$B$130, "None")</f>
        <v>end of lane open sensor error</v>
      </c>
      <c r="U1786" s="81">
        <f>DATEVALUE(LEFT(F1786,10))</f>
        <v>45009</v>
      </c>
    </row>
    <row r="1787" spans="1:21">
      <c r="A1787" s="56"/>
      <c r="B1787" s="56" t="s">
        <v>29</v>
      </c>
      <c r="C1787" s="56" t="s">
        <v>7223</v>
      </c>
      <c r="D1787" s="56" t="s">
        <v>388</v>
      </c>
      <c r="E1787" s="56" t="s">
        <v>2939</v>
      </c>
      <c r="F1787" s="56" t="s">
        <v>7385</v>
      </c>
      <c r="G1787" s="56">
        <v>147</v>
      </c>
      <c r="H1787" s="56">
        <v>130</v>
      </c>
      <c r="I1787" s="56">
        <v>0.88435374149659862</v>
      </c>
      <c r="J1787" s="56" t="s">
        <v>7386</v>
      </c>
      <c r="K1787" s="56" t="s">
        <v>1893</v>
      </c>
      <c r="L1787" s="56" t="s">
        <v>3162</v>
      </c>
      <c r="N1787" s="56" t="s">
        <v>3448</v>
      </c>
      <c r="O1787" t="str">
        <f>_xlfn.XLOOKUP(N1787,'Error-codes'!$C$2:$C$130,'Error-codes'!$B$2:$B$130, "None")</f>
        <v>end of lane open sensor error</v>
      </c>
      <c r="U1787" s="81">
        <f>DATEVALUE(LEFT(F1787,10))</f>
        <v>45009</v>
      </c>
    </row>
    <row r="1788" spans="1:21">
      <c r="A1788" s="56"/>
      <c r="B1788" s="56" t="s">
        <v>29</v>
      </c>
      <c r="C1788" s="56" t="s">
        <v>7223</v>
      </c>
      <c r="D1788" s="56" t="s">
        <v>388</v>
      </c>
      <c r="E1788" s="56" t="s">
        <v>2939</v>
      </c>
      <c r="F1788" s="56" t="s">
        <v>7387</v>
      </c>
      <c r="G1788" s="56">
        <v>147</v>
      </c>
      <c r="H1788" s="56">
        <v>131</v>
      </c>
      <c r="I1788" s="56">
        <v>0.891156462585034</v>
      </c>
      <c r="J1788" s="56" t="s">
        <v>145</v>
      </c>
      <c r="K1788" s="56" t="s">
        <v>1893</v>
      </c>
      <c r="L1788" s="56" t="s">
        <v>3162</v>
      </c>
      <c r="N1788" s="56" t="s">
        <v>3448</v>
      </c>
      <c r="O1788" t="str">
        <f>_xlfn.XLOOKUP(N1788,'Error-codes'!$C$2:$C$130,'Error-codes'!$B$2:$B$130, "None")</f>
        <v>end of lane open sensor error</v>
      </c>
      <c r="U1788" s="81">
        <f>DATEVALUE(LEFT(F1788,10))</f>
        <v>45009</v>
      </c>
    </row>
    <row r="1789" spans="1:21">
      <c r="A1789" s="56"/>
      <c r="B1789" s="56" t="s">
        <v>29</v>
      </c>
      <c r="C1789" s="56" t="s">
        <v>7223</v>
      </c>
      <c r="D1789" s="56" t="s">
        <v>388</v>
      </c>
      <c r="E1789" s="56" t="s">
        <v>2939</v>
      </c>
      <c r="F1789" s="56" t="s">
        <v>7388</v>
      </c>
      <c r="G1789" s="56">
        <v>147</v>
      </c>
      <c r="H1789" s="56">
        <v>132</v>
      </c>
      <c r="I1789" s="56">
        <v>0.89795918367346939</v>
      </c>
      <c r="J1789" s="56" t="s">
        <v>7389</v>
      </c>
      <c r="K1789" s="56" t="s">
        <v>1893</v>
      </c>
      <c r="L1789" s="56" t="s">
        <v>3162</v>
      </c>
      <c r="N1789" s="56" t="s">
        <v>3448</v>
      </c>
      <c r="O1789" t="str">
        <f>_xlfn.XLOOKUP(N1789,'Error-codes'!$C$2:$C$130,'Error-codes'!$B$2:$B$130, "None")</f>
        <v>end of lane open sensor error</v>
      </c>
      <c r="U1789" s="81">
        <f>DATEVALUE(LEFT(F1789,10))</f>
        <v>45009</v>
      </c>
    </row>
    <row r="1790" spans="1:21">
      <c r="A1790" s="56"/>
      <c r="B1790" s="56" t="s">
        <v>29</v>
      </c>
      <c r="C1790" s="56" t="s">
        <v>7223</v>
      </c>
      <c r="D1790" s="56" t="s">
        <v>388</v>
      </c>
      <c r="E1790" s="56" t="s">
        <v>2939</v>
      </c>
      <c r="F1790" s="56" t="s">
        <v>7390</v>
      </c>
      <c r="G1790" s="56">
        <v>147</v>
      </c>
      <c r="H1790" s="56">
        <v>133</v>
      </c>
      <c r="I1790" s="56">
        <v>0.90476190476190477</v>
      </c>
      <c r="J1790" s="56" t="s">
        <v>7391</v>
      </c>
      <c r="K1790" s="56" t="s">
        <v>1893</v>
      </c>
      <c r="L1790" s="56" t="s">
        <v>3162</v>
      </c>
      <c r="N1790" s="56" t="s">
        <v>3448</v>
      </c>
      <c r="O1790" t="str">
        <f>_xlfn.XLOOKUP(N1790,'Error-codes'!$C$2:$C$130,'Error-codes'!$B$2:$B$130, "None")</f>
        <v>end of lane open sensor error</v>
      </c>
      <c r="U1790" s="81">
        <f>DATEVALUE(LEFT(F1790,10))</f>
        <v>45009</v>
      </c>
    </row>
    <row r="1791" spans="1:21">
      <c r="A1791" s="56"/>
      <c r="B1791" s="56" t="s">
        <v>29</v>
      </c>
      <c r="C1791" s="56" t="s">
        <v>7223</v>
      </c>
      <c r="D1791" s="56" t="s">
        <v>388</v>
      </c>
      <c r="E1791" s="56" t="s">
        <v>2939</v>
      </c>
      <c r="F1791" s="56" t="s">
        <v>7392</v>
      </c>
      <c r="G1791" s="56">
        <v>147</v>
      </c>
      <c r="H1791" s="56">
        <v>135</v>
      </c>
      <c r="I1791" s="56">
        <v>0.91836734693877553</v>
      </c>
      <c r="J1791" s="56" t="s">
        <v>7393</v>
      </c>
      <c r="K1791" s="56" t="s">
        <v>1893</v>
      </c>
      <c r="L1791" s="56" t="s">
        <v>3162</v>
      </c>
      <c r="N1791" s="56" t="s">
        <v>3448</v>
      </c>
      <c r="O1791" t="str">
        <f>_xlfn.XLOOKUP(N1791,'Error-codes'!$C$2:$C$130,'Error-codes'!$B$2:$B$130, "None")</f>
        <v>end of lane open sensor error</v>
      </c>
      <c r="U1791" s="81">
        <f>DATEVALUE(LEFT(F1791,10))</f>
        <v>45009</v>
      </c>
    </row>
    <row r="1792" spans="1:21">
      <c r="A1792" s="56"/>
      <c r="B1792" s="56" t="s">
        <v>29</v>
      </c>
      <c r="C1792" s="56" t="s">
        <v>7223</v>
      </c>
      <c r="D1792" s="56" t="s">
        <v>388</v>
      </c>
      <c r="E1792" s="56" t="s">
        <v>2939</v>
      </c>
      <c r="F1792" s="56" t="s">
        <v>7394</v>
      </c>
      <c r="G1792" s="56">
        <v>147</v>
      </c>
      <c r="H1792" s="56">
        <v>136</v>
      </c>
      <c r="I1792" s="56">
        <v>0.92517006802721091</v>
      </c>
      <c r="J1792" s="56" t="s">
        <v>38</v>
      </c>
      <c r="K1792" s="56" t="s">
        <v>1893</v>
      </c>
      <c r="L1792" s="56" t="s">
        <v>3162</v>
      </c>
      <c r="N1792" s="56" t="s">
        <v>3448</v>
      </c>
      <c r="O1792" t="str">
        <f>_xlfn.XLOOKUP(N1792,'Error-codes'!$C$2:$C$130,'Error-codes'!$B$2:$B$130, "None")</f>
        <v>end of lane open sensor error</v>
      </c>
      <c r="U1792" s="81">
        <f>DATEVALUE(LEFT(F1792,10))</f>
        <v>45009</v>
      </c>
    </row>
    <row r="1793" spans="1:21">
      <c r="A1793" s="56"/>
      <c r="B1793" s="56" t="s">
        <v>29</v>
      </c>
      <c r="C1793" s="56" t="s">
        <v>7223</v>
      </c>
      <c r="D1793" s="56" t="s">
        <v>388</v>
      </c>
      <c r="E1793" s="56" t="s">
        <v>2939</v>
      </c>
      <c r="F1793" s="56" t="s">
        <v>7395</v>
      </c>
      <c r="G1793" s="56">
        <v>147</v>
      </c>
      <c r="H1793" s="56">
        <v>137</v>
      </c>
      <c r="I1793" s="56">
        <v>0.93197278911564629</v>
      </c>
      <c r="J1793" s="56" t="s">
        <v>7396</v>
      </c>
      <c r="K1793" s="56" t="s">
        <v>1893</v>
      </c>
      <c r="L1793" s="56" t="s">
        <v>3162</v>
      </c>
      <c r="N1793" s="56" t="s">
        <v>3448</v>
      </c>
      <c r="O1793" t="str">
        <f>_xlfn.XLOOKUP(N1793,'Error-codes'!$C$2:$C$130,'Error-codes'!$B$2:$B$130, "None")</f>
        <v>end of lane open sensor error</v>
      </c>
      <c r="U1793" s="81">
        <f>DATEVALUE(LEFT(F1793,10))</f>
        <v>45009</v>
      </c>
    </row>
    <row r="1794" spans="1:21">
      <c r="A1794" s="56"/>
      <c r="B1794" s="56" t="s">
        <v>29</v>
      </c>
      <c r="C1794" s="56" t="s">
        <v>7223</v>
      </c>
      <c r="D1794" s="56" t="s">
        <v>388</v>
      </c>
      <c r="E1794" s="56" t="s">
        <v>2939</v>
      </c>
      <c r="F1794" s="56" t="s">
        <v>7397</v>
      </c>
      <c r="G1794" s="56">
        <v>147</v>
      </c>
      <c r="H1794" s="56">
        <v>138</v>
      </c>
      <c r="I1794" s="56">
        <v>0.93877551020408168</v>
      </c>
      <c r="J1794" s="56" t="s">
        <v>7398</v>
      </c>
      <c r="K1794" s="56" t="s">
        <v>1893</v>
      </c>
      <c r="L1794" s="56" t="s">
        <v>3162</v>
      </c>
      <c r="N1794" s="56" t="s">
        <v>3448</v>
      </c>
      <c r="O1794" t="str">
        <f>_xlfn.XLOOKUP(N1794,'Error-codes'!$C$2:$C$130,'Error-codes'!$B$2:$B$130, "None")</f>
        <v>end of lane open sensor error</v>
      </c>
      <c r="U1794" s="81">
        <f>DATEVALUE(LEFT(F1794,10))</f>
        <v>45009</v>
      </c>
    </row>
    <row r="1795" spans="1:21">
      <c r="A1795" s="56"/>
      <c r="B1795" s="56" t="s">
        <v>29</v>
      </c>
      <c r="C1795" s="56" t="s">
        <v>7223</v>
      </c>
      <c r="D1795" s="56" t="s">
        <v>388</v>
      </c>
      <c r="E1795" s="56" t="s">
        <v>2939</v>
      </c>
      <c r="F1795" s="56" t="s">
        <v>7399</v>
      </c>
      <c r="G1795" s="56">
        <v>147</v>
      </c>
      <c r="H1795" s="56">
        <v>139</v>
      </c>
      <c r="I1795" s="56">
        <v>0.94557823129251706</v>
      </c>
      <c r="J1795" s="56" t="s">
        <v>7400</v>
      </c>
      <c r="K1795" s="56" t="s">
        <v>1893</v>
      </c>
      <c r="L1795" s="56" t="s">
        <v>3162</v>
      </c>
      <c r="N1795" s="56" t="s">
        <v>3448</v>
      </c>
      <c r="O1795" t="str">
        <f>_xlfn.XLOOKUP(N1795,'Error-codes'!$C$2:$C$130,'Error-codes'!$B$2:$B$130, "None")</f>
        <v>end of lane open sensor error</v>
      </c>
      <c r="U1795" s="81">
        <f>DATEVALUE(LEFT(F1795,10))</f>
        <v>45009</v>
      </c>
    </row>
    <row r="1796" spans="1:21">
      <c r="A1796" s="56"/>
      <c r="B1796" s="56" t="s">
        <v>29</v>
      </c>
      <c r="C1796" s="56" t="s">
        <v>7223</v>
      </c>
      <c r="D1796" s="56" t="s">
        <v>388</v>
      </c>
      <c r="E1796" s="56" t="s">
        <v>2939</v>
      </c>
      <c r="F1796" s="56" t="s">
        <v>7401</v>
      </c>
      <c r="G1796" s="56">
        <v>147</v>
      </c>
      <c r="H1796" s="56">
        <v>140</v>
      </c>
      <c r="I1796" s="56">
        <v>0.95238095238095233</v>
      </c>
      <c r="J1796" s="56" t="s">
        <v>7402</v>
      </c>
      <c r="K1796" s="56" t="s">
        <v>1893</v>
      </c>
      <c r="L1796" s="56" t="s">
        <v>3162</v>
      </c>
      <c r="N1796" s="56" t="s">
        <v>3448</v>
      </c>
      <c r="O1796" t="str">
        <f>_xlfn.XLOOKUP(N1796,'Error-codes'!$C$2:$C$130,'Error-codes'!$B$2:$B$130, "None")</f>
        <v>end of lane open sensor error</v>
      </c>
      <c r="U1796" s="81">
        <f>DATEVALUE(LEFT(F1796,10))</f>
        <v>45009</v>
      </c>
    </row>
    <row r="1797" spans="1:21">
      <c r="A1797" s="56"/>
      <c r="B1797" s="56" t="s">
        <v>29</v>
      </c>
      <c r="C1797" s="56" t="s">
        <v>7223</v>
      </c>
      <c r="D1797" s="56" t="s">
        <v>388</v>
      </c>
      <c r="E1797" s="56" t="s">
        <v>2939</v>
      </c>
      <c r="F1797" s="56" t="s">
        <v>7403</v>
      </c>
      <c r="G1797" s="56">
        <v>147</v>
      </c>
      <c r="H1797" s="56">
        <v>141</v>
      </c>
      <c r="I1797" s="56">
        <v>0.95918367346938771</v>
      </c>
      <c r="J1797" s="56" t="s">
        <v>7404</v>
      </c>
      <c r="K1797" s="56" t="s">
        <v>1893</v>
      </c>
      <c r="L1797" s="56" t="s">
        <v>3162</v>
      </c>
      <c r="N1797" s="56" t="s">
        <v>3448</v>
      </c>
      <c r="O1797" t="str">
        <f>_xlfn.XLOOKUP(N1797,'Error-codes'!$C$2:$C$130,'Error-codes'!$B$2:$B$130, "None")</f>
        <v>end of lane open sensor error</v>
      </c>
      <c r="U1797" s="81">
        <f>DATEVALUE(LEFT(F1797,10))</f>
        <v>45009</v>
      </c>
    </row>
    <row r="1798" spans="1:21">
      <c r="A1798" s="56"/>
      <c r="B1798" s="56" t="s">
        <v>29</v>
      </c>
      <c r="C1798" s="56" t="s">
        <v>7223</v>
      </c>
      <c r="D1798" s="56" t="s">
        <v>388</v>
      </c>
      <c r="E1798" s="56" t="s">
        <v>2939</v>
      </c>
      <c r="F1798" s="56" t="s">
        <v>7405</v>
      </c>
      <c r="G1798" s="56">
        <v>147</v>
      </c>
      <c r="H1798" s="56">
        <v>142</v>
      </c>
      <c r="I1798" s="56">
        <v>0.96598639455782309</v>
      </c>
      <c r="J1798" s="56" t="s">
        <v>7406</v>
      </c>
      <c r="K1798" s="56" t="s">
        <v>1893</v>
      </c>
      <c r="L1798" s="56" t="s">
        <v>3162</v>
      </c>
      <c r="N1798" s="56" t="s">
        <v>3448</v>
      </c>
      <c r="O1798" t="str">
        <f>_xlfn.XLOOKUP(N1798,'Error-codes'!$C$2:$C$130,'Error-codes'!$B$2:$B$130, "None")</f>
        <v>end of lane open sensor error</v>
      </c>
      <c r="U1798" s="81">
        <f>DATEVALUE(LEFT(F1798,10))</f>
        <v>45009</v>
      </c>
    </row>
    <row r="1799" spans="1:21">
      <c r="A1799" s="56"/>
      <c r="B1799" s="56" t="s">
        <v>29</v>
      </c>
      <c r="C1799" s="56" t="s">
        <v>7223</v>
      </c>
      <c r="D1799" s="56" t="s">
        <v>388</v>
      </c>
      <c r="E1799" s="56" t="s">
        <v>2939</v>
      </c>
      <c r="F1799" s="56" t="s">
        <v>7407</v>
      </c>
      <c r="G1799" s="56">
        <v>147</v>
      </c>
      <c r="H1799" s="56">
        <v>143</v>
      </c>
      <c r="I1799" s="56">
        <v>0.97278911564625847</v>
      </c>
      <c r="J1799" s="56" t="s">
        <v>1848</v>
      </c>
      <c r="K1799" s="56" t="s">
        <v>1893</v>
      </c>
      <c r="L1799" s="56" t="s">
        <v>3162</v>
      </c>
      <c r="N1799" s="56" t="s">
        <v>3448</v>
      </c>
      <c r="O1799" t="str">
        <f>_xlfn.XLOOKUP(N1799,'Error-codes'!$C$2:$C$130,'Error-codes'!$B$2:$B$130, "None")</f>
        <v>end of lane open sensor error</v>
      </c>
      <c r="U1799" s="81">
        <f>DATEVALUE(LEFT(F1799,10))</f>
        <v>45009</v>
      </c>
    </row>
    <row r="1800" spans="1:21">
      <c r="A1800" s="56"/>
      <c r="B1800" s="56" t="s">
        <v>29</v>
      </c>
      <c r="C1800" s="56" t="s">
        <v>7223</v>
      </c>
      <c r="D1800" s="56" t="s">
        <v>388</v>
      </c>
      <c r="E1800" s="56" t="s">
        <v>2939</v>
      </c>
      <c r="F1800" s="56" t="s">
        <v>7408</v>
      </c>
      <c r="G1800" s="56">
        <v>147</v>
      </c>
      <c r="H1800" s="56">
        <v>144</v>
      </c>
      <c r="I1800" s="56">
        <v>0.97959183673469385</v>
      </c>
      <c r="J1800" s="56" t="s">
        <v>1839</v>
      </c>
      <c r="K1800" s="56" t="s">
        <v>1893</v>
      </c>
      <c r="L1800" s="56" t="s">
        <v>3162</v>
      </c>
      <c r="N1800" s="56" t="s">
        <v>3448</v>
      </c>
      <c r="O1800" t="str">
        <f>_xlfn.XLOOKUP(N1800,'Error-codes'!$C$2:$C$130,'Error-codes'!$B$2:$B$130, "None")</f>
        <v>end of lane open sensor error</v>
      </c>
      <c r="U1800" s="81">
        <f>DATEVALUE(LEFT(F1800,10))</f>
        <v>45009</v>
      </c>
    </row>
    <row r="1801" spans="1:21">
      <c r="B1801" s="56" t="s">
        <v>29</v>
      </c>
      <c r="C1801" s="56" t="s">
        <v>7223</v>
      </c>
      <c r="D1801" s="56" t="s">
        <v>388</v>
      </c>
      <c r="F1801" s="56" t="s">
        <v>7409</v>
      </c>
      <c r="G1801" s="56">
        <v>147</v>
      </c>
      <c r="H1801" s="56">
        <v>39</v>
      </c>
      <c r="I1801" s="56">
        <v>0.26530612244897961</v>
      </c>
      <c r="K1801" s="56" t="s">
        <v>1893</v>
      </c>
      <c r="L1801" s="56" t="s">
        <v>3162</v>
      </c>
      <c r="O1801">
        <f>_xlfn.XLOOKUP(N1801,'Error-codes'!$C$2:$C$130,'Error-codes'!$B$2:$B$130, "None")</f>
        <v>0</v>
      </c>
      <c r="U1801" s="81">
        <f>DATEVALUE(LEFT(F1801,10))</f>
        <v>45009</v>
      </c>
    </row>
    <row r="1802" spans="1:21">
      <c r="A1802" s="56" t="s">
        <v>7410</v>
      </c>
      <c r="B1802" s="56" t="s">
        <v>29</v>
      </c>
      <c r="C1802" s="56" t="s">
        <v>7411</v>
      </c>
      <c r="D1802" s="56" t="s">
        <v>37</v>
      </c>
      <c r="E1802" s="56" t="s">
        <v>2939</v>
      </c>
      <c r="F1802" s="56" t="s">
        <v>7412</v>
      </c>
      <c r="G1802" s="56">
        <v>215</v>
      </c>
      <c r="H1802" s="56">
        <v>32</v>
      </c>
      <c r="I1802" s="56">
        <v>0.14883720930232558</v>
      </c>
      <c r="J1802" s="56" t="s">
        <v>3315</v>
      </c>
      <c r="K1802" s="56" t="s">
        <v>1893</v>
      </c>
      <c r="L1802" s="56" t="s">
        <v>2942</v>
      </c>
      <c r="M1802" s="56" t="str">
        <f>HYPERLINK("https://dribble.octin.io/?mode=Single+log&amp;log_id=44591bcc-cfc3-4f2d-a374-4a285f003222","URL")</f>
        <v>URL</v>
      </c>
      <c r="N1802" s="56" t="s">
        <v>3472</v>
      </c>
      <c r="O1802" t="str">
        <f>_xlfn.XLOOKUP(N1802,'Error-codes'!$C$2:$C$130,'Error-codes'!$B$2:$B$130, "None")</f>
        <v>Excessive slip detected</v>
      </c>
      <c r="U1802" s="81">
        <f>DATEVALUE(LEFT(F1802,10))</f>
        <v>45009</v>
      </c>
    </row>
    <row r="1803" spans="1:21">
      <c r="A1803" s="56" t="s">
        <v>7413</v>
      </c>
      <c r="B1803" s="56" t="s">
        <v>29</v>
      </c>
      <c r="C1803" s="56" t="s">
        <v>7411</v>
      </c>
      <c r="D1803" s="56" t="s">
        <v>37</v>
      </c>
      <c r="E1803" s="56" t="s">
        <v>7414</v>
      </c>
      <c r="F1803" s="56" t="s">
        <v>7415</v>
      </c>
      <c r="G1803" s="56">
        <v>215</v>
      </c>
      <c r="H1803" s="56">
        <v>43</v>
      </c>
      <c r="I1803" s="56">
        <v>0.2</v>
      </c>
      <c r="J1803" s="56" t="s">
        <v>7416</v>
      </c>
      <c r="K1803" s="56" t="s">
        <v>1893</v>
      </c>
      <c r="L1803" s="56" t="s">
        <v>2942</v>
      </c>
      <c r="M1803" s="56" t="str">
        <f>HYPERLINK("https://dribble.octin.io/?mode=Single+log&amp;log_id=1de7fa91-c980-48c2-88cc-6f5e91c1c07b","URL")</f>
        <v>URL</v>
      </c>
      <c r="N1803" s="56" t="s">
        <v>7417</v>
      </c>
      <c r="O1803" t="str">
        <f>_xlfn.XLOOKUP(N1803,'Error-codes'!$C$2:$C$130,'Error-codes'!$B$2:$B$130, "None")</f>
        <v>None</v>
      </c>
      <c r="U1803" s="81">
        <f>DATEVALUE(LEFT(F1803,10))</f>
        <v>45009</v>
      </c>
    </row>
    <row r="1804" spans="1:21">
      <c r="B1804" s="56" t="s">
        <v>29</v>
      </c>
      <c r="C1804" s="56" t="s">
        <v>7418</v>
      </c>
      <c r="D1804" s="56" t="s">
        <v>22</v>
      </c>
      <c r="F1804" s="56" t="s">
        <v>7419</v>
      </c>
      <c r="G1804" s="56">
        <v>48</v>
      </c>
      <c r="H1804" s="56">
        <v>25</v>
      </c>
      <c r="I1804" s="56">
        <v>0.52083333333333337</v>
      </c>
      <c r="K1804" s="56" t="s">
        <v>1893</v>
      </c>
      <c r="L1804" s="56" t="s">
        <v>2942</v>
      </c>
      <c r="O1804">
        <f>_xlfn.XLOOKUP(N1804,'Error-codes'!$C$2:$C$130,'Error-codes'!$B$2:$B$130, "None")</f>
        <v>0</v>
      </c>
      <c r="U1804" s="81">
        <f>DATEVALUE(LEFT(F1804,10))</f>
        <v>45010</v>
      </c>
    </row>
    <row r="1805" spans="1:21">
      <c r="A1805" s="56" t="s">
        <v>7420</v>
      </c>
      <c r="B1805" s="56" t="s">
        <v>29</v>
      </c>
      <c r="C1805" s="56" t="s">
        <v>7421</v>
      </c>
      <c r="D1805" s="56" t="s">
        <v>37</v>
      </c>
      <c r="E1805" s="56" t="s">
        <v>7414</v>
      </c>
      <c r="F1805" s="56" t="s">
        <v>7422</v>
      </c>
      <c r="G1805" s="56">
        <v>148</v>
      </c>
      <c r="H1805" s="56">
        <v>10</v>
      </c>
      <c r="I1805" s="56">
        <v>6.7567567567567571E-2</v>
      </c>
      <c r="J1805" s="56" t="s">
        <v>7423</v>
      </c>
      <c r="K1805" s="56" t="s">
        <v>1893</v>
      </c>
      <c r="L1805" s="56" t="s">
        <v>2942</v>
      </c>
      <c r="M1805" s="56" t="str">
        <f>HYPERLINK("https://dribble.octin.io/?mode=Single+log&amp;log_id=5b7367d9-b2a7-4581-9788-0c6770cc77de","URL")</f>
        <v>URL</v>
      </c>
      <c r="N1805" s="56" t="s">
        <v>7417</v>
      </c>
      <c r="O1805" t="str">
        <f>_xlfn.XLOOKUP(N1805,'Error-codes'!$C$2:$C$130,'Error-codes'!$B$2:$B$130, "None")</f>
        <v>None</v>
      </c>
      <c r="U1805" s="81">
        <f>DATEVALUE(LEFT(F1805,10))</f>
        <v>45010</v>
      </c>
    </row>
    <row r="1806" spans="1:21">
      <c r="A1806" s="56"/>
      <c r="B1806" s="56" t="s">
        <v>29</v>
      </c>
      <c r="C1806" s="56" t="s">
        <v>7424</v>
      </c>
      <c r="D1806" s="56"/>
      <c r="E1806" s="56" t="s">
        <v>2939</v>
      </c>
      <c r="F1806" s="56" t="s">
        <v>7425</v>
      </c>
      <c r="G1806" s="56">
        <v>145</v>
      </c>
      <c r="H1806" s="56">
        <v>52</v>
      </c>
      <c r="I1806" s="56">
        <v>0.35862068965517241</v>
      </c>
      <c r="J1806" s="56" t="s">
        <v>6424</v>
      </c>
      <c r="K1806" s="56" t="s">
        <v>5612</v>
      </c>
      <c r="L1806" s="56" t="s">
        <v>3325</v>
      </c>
      <c r="N1806" s="56" t="s">
        <v>3446</v>
      </c>
      <c r="O1806" t="str">
        <f>_xlfn.XLOOKUP(N1806,'Error-codes'!$C$2:$C$130,'Error-codes'!$B$2:$B$130, "None")</f>
        <v>end of lane wall sensor error</v>
      </c>
      <c r="U1806" s="81">
        <f>DATEVALUE(LEFT(F1806,10))</f>
        <v>45010</v>
      </c>
    </row>
    <row r="1807" spans="1:21">
      <c r="A1807" s="56"/>
      <c r="B1807" s="56" t="s">
        <v>29</v>
      </c>
      <c r="C1807" s="56" t="s">
        <v>7424</v>
      </c>
      <c r="D1807" s="56"/>
      <c r="E1807" s="56" t="s">
        <v>2939</v>
      </c>
      <c r="F1807" s="56" t="s">
        <v>7425</v>
      </c>
      <c r="G1807" s="56">
        <v>145</v>
      </c>
      <c r="H1807" s="56">
        <v>57</v>
      </c>
      <c r="I1807" s="56">
        <v>0.39310344827586208</v>
      </c>
      <c r="J1807" s="56" t="s">
        <v>7426</v>
      </c>
      <c r="K1807" s="56" t="s">
        <v>5612</v>
      </c>
      <c r="L1807" s="56" t="s">
        <v>3325</v>
      </c>
      <c r="N1807" s="56" t="s">
        <v>3446</v>
      </c>
      <c r="O1807" t="str">
        <f>_xlfn.XLOOKUP(N1807,'Error-codes'!$C$2:$C$130,'Error-codes'!$B$2:$B$130, "None")</f>
        <v>end of lane wall sensor error</v>
      </c>
      <c r="U1807" s="81">
        <f>DATEVALUE(LEFT(F1807,10))</f>
        <v>45010</v>
      </c>
    </row>
    <row r="1808" spans="1:21">
      <c r="A1808" s="56"/>
      <c r="B1808" s="56" t="s">
        <v>29</v>
      </c>
      <c r="C1808" s="56" t="s">
        <v>7424</v>
      </c>
      <c r="D1808" s="56"/>
      <c r="E1808" s="56" t="s">
        <v>2939</v>
      </c>
      <c r="F1808" s="56" t="s">
        <v>7425</v>
      </c>
      <c r="G1808" s="56">
        <v>145</v>
      </c>
      <c r="H1808" s="56">
        <v>62</v>
      </c>
      <c r="I1808" s="56">
        <v>0.42758620689655175</v>
      </c>
      <c r="J1808" s="56" t="s">
        <v>7427</v>
      </c>
      <c r="K1808" s="56" t="s">
        <v>5612</v>
      </c>
      <c r="L1808" s="56" t="s">
        <v>3325</v>
      </c>
      <c r="N1808" s="56" t="s">
        <v>3446</v>
      </c>
      <c r="O1808" t="str">
        <f>_xlfn.XLOOKUP(N1808,'Error-codes'!$C$2:$C$130,'Error-codes'!$B$2:$B$130, "None")</f>
        <v>end of lane wall sensor error</v>
      </c>
      <c r="U1808" s="81">
        <f>DATEVALUE(LEFT(F1808,10))</f>
        <v>45010</v>
      </c>
    </row>
    <row r="1809" spans="1:21">
      <c r="A1809" s="56"/>
      <c r="B1809" s="56" t="s">
        <v>29</v>
      </c>
      <c r="C1809" s="56" t="s">
        <v>7424</v>
      </c>
      <c r="D1809" s="56"/>
      <c r="E1809" s="56" t="s">
        <v>2939</v>
      </c>
      <c r="F1809" s="56" t="s">
        <v>7425</v>
      </c>
      <c r="G1809" s="56">
        <v>145</v>
      </c>
      <c r="H1809" s="56">
        <v>63</v>
      </c>
      <c r="I1809" s="56">
        <v>0.43448275862068964</v>
      </c>
      <c r="J1809" s="56" t="s">
        <v>6853</v>
      </c>
      <c r="K1809" s="56" t="s">
        <v>5612</v>
      </c>
      <c r="L1809" s="56" t="s">
        <v>3325</v>
      </c>
      <c r="N1809" s="56" t="s">
        <v>3446</v>
      </c>
      <c r="O1809" t="str">
        <f>_xlfn.XLOOKUP(N1809,'Error-codes'!$C$2:$C$130,'Error-codes'!$B$2:$B$130, "None")</f>
        <v>end of lane wall sensor error</v>
      </c>
      <c r="U1809" s="81">
        <f>DATEVALUE(LEFT(F1809,10))</f>
        <v>45010</v>
      </c>
    </row>
    <row r="1810" spans="1:21">
      <c r="A1810" s="56"/>
      <c r="B1810" s="56" t="s">
        <v>29</v>
      </c>
      <c r="C1810" s="56" t="s">
        <v>7424</v>
      </c>
      <c r="D1810" s="56"/>
      <c r="E1810" s="56" t="s">
        <v>2939</v>
      </c>
      <c r="F1810" s="56" t="s">
        <v>7425</v>
      </c>
      <c r="G1810" s="56">
        <v>145</v>
      </c>
      <c r="H1810" s="56">
        <v>65</v>
      </c>
      <c r="I1810" s="56">
        <v>0.44827586206896552</v>
      </c>
      <c r="J1810" s="56" t="s">
        <v>7428</v>
      </c>
      <c r="K1810" s="56" t="s">
        <v>5612</v>
      </c>
      <c r="L1810" s="56" t="s">
        <v>3325</v>
      </c>
      <c r="N1810" s="56" t="s">
        <v>3446</v>
      </c>
      <c r="O1810" t="str">
        <f>_xlfn.XLOOKUP(N1810,'Error-codes'!$C$2:$C$130,'Error-codes'!$B$2:$B$130, "None")</f>
        <v>end of lane wall sensor error</v>
      </c>
      <c r="U1810" s="81">
        <f>DATEVALUE(LEFT(F1810,10))</f>
        <v>45010</v>
      </c>
    </row>
    <row r="1811" spans="1:21">
      <c r="A1811" s="56"/>
      <c r="B1811" s="56" t="s">
        <v>29</v>
      </c>
      <c r="C1811" s="56" t="s">
        <v>7424</v>
      </c>
      <c r="D1811" s="56"/>
      <c r="E1811" s="56" t="s">
        <v>2939</v>
      </c>
      <c r="F1811" s="56" t="s">
        <v>7425</v>
      </c>
      <c r="G1811" s="56">
        <v>145</v>
      </c>
      <c r="H1811" s="56">
        <v>68</v>
      </c>
      <c r="I1811" s="56">
        <v>0.4689655172413793</v>
      </c>
      <c r="J1811" s="56" t="s">
        <v>7429</v>
      </c>
      <c r="K1811" s="56" t="s">
        <v>5612</v>
      </c>
      <c r="L1811" s="56" t="s">
        <v>3325</v>
      </c>
      <c r="N1811" s="56" t="s">
        <v>3446</v>
      </c>
      <c r="O1811" t="str">
        <f>_xlfn.XLOOKUP(N1811,'Error-codes'!$C$2:$C$130,'Error-codes'!$B$2:$B$130, "None")</f>
        <v>end of lane wall sensor error</v>
      </c>
      <c r="U1811" s="81">
        <f>DATEVALUE(LEFT(F1811,10))</f>
        <v>45010</v>
      </c>
    </row>
    <row r="1812" spans="1:21">
      <c r="A1812" s="56"/>
      <c r="B1812" s="56" t="s">
        <v>29</v>
      </c>
      <c r="C1812" s="56" t="s">
        <v>7424</v>
      </c>
      <c r="D1812" s="56"/>
      <c r="E1812" s="56" t="s">
        <v>2939</v>
      </c>
      <c r="F1812" s="56" t="s">
        <v>7425</v>
      </c>
      <c r="G1812" s="56">
        <v>145</v>
      </c>
      <c r="H1812" s="56">
        <v>69</v>
      </c>
      <c r="I1812" s="56">
        <v>0.47586206896551725</v>
      </c>
      <c r="J1812" s="56" t="s">
        <v>6910</v>
      </c>
      <c r="K1812" s="56" t="s">
        <v>5612</v>
      </c>
      <c r="L1812" s="56" t="s">
        <v>3325</v>
      </c>
      <c r="N1812" s="56" t="s">
        <v>3446</v>
      </c>
      <c r="O1812" t="str">
        <f>_xlfn.XLOOKUP(N1812,'Error-codes'!$C$2:$C$130,'Error-codes'!$B$2:$B$130, "None")</f>
        <v>end of lane wall sensor error</v>
      </c>
      <c r="U1812" s="81">
        <f>DATEVALUE(LEFT(F1812,10))</f>
        <v>45010</v>
      </c>
    </row>
    <row r="1813" spans="1:21">
      <c r="A1813" s="56"/>
      <c r="B1813" s="56" t="s">
        <v>29</v>
      </c>
      <c r="C1813" s="56" t="s">
        <v>7424</v>
      </c>
      <c r="D1813" s="56"/>
      <c r="E1813" s="56" t="s">
        <v>2939</v>
      </c>
      <c r="F1813" s="56" t="s">
        <v>7425</v>
      </c>
      <c r="G1813" s="56">
        <v>145</v>
      </c>
      <c r="H1813" s="56">
        <v>71</v>
      </c>
      <c r="I1813" s="56">
        <v>0.48965517241379308</v>
      </c>
      <c r="J1813" s="56" t="s">
        <v>6856</v>
      </c>
      <c r="K1813" s="56" t="s">
        <v>5612</v>
      </c>
      <c r="L1813" s="56" t="s">
        <v>3325</v>
      </c>
      <c r="N1813" s="56" t="s">
        <v>3446</v>
      </c>
      <c r="O1813" t="str">
        <f>_xlfn.XLOOKUP(N1813,'Error-codes'!$C$2:$C$130,'Error-codes'!$B$2:$B$130, "None")</f>
        <v>end of lane wall sensor error</v>
      </c>
      <c r="U1813" s="81">
        <f>DATEVALUE(LEFT(F1813,10))</f>
        <v>45010</v>
      </c>
    </row>
    <row r="1814" spans="1:21">
      <c r="A1814" s="56"/>
      <c r="B1814" s="56" t="s">
        <v>29</v>
      </c>
      <c r="C1814" s="56" t="s">
        <v>7424</v>
      </c>
      <c r="D1814" s="56"/>
      <c r="E1814" s="56" t="s">
        <v>2939</v>
      </c>
      <c r="F1814" s="56" t="s">
        <v>7425</v>
      </c>
      <c r="G1814" s="56">
        <v>145</v>
      </c>
      <c r="H1814" s="56">
        <v>74</v>
      </c>
      <c r="I1814" s="56">
        <v>0.51034482758620692</v>
      </c>
      <c r="J1814" s="56" t="s">
        <v>6916</v>
      </c>
      <c r="K1814" s="56" t="s">
        <v>5612</v>
      </c>
      <c r="L1814" s="56" t="s">
        <v>3325</v>
      </c>
      <c r="N1814" s="56" t="s">
        <v>3446</v>
      </c>
      <c r="O1814" t="str">
        <f>_xlfn.XLOOKUP(N1814,'Error-codes'!$C$2:$C$130,'Error-codes'!$B$2:$B$130, "None")</f>
        <v>end of lane wall sensor error</v>
      </c>
      <c r="U1814" s="81">
        <f>DATEVALUE(LEFT(F1814,10))</f>
        <v>45010</v>
      </c>
    </row>
    <row r="1815" spans="1:21">
      <c r="A1815" s="56"/>
      <c r="B1815" s="56" t="s">
        <v>29</v>
      </c>
      <c r="C1815" s="56" t="s">
        <v>7424</v>
      </c>
      <c r="D1815" s="56"/>
      <c r="E1815" s="56" t="s">
        <v>2939</v>
      </c>
      <c r="F1815" s="56" t="s">
        <v>7425</v>
      </c>
      <c r="G1815" s="56">
        <v>145</v>
      </c>
      <c r="H1815" s="56">
        <v>75</v>
      </c>
      <c r="I1815" s="56">
        <v>0.51724137931034486</v>
      </c>
      <c r="J1815" s="56" t="s">
        <v>7430</v>
      </c>
      <c r="K1815" s="56" t="s">
        <v>5612</v>
      </c>
      <c r="L1815" s="56" t="s">
        <v>3325</v>
      </c>
      <c r="N1815" s="56" t="s">
        <v>3446</v>
      </c>
      <c r="O1815" t="str">
        <f>_xlfn.XLOOKUP(N1815,'Error-codes'!$C$2:$C$130,'Error-codes'!$B$2:$B$130, "None")</f>
        <v>end of lane wall sensor error</v>
      </c>
      <c r="U1815" s="81">
        <f>DATEVALUE(LEFT(F1815,10))</f>
        <v>45010</v>
      </c>
    </row>
    <row r="1816" spans="1:21">
      <c r="A1816" s="56"/>
      <c r="B1816" s="56" t="s">
        <v>29</v>
      </c>
      <c r="C1816" s="56" t="s">
        <v>7424</v>
      </c>
      <c r="D1816" s="56"/>
      <c r="E1816" s="56" t="s">
        <v>2939</v>
      </c>
      <c r="F1816" s="56" t="s">
        <v>7425</v>
      </c>
      <c r="G1816" s="56">
        <v>145</v>
      </c>
      <c r="H1816" s="56">
        <v>76</v>
      </c>
      <c r="I1816" s="56">
        <v>0.52413793103448281</v>
      </c>
      <c r="J1816" s="56" t="s">
        <v>6941</v>
      </c>
      <c r="K1816" s="56" t="s">
        <v>5612</v>
      </c>
      <c r="L1816" s="56" t="s">
        <v>3325</v>
      </c>
      <c r="N1816" s="56" t="s">
        <v>3446</v>
      </c>
      <c r="O1816" t="str">
        <f>_xlfn.XLOOKUP(N1816,'Error-codes'!$C$2:$C$130,'Error-codes'!$B$2:$B$130, "None")</f>
        <v>end of lane wall sensor error</v>
      </c>
      <c r="U1816" s="81">
        <f>DATEVALUE(LEFT(F1816,10))</f>
        <v>45010</v>
      </c>
    </row>
    <row r="1817" spans="1:21">
      <c r="A1817" s="56"/>
      <c r="B1817" s="56" t="s">
        <v>29</v>
      </c>
      <c r="C1817" s="56" t="s">
        <v>7424</v>
      </c>
      <c r="D1817" s="56"/>
      <c r="E1817" s="56" t="s">
        <v>2939</v>
      </c>
      <c r="F1817" s="56" t="s">
        <v>7425</v>
      </c>
      <c r="G1817" s="56">
        <v>145</v>
      </c>
      <c r="H1817" s="56">
        <v>77</v>
      </c>
      <c r="I1817" s="56">
        <v>0.53103448275862064</v>
      </c>
      <c r="J1817" s="56" t="s">
        <v>7431</v>
      </c>
      <c r="K1817" s="56" t="s">
        <v>5612</v>
      </c>
      <c r="L1817" s="56" t="s">
        <v>3325</v>
      </c>
      <c r="N1817" s="56" t="s">
        <v>3446</v>
      </c>
      <c r="O1817" t="str">
        <f>_xlfn.XLOOKUP(N1817,'Error-codes'!$C$2:$C$130,'Error-codes'!$B$2:$B$130, "None")</f>
        <v>end of lane wall sensor error</v>
      </c>
      <c r="U1817" s="81">
        <f>DATEVALUE(LEFT(F1817,10))</f>
        <v>45010</v>
      </c>
    </row>
    <row r="1818" spans="1:21">
      <c r="A1818" s="56"/>
      <c r="B1818" s="56" t="s">
        <v>29</v>
      </c>
      <c r="C1818" s="56" t="s">
        <v>7424</v>
      </c>
      <c r="D1818" s="56"/>
      <c r="E1818" s="56" t="s">
        <v>2939</v>
      </c>
      <c r="F1818" s="56" t="s">
        <v>7425</v>
      </c>
      <c r="G1818" s="56">
        <v>145</v>
      </c>
      <c r="H1818" s="56">
        <v>78</v>
      </c>
      <c r="I1818" s="56">
        <v>0.53793103448275859</v>
      </c>
      <c r="J1818" s="56" t="s">
        <v>7432</v>
      </c>
      <c r="K1818" s="56" t="s">
        <v>5612</v>
      </c>
      <c r="L1818" s="56" t="s">
        <v>3325</v>
      </c>
      <c r="N1818" s="56" t="s">
        <v>3446</v>
      </c>
      <c r="O1818" t="str">
        <f>_xlfn.XLOOKUP(N1818,'Error-codes'!$C$2:$C$130,'Error-codes'!$B$2:$B$130, "None")</f>
        <v>end of lane wall sensor error</v>
      </c>
      <c r="U1818" s="81">
        <f>DATEVALUE(LEFT(F1818,10))</f>
        <v>45010</v>
      </c>
    </row>
    <row r="1819" spans="1:21">
      <c r="A1819" s="56"/>
      <c r="B1819" s="56" t="s">
        <v>29</v>
      </c>
      <c r="C1819" s="56" t="s">
        <v>7424</v>
      </c>
      <c r="D1819" s="56"/>
      <c r="E1819" s="56" t="s">
        <v>2939</v>
      </c>
      <c r="F1819" s="56" t="s">
        <v>7425</v>
      </c>
      <c r="G1819" s="56">
        <v>145</v>
      </c>
      <c r="H1819" s="56">
        <v>80</v>
      </c>
      <c r="I1819" s="56">
        <v>0.55172413793103448</v>
      </c>
      <c r="J1819" s="56" t="s">
        <v>7433</v>
      </c>
      <c r="K1819" s="56" t="s">
        <v>5612</v>
      </c>
      <c r="L1819" s="56" t="s">
        <v>3325</v>
      </c>
      <c r="N1819" s="56" t="s">
        <v>3446</v>
      </c>
      <c r="O1819" t="str">
        <f>_xlfn.XLOOKUP(N1819,'Error-codes'!$C$2:$C$130,'Error-codes'!$B$2:$B$130, "None")</f>
        <v>end of lane wall sensor error</v>
      </c>
      <c r="U1819" s="81">
        <f>DATEVALUE(LEFT(F1819,10))</f>
        <v>45010</v>
      </c>
    </row>
    <row r="1820" spans="1:21">
      <c r="A1820" s="56"/>
      <c r="B1820" s="56" t="s">
        <v>29</v>
      </c>
      <c r="C1820" s="56" t="s">
        <v>7424</v>
      </c>
      <c r="D1820" s="56"/>
      <c r="E1820" s="56" t="s">
        <v>2939</v>
      </c>
      <c r="F1820" s="56" t="s">
        <v>7425</v>
      </c>
      <c r="G1820" s="56">
        <v>145</v>
      </c>
      <c r="H1820" s="56">
        <v>81</v>
      </c>
      <c r="I1820" s="56">
        <v>0.55862068965517242</v>
      </c>
      <c r="J1820" s="56" t="s">
        <v>7434</v>
      </c>
      <c r="K1820" s="56" t="s">
        <v>5612</v>
      </c>
      <c r="L1820" s="56" t="s">
        <v>3325</v>
      </c>
      <c r="N1820" s="56" t="s">
        <v>3446</v>
      </c>
      <c r="O1820" t="str">
        <f>_xlfn.XLOOKUP(N1820,'Error-codes'!$C$2:$C$130,'Error-codes'!$B$2:$B$130, "None")</f>
        <v>end of lane wall sensor error</v>
      </c>
      <c r="U1820" s="81">
        <f>DATEVALUE(LEFT(F1820,10))</f>
        <v>45010</v>
      </c>
    </row>
    <row r="1821" spans="1:21">
      <c r="A1821" s="56"/>
      <c r="B1821" s="56" t="s">
        <v>29</v>
      </c>
      <c r="C1821" s="56" t="s">
        <v>7424</v>
      </c>
      <c r="D1821" s="56"/>
      <c r="E1821" s="56" t="s">
        <v>2939</v>
      </c>
      <c r="F1821" s="56" t="s">
        <v>7425</v>
      </c>
      <c r="G1821" s="56">
        <v>145</v>
      </c>
      <c r="H1821" s="56">
        <v>84</v>
      </c>
      <c r="I1821" s="56">
        <v>0.57931034482758625</v>
      </c>
      <c r="J1821" s="56" t="s">
        <v>7435</v>
      </c>
      <c r="K1821" s="56" t="s">
        <v>5612</v>
      </c>
      <c r="L1821" s="56" t="s">
        <v>3325</v>
      </c>
      <c r="N1821" s="56" t="s">
        <v>3446</v>
      </c>
      <c r="O1821" t="str">
        <f>_xlfn.XLOOKUP(N1821,'Error-codes'!$C$2:$C$130,'Error-codes'!$B$2:$B$130, "None")</f>
        <v>end of lane wall sensor error</v>
      </c>
      <c r="U1821" s="81">
        <f>DATEVALUE(LEFT(F1821,10))</f>
        <v>45010</v>
      </c>
    </row>
    <row r="1822" spans="1:21">
      <c r="A1822" s="56"/>
      <c r="B1822" s="56" t="s">
        <v>29</v>
      </c>
      <c r="C1822" s="56" t="s">
        <v>7424</v>
      </c>
      <c r="D1822" s="56"/>
      <c r="E1822" s="56" t="s">
        <v>2939</v>
      </c>
      <c r="F1822" s="56" t="s">
        <v>7425</v>
      </c>
      <c r="G1822" s="56">
        <v>145</v>
      </c>
      <c r="H1822" s="56">
        <v>85</v>
      </c>
      <c r="I1822" s="56">
        <v>0.58620689655172409</v>
      </c>
      <c r="J1822" s="56" t="s">
        <v>7436</v>
      </c>
      <c r="K1822" s="56" t="s">
        <v>5612</v>
      </c>
      <c r="L1822" s="56" t="s">
        <v>3325</v>
      </c>
      <c r="N1822" s="56" t="s">
        <v>3446</v>
      </c>
      <c r="O1822" t="str">
        <f>_xlfn.XLOOKUP(N1822,'Error-codes'!$C$2:$C$130,'Error-codes'!$B$2:$B$130, "None")</f>
        <v>end of lane wall sensor error</v>
      </c>
      <c r="U1822" s="81">
        <f>DATEVALUE(LEFT(F1822,10))</f>
        <v>45010</v>
      </c>
    </row>
    <row r="1823" spans="1:21">
      <c r="A1823" s="56"/>
      <c r="B1823" s="56" t="s">
        <v>29</v>
      </c>
      <c r="C1823" s="56" t="s">
        <v>7424</v>
      </c>
      <c r="D1823" s="56"/>
      <c r="E1823" s="56" t="s">
        <v>2939</v>
      </c>
      <c r="F1823" s="56" t="s">
        <v>7425</v>
      </c>
      <c r="G1823" s="56">
        <v>145</v>
      </c>
      <c r="H1823" s="56">
        <v>86</v>
      </c>
      <c r="I1823" s="56">
        <v>0.59310344827586203</v>
      </c>
      <c r="J1823" s="56" t="s">
        <v>7437</v>
      </c>
      <c r="K1823" s="56" t="s">
        <v>5612</v>
      </c>
      <c r="L1823" s="56" t="s">
        <v>3325</v>
      </c>
      <c r="N1823" s="56" t="s">
        <v>3446</v>
      </c>
      <c r="O1823" t="str">
        <f>_xlfn.XLOOKUP(N1823,'Error-codes'!$C$2:$C$130,'Error-codes'!$B$2:$B$130, "None")</f>
        <v>end of lane wall sensor error</v>
      </c>
      <c r="U1823" s="81">
        <f>DATEVALUE(LEFT(F1823,10))</f>
        <v>45010</v>
      </c>
    </row>
    <row r="1824" spans="1:21">
      <c r="A1824" s="56" t="s">
        <v>7438</v>
      </c>
      <c r="B1824" s="56" t="s">
        <v>29</v>
      </c>
      <c r="C1824" s="56" t="s">
        <v>7424</v>
      </c>
      <c r="D1824" s="56"/>
      <c r="E1824" s="56" t="s">
        <v>2939</v>
      </c>
      <c r="F1824" s="56" t="s">
        <v>7439</v>
      </c>
      <c r="G1824" s="56">
        <v>145</v>
      </c>
      <c r="H1824" s="56">
        <v>0</v>
      </c>
      <c r="I1824" s="56">
        <v>0</v>
      </c>
      <c r="J1824" s="56" t="s">
        <v>6815</v>
      </c>
      <c r="K1824" s="56" t="s">
        <v>5612</v>
      </c>
      <c r="L1824" s="56" t="s">
        <v>3325</v>
      </c>
      <c r="M1824" s="56" t="str">
        <f>HYPERLINK("https://dribble.octin.io/?mode=Single+log&amp;log_id=eb425a3f-c780-49d4-bd33-b9de8ff206b8","URL")</f>
        <v>URL</v>
      </c>
      <c r="N1824" s="56" t="s">
        <v>3446</v>
      </c>
      <c r="O1824" t="str">
        <f>_xlfn.XLOOKUP(N1824,'Error-codes'!$C$2:$C$130,'Error-codes'!$B$2:$B$130, "None")</f>
        <v>end of lane wall sensor error</v>
      </c>
      <c r="U1824" s="81">
        <f>DATEVALUE(LEFT(F1824,10))</f>
        <v>45010</v>
      </c>
    </row>
    <row r="1825" spans="1:21">
      <c r="A1825" s="56" t="s">
        <v>7440</v>
      </c>
      <c r="B1825" s="56" t="s">
        <v>29</v>
      </c>
      <c r="C1825" s="56" t="s">
        <v>7424</v>
      </c>
      <c r="D1825" s="56"/>
      <c r="E1825" s="56" t="s">
        <v>2939</v>
      </c>
      <c r="F1825" s="56" t="s">
        <v>7441</v>
      </c>
      <c r="G1825" s="56">
        <v>145</v>
      </c>
      <c r="H1825" s="56">
        <v>1</v>
      </c>
      <c r="I1825" s="56">
        <v>6.8965517241379309E-3</v>
      </c>
      <c r="J1825" s="56" t="s">
        <v>7442</v>
      </c>
      <c r="K1825" s="56" t="s">
        <v>5612</v>
      </c>
      <c r="L1825" s="56" t="s">
        <v>3325</v>
      </c>
      <c r="M1825" s="56" t="str">
        <f>HYPERLINK("https://dribble.octin.io/?mode=Single+log&amp;log_id=29b75944-ed98-4a7c-98b9-3056713872d8","URL")</f>
        <v>URL</v>
      </c>
      <c r="N1825" s="56" t="s">
        <v>3446</v>
      </c>
      <c r="O1825" t="str">
        <f>_xlfn.XLOOKUP(N1825,'Error-codes'!$C$2:$C$130,'Error-codes'!$B$2:$B$130, "None")</f>
        <v>end of lane wall sensor error</v>
      </c>
      <c r="U1825" s="81">
        <f>DATEVALUE(LEFT(F1825,10))</f>
        <v>45010</v>
      </c>
    </row>
    <row r="1826" spans="1:21">
      <c r="A1826" s="56" t="s">
        <v>7443</v>
      </c>
      <c r="B1826" s="56" t="s">
        <v>29</v>
      </c>
      <c r="C1826" s="56" t="s">
        <v>7424</v>
      </c>
      <c r="D1826" s="56"/>
      <c r="E1826" s="56" t="s">
        <v>2939</v>
      </c>
      <c r="F1826" s="56" t="s">
        <v>7444</v>
      </c>
      <c r="G1826" s="56">
        <v>145</v>
      </c>
      <c r="H1826" s="56">
        <v>2</v>
      </c>
      <c r="I1826" s="56">
        <v>1.3793103448275862E-2</v>
      </c>
      <c r="J1826" s="56" t="s">
        <v>7445</v>
      </c>
      <c r="K1826" s="56" t="s">
        <v>5612</v>
      </c>
      <c r="L1826" s="56" t="s">
        <v>3325</v>
      </c>
      <c r="M1826" s="56" t="str">
        <f>HYPERLINK("https://dribble.octin.io/?mode=Single+log&amp;log_id=6fc9a762-0eca-40a5-bf8e-4244880d8092","URL")</f>
        <v>URL</v>
      </c>
      <c r="N1826" s="56" t="s">
        <v>3446</v>
      </c>
      <c r="O1826" t="str">
        <f>_xlfn.XLOOKUP(N1826,'Error-codes'!$C$2:$C$130,'Error-codes'!$B$2:$B$130, "None")</f>
        <v>end of lane wall sensor error</v>
      </c>
      <c r="U1826" s="81">
        <f>DATEVALUE(LEFT(F1826,10))</f>
        <v>45010</v>
      </c>
    </row>
    <row r="1827" spans="1:21">
      <c r="A1827" s="56" t="s">
        <v>7446</v>
      </c>
      <c r="B1827" s="56" t="s">
        <v>29</v>
      </c>
      <c r="C1827" s="56" t="s">
        <v>7424</v>
      </c>
      <c r="D1827" s="56"/>
      <c r="E1827" s="56" t="s">
        <v>2939</v>
      </c>
      <c r="F1827" s="56" t="s">
        <v>7447</v>
      </c>
      <c r="G1827" s="56">
        <v>145</v>
      </c>
      <c r="H1827" s="56">
        <v>3</v>
      </c>
      <c r="I1827" s="56">
        <v>2.0689655172413793E-2</v>
      </c>
      <c r="J1827" s="56" t="s">
        <v>7448</v>
      </c>
      <c r="K1827" s="56" t="s">
        <v>5612</v>
      </c>
      <c r="L1827" s="56" t="s">
        <v>3325</v>
      </c>
      <c r="M1827" s="56" t="str">
        <f>HYPERLINK("https://dribble.octin.io/?mode=Single+log&amp;log_id=366e5f2e-d9db-4e99-9074-631df7b5d655","URL")</f>
        <v>URL</v>
      </c>
      <c r="N1827" s="56" t="s">
        <v>3446</v>
      </c>
      <c r="O1827" t="str">
        <f>_xlfn.XLOOKUP(N1827,'Error-codes'!$C$2:$C$130,'Error-codes'!$B$2:$B$130, "None")</f>
        <v>end of lane wall sensor error</v>
      </c>
      <c r="U1827" s="81">
        <f>DATEVALUE(LEFT(F1827,10))</f>
        <v>45010</v>
      </c>
    </row>
    <row r="1828" spans="1:21">
      <c r="A1828" s="56" t="s">
        <v>7449</v>
      </c>
      <c r="B1828" s="56" t="s">
        <v>29</v>
      </c>
      <c r="C1828" s="56" t="s">
        <v>7424</v>
      </c>
      <c r="D1828" s="56"/>
      <c r="E1828" s="56" t="s">
        <v>2939</v>
      </c>
      <c r="F1828" s="56" t="s">
        <v>7450</v>
      </c>
      <c r="G1828" s="56">
        <v>145</v>
      </c>
      <c r="H1828" s="56">
        <v>4</v>
      </c>
      <c r="I1828" s="56">
        <v>2.7586206896551724E-2</v>
      </c>
      <c r="J1828" s="56" t="s">
        <v>5611</v>
      </c>
      <c r="K1828" s="56" t="s">
        <v>5612</v>
      </c>
      <c r="L1828" s="56" t="s">
        <v>3325</v>
      </c>
      <c r="M1828" s="56" t="str">
        <f>HYPERLINK("https://dribble.octin.io/?mode=Single+log&amp;log_id=cdcff032-f9da-415d-8083-8d53b76719f9","URL")</f>
        <v>URL</v>
      </c>
      <c r="N1828" s="56" t="s">
        <v>3446</v>
      </c>
      <c r="O1828" t="str">
        <f>_xlfn.XLOOKUP(N1828,'Error-codes'!$C$2:$C$130,'Error-codes'!$B$2:$B$130, "None")</f>
        <v>end of lane wall sensor error</v>
      </c>
      <c r="U1828" s="81">
        <f>DATEVALUE(LEFT(F1828,10))</f>
        <v>45010</v>
      </c>
    </row>
    <row r="1829" spans="1:21">
      <c r="A1829" s="56" t="s">
        <v>7451</v>
      </c>
      <c r="B1829" s="56" t="s">
        <v>29</v>
      </c>
      <c r="C1829" s="56" t="s">
        <v>7424</v>
      </c>
      <c r="D1829" s="56"/>
      <c r="E1829" s="56" t="s">
        <v>2939</v>
      </c>
      <c r="F1829" s="56" t="s">
        <v>7452</v>
      </c>
      <c r="G1829" s="56">
        <v>145</v>
      </c>
      <c r="H1829" s="56">
        <v>5</v>
      </c>
      <c r="I1829" s="56">
        <v>3.4482758620689655E-2</v>
      </c>
      <c r="J1829" s="56" t="s">
        <v>5615</v>
      </c>
      <c r="K1829" s="56" t="s">
        <v>5612</v>
      </c>
      <c r="L1829" s="56" t="s">
        <v>3325</v>
      </c>
      <c r="M1829" s="56" t="str">
        <f>HYPERLINK("https://dribble.octin.io/?mode=Single+log&amp;log_id=28388b33-c214-4fc6-aaf9-0a411aecb0b4","URL")</f>
        <v>URL</v>
      </c>
      <c r="N1829" s="56" t="s">
        <v>3446</v>
      </c>
      <c r="O1829" t="str">
        <f>_xlfn.XLOOKUP(N1829,'Error-codes'!$C$2:$C$130,'Error-codes'!$B$2:$B$130, "None")</f>
        <v>end of lane wall sensor error</v>
      </c>
      <c r="U1829" s="81">
        <f>DATEVALUE(LEFT(F1829,10))</f>
        <v>45010</v>
      </c>
    </row>
    <row r="1830" spans="1:21">
      <c r="A1830" s="56" t="s">
        <v>7453</v>
      </c>
      <c r="B1830" s="56" t="s">
        <v>29</v>
      </c>
      <c r="C1830" s="56" t="s">
        <v>7424</v>
      </c>
      <c r="D1830" s="56"/>
      <c r="E1830" s="56" t="s">
        <v>2939</v>
      </c>
      <c r="F1830" s="56" t="s">
        <v>7454</v>
      </c>
      <c r="G1830" s="56">
        <v>145</v>
      </c>
      <c r="H1830" s="56">
        <v>6</v>
      </c>
      <c r="I1830" s="56">
        <v>4.1379310344827586E-2</v>
      </c>
      <c r="J1830" s="56" t="s">
        <v>5618</v>
      </c>
      <c r="K1830" s="56" t="s">
        <v>5612</v>
      </c>
      <c r="L1830" s="56" t="s">
        <v>3325</v>
      </c>
      <c r="M1830" s="56" t="str">
        <f>HYPERLINK("https://dribble.octin.io/?mode=Single+log&amp;log_id=de12abdb-8898-4d25-bcc0-d8752b336713","URL")</f>
        <v>URL</v>
      </c>
      <c r="N1830" s="56" t="s">
        <v>3446</v>
      </c>
      <c r="O1830" t="str">
        <f>_xlfn.XLOOKUP(N1830,'Error-codes'!$C$2:$C$130,'Error-codes'!$B$2:$B$130, "None")</f>
        <v>end of lane wall sensor error</v>
      </c>
      <c r="U1830" s="81">
        <f>DATEVALUE(LEFT(F1830,10))</f>
        <v>45010</v>
      </c>
    </row>
    <row r="1831" spans="1:21">
      <c r="A1831" s="56" t="s">
        <v>7455</v>
      </c>
      <c r="B1831" s="56" t="s">
        <v>29</v>
      </c>
      <c r="C1831" s="56" t="s">
        <v>7424</v>
      </c>
      <c r="D1831" s="56"/>
      <c r="E1831" s="56" t="s">
        <v>2939</v>
      </c>
      <c r="F1831" s="56" t="s">
        <v>7456</v>
      </c>
      <c r="G1831" s="56">
        <v>145</v>
      </c>
      <c r="H1831" s="56">
        <v>7</v>
      </c>
      <c r="I1831" s="56">
        <v>4.8275862068965517E-2</v>
      </c>
      <c r="J1831" s="56" t="s">
        <v>7457</v>
      </c>
      <c r="K1831" s="56" t="s">
        <v>5612</v>
      </c>
      <c r="L1831" s="56" t="s">
        <v>3325</v>
      </c>
      <c r="M1831" s="56" t="str">
        <f>HYPERLINK("https://dribble.octin.io/?mode=Single+log&amp;log_id=fcbc2506-8b07-4e7f-a357-c14f9ded3be9","URL")</f>
        <v>URL</v>
      </c>
      <c r="N1831" s="56" t="s">
        <v>3446</v>
      </c>
      <c r="O1831" t="str">
        <f>_xlfn.XLOOKUP(N1831,'Error-codes'!$C$2:$C$130,'Error-codes'!$B$2:$B$130, "None")</f>
        <v>end of lane wall sensor error</v>
      </c>
      <c r="U1831" s="81">
        <f>DATEVALUE(LEFT(F1831,10))</f>
        <v>45010</v>
      </c>
    </row>
    <row r="1832" spans="1:21">
      <c r="A1832" s="56" t="s">
        <v>7458</v>
      </c>
      <c r="B1832" s="56" t="s">
        <v>29</v>
      </c>
      <c r="C1832" s="56" t="s">
        <v>7424</v>
      </c>
      <c r="D1832" s="56"/>
      <c r="E1832" s="56" t="s">
        <v>2939</v>
      </c>
      <c r="F1832" s="56" t="s">
        <v>7459</v>
      </c>
      <c r="G1832" s="56">
        <v>145</v>
      </c>
      <c r="H1832" s="56">
        <v>8</v>
      </c>
      <c r="I1832" s="56">
        <v>5.5172413793103448E-2</v>
      </c>
      <c r="J1832" s="56" t="s">
        <v>7460</v>
      </c>
      <c r="K1832" s="56" t="s">
        <v>5612</v>
      </c>
      <c r="L1832" s="56" t="s">
        <v>3325</v>
      </c>
      <c r="M1832" s="56" t="str">
        <f>HYPERLINK("https://dribble.octin.io/?mode=Single+log&amp;log_id=303d0e21-b754-4b5d-93e1-63b602ca8616","URL")</f>
        <v>URL</v>
      </c>
      <c r="N1832" s="56" t="s">
        <v>3446</v>
      </c>
      <c r="O1832" t="str">
        <f>_xlfn.XLOOKUP(N1832,'Error-codes'!$C$2:$C$130,'Error-codes'!$B$2:$B$130, "None")</f>
        <v>end of lane wall sensor error</v>
      </c>
      <c r="U1832" s="81">
        <f>DATEVALUE(LEFT(F1832,10))</f>
        <v>45010</v>
      </c>
    </row>
    <row r="1833" spans="1:21">
      <c r="A1833" s="56" t="s">
        <v>7461</v>
      </c>
      <c r="B1833" s="56" t="s">
        <v>29</v>
      </c>
      <c r="C1833" s="56" t="s">
        <v>7424</v>
      </c>
      <c r="D1833" s="56"/>
      <c r="E1833" s="56" t="s">
        <v>2939</v>
      </c>
      <c r="F1833" s="56" t="s">
        <v>7462</v>
      </c>
      <c r="G1833" s="56">
        <v>145</v>
      </c>
      <c r="H1833" s="56">
        <v>9</v>
      </c>
      <c r="I1833" s="56">
        <v>6.2068965517241378E-2</v>
      </c>
      <c r="J1833" s="56" t="s">
        <v>7463</v>
      </c>
      <c r="K1833" s="56" t="s">
        <v>5612</v>
      </c>
      <c r="L1833" s="56" t="s">
        <v>3325</v>
      </c>
      <c r="M1833" s="56" t="str">
        <f>HYPERLINK("https://dribble.octin.io/?mode=Single+log&amp;log_id=6f829d68-e44f-43da-bc0b-ddc3454fa552","URL")</f>
        <v>URL</v>
      </c>
      <c r="N1833" s="56" t="s">
        <v>3446</v>
      </c>
      <c r="O1833" t="str">
        <f>_xlfn.XLOOKUP(N1833,'Error-codes'!$C$2:$C$130,'Error-codes'!$B$2:$B$130, "None")</f>
        <v>end of lane wall sensor error</v>
      </c>
      <c r="U1833" s="81">
        <f>DATEVALUE(LEFT(F1833,10))</f>
        <v>45010</v>
      </c>
    </row>
    <row r="1834" spans="1:21">
      <c r="A1834" s="56" t="s">
        <v>7464</v>
      </c>
      <c r="B1834" s="56" t="s">
        <v>29</v>
      </c>
      <c r="C1834" s="56" t="s">
        <v>7424</v>
      </c>
      <c r="D1834" s="56"/>
      <c r="E1834" s="56" t="s">
        <v>2939</v>
      </c>
      <c r="F1834" s="56" t="s">
        <v>7465</v>
      </c>
      <c r="G1834" s="56">
        <v>145</v>
      </c>
      <c r="H1834" s="56">
        <v>10</v>
      </c>
      <c r="I1834" s="56">
        <v>6.8965517241379309E-2</v>
      </c>
      <c r="J1834" s="56" t="s">
        <v>7466</v>
      </c>
      <c r="K1834" s="56" t="s">
        <v>5612</v>
      </c>
      <c r="L1834" s="56" t="s">
        <v>3325</v>
      </c>
      <c r="M1834" s="56" t="str">
        <f>HYPERLINK("https://dribble.octin.io/?mode=Single+log&amp;log_id=a19420e0-6cfd-42ea-839e-3ca359f7cf03","URL")</f>
        <v>URL</v>
      </c>
      <c r="N1834" s="56" t="s">
        <v>3446</v>
      </c>
      <c r="O1834" t="str">
        <f>_xlfn.XLOOKUP(N1834,'Error-codes'!$C$2:$C$130,'Error-codes'!$B$2:$B$130, "None")</f>
        <v>end of lane wall sensor error</v>
      </c>
      <c r="U1834" s="81">
        <f>DATEVALUE(LEFT(F1834,10))</f>
        <v>45010</v>
      </c>
    </row>
    <row r="1835" spans="1:21">
      <c r="A1835" s="56" t="s">
        <v>7467</v>
      </c>
      <c r="B1835" s="56" t="s">
        <v>29</v>
      </c>
      <c r="C1835" s="56" t="s">
        <v>7424</v>
      </c>
      <c r="D1835" s="56"/>
      <c r="E1835" s="56" t="s">
        <v>2939</v>
      </c>
      <c r="F1835" s="56" t="s">
        <v>7468</v>
      </c>
      <c r="G1835" s="56">
        <v>145</v>
      </c>
      <c r="H1835" s="56">
        <v>11</v>
      </c>
      <c r="I1835" s="56">
        <v>7.586206896551724E-2</v>
      </c>
      <c r="J1835" s="56" t="s">
        <v>6191</v>
      </c>
      <c r="K1835" s="56" t="s">
        <v>5612</v>
      </c>
      <c r="L1835" s="56" t="s">
        <v>3325</v>
      </c>
      <c r="M1835" s="56" t="str">
        <f>HYPERLINK("https://dribble.octin.io/?mode=Single+log&amp;log_id=2683b6d9-2898-49da-a091-7768b92ce253","URL")</f>
        <v>URL</v>
      </c>
      <c r="N1835" s="56" t="s">
        <v>3446</v>
      </c>
      <c r="O1835" t="str">
        <f>_xlfn.XLOOKUP(N1835,'Error-codes'!$C$2:$C$130,'Error-codes'!$B$2:$B$130, "None")</f>
        <v>end of lane wall sensor error</v>
      </c>
      <c r="U1835" s="81">
        <f>DATEVALUE(LEFT(F1835,10))</f>
        <v>45010</v>
      </c>
    </row>
    <row r="1836" spans="1:21">
      <c r="A1836" s="56" t="s">
        <v>7469</v>
      </c>
      <c r="B1836" s="56" t="s">
        <v>29</v>
      </c>
      <c r="C1836" s="56" t="s">
        <v>7424</v>
      </c>
      <c r="D1836" s="56"/>
      <c r="E1836" s="56" t="s">
        <v>2939</v>
      </c>
      <c r="F1836" s="56" t="s">
        <v>7470</v>
      </c>
      <c r="G1836" s="56">
        <v>145</v>
      </c>
      <c r="H1836" s="56">
        <v>12</v>
      </c>
      <c r="I1836" s="56">
        <v>8.2758620689655171E-2</v>
      </c>
      <c r="J1836" s="56" t="s">
        <v>7471</v>
      </c>
      <c r="K1836" s="56" t="s">
        <v>5612</v>
      </c>
      <c r="L1836" s="56" t="s">
        <v>3325</v>
      </c>
      <c r="M1836" s="56" t="str">
        <f>HYPERLINK("https://dribble.octin.io/?mode=Single+log&amp;log_id=8bfb3707-4adb-4edd-ac38-f9efa0177a76","URL")</f>
        <v>URL</v>
      </c>
      <c r="N1836" s="56" t="s">
        <v>3446</v>
      </c>
      <c r="O1836" t="str">
        <f>_xlfn.XLOOKUP(N1836,'Error-codes'!$C$2:$C$130,'Error-codes'!$B$2:$B$130, "None")</f>
        <v>end of lane wall sensor error</v>
      </c>
      <c r="U1836" s="81">
        <f>DATEVALUE(LEFT(F1836,10))</f>
        <v>45010</v>
      </c>
    </row>
    <row r="1837" spans="1:21">
      <c r="A1837" s="56" t="s">
        <v>7472</v>
      </c>
      <c r="B1837" s="56" t="s">
        <v>29</v>
      </c>
      <c r="C1837" s="56" t="s">
        <v>7424</v>
      </c>
      <c r="D1837" s="56"/>
      <c r="E1837" s="56" t="s">
        <v>2939</v>
      </c>
      <c r="F1837" s="56" t="s">
        <v>7473</v>
      </c>
      <c r="G1837" s="56">
        <v>145</v>
      </c>
      <c r="H1837" s="56">
        <v>13</v>
      </c>
      <c r="I1837" s="56">
        <v>8.9655172413793102E-2</v>
      </c>
      <c r="J1837" s="56" t="s">
        <v>7474</v>
      </c>
      <c r="K1837" s="56" t="s">
        <v>5612</v>
      </c>
      <c r="L1837" s="56" t="s">
        <v>3325</v>
      </c>
      <c r="M1837" s="56" t="str">
        <f>HYPERLINK("https://dribble.octin.io/?mode=Single+log&amp;log_id=397b3c9a-c089-461e-8897-a4c40d4912d4","URL")</f>
        <v>URL</v>
      </c>
      <c r="N1837" s="56" t="s">
        <v>3446</v>
      </c>
      <c r="O1837" t="str">
        <f>_xlfn.XLOOKUP(N1837,'Error-codes'!$C$2:$C$130,'Error-codes'!$B$2:$B$130, "None")</f>
        <v>end of lane wall sensor error</v>
      </c>
      <c r="U1837" s="81">
        <f>DATEVALUE(LEFT(F1837,10))</f>
        <v>45010</v>
      </c>
    </row>
    <row r="1838" spans="1:21">
      <c r="A1838" s="56" t="s">
        <v>7475</v>
      </c>
      <c r="B1838" s="56" t="s">
        <v>29</v>
      </c>
      <c r="C1838" s="56" t="s">
        <v>7424</v>
      </c>
      <c r="D1838" s="56"/>
      <c r="E1838" s="56" t="s">
        <v>2939</v>
      </c>
      <c r="F1838" s="56" t="s">
        <v>7476</v>
      </c>
      <c r="G1838" s="56">
        <v>145</v>
      </c>
      <c r="H1838" s="56">
        <v>14</v>
      </c>
      <c r="I1838" s="56">
        <v>9.6551724137931033E-2</v>
      </c>
      <c r="J1838" s="56" t="s">
        <v>7477</v>
      </c>
      <c r="K1838" s="56" t="s">
        <v>5612</v>
      </c>
      <c r="L1838" s="56" t="s">
        <v>3325</v>
      </c>
      <c r="M1838" s="56" t="str">
        <f>HYPERLINK("https://dribble.octin.io/?mode=Single+log&amp;log_id=e34943a8-84c5-4874-9780-25f9324b4bc6","URL")</f>
        <v>URL</v>
      </c>
      <c r="N1838" s="56" t="s">
        <v>3446</v>
      </c>
      <c r="O1838" t="str">
        <f>_xlfn.XLOOKUP(N1838,'Error-codes'!$C$2:$C$130,'Error-codes'!$B$2:$B$130, "None")</f>
        <v>end of lane wall sensor error</v>
      </c>
      <c r="U1838" s="81">
        <f>DATEVALUE(LEFT(F1838,10))</f>
        <v>45010</v>
      </c>
    </row>
    <row r="1839" spans="1:21">
      <c r="A1839" s="56" t="s">
        <v>7478</v>
      </c>
      <c r="B1839" s="56" t="s">
        <v>29</v>
      </c>
      <c r="C1839" s="56" t="s">
        <v>7424</v>
      </c>
      <c r="D1839" s="56"/>
      <c r="E1839" s="56" t="s">
        <v>2939</v>
      </c>
      <c r="F1839" s="56" t="s">
        <v>7479</v>
      </c>
      <c r="G1839" s="56">
        <v>145</v>
      </c>
      <c r="H1839" s="56">
        <v>15</v>
      </c>
      <c r="I1839" s="56">
        <v>0.10344827586206896</v>
      </c>
      <c r="J1839" s="56" t="s">
        <v>7480</v>
      </c>
      <c r="K1839" s="56" t="s">
        <v>5612</v>
      </c>
      <c r="L1839" s="56" t="s">
        <v>3325</v>
      </c>
      <c r="M1839" s="56" t="str">
        <f>HYPERLINK("https://dribble.octin.io/?mode=Single+log&amp;log_id=0640df65-3ee7-4f5d-a890-11fa240f00fc","URL")</f>
        <v>URL</v>
      </c>
      <c r="N1839" s="56" t="s">
        <v>3446</v>
      </c>
      <c r="O1839" t="str">
        <f>_xlfn.XLOOKUP(N1839,'Error-codes'!$C$2:$C$130,'Error-codes'!$B$2:$B$130, "None")</f>
        <v>end of lane wall sensor error</v>
      </c>
      <c r="U1839" s="81">
        <f>DATEVALUE(LEFT(F1839,10))</f>
        <v>45010</v>
      </c>
    </row>
    <row r="1840" spans="1:21">
      <c r="A1840" s="56" t="s">
        <v>7481</v>
      </c>
      <c r="B1840" s="56" t="s">
        <v>29</v>
      </c>
      <c r="C1840" s="56" t="s">
        <v>7424</v>
      </c>
      <c r="D1840" s="56"/>
      <c r="E1840" s="56" t="s">
        <v>2939</v>
      </c>
      <c r="F1840" s="56" t="s">
        <v>7482</v>
      </c>
      <c r="G1840" s="56">
        <v>145</v>
      </c>
      <c r="H1840" s="56">
        <v>16</v>
      </c>
      <c r="I1840" s="56">
        <v>0.1103448275862069</v>
      </c>
      <c r="J1840" s="56" t="s">
        <v>7483</v>
      </c>
      <c r="K1840" s="56" t="s">
        <v>5612</v>
      </c>
      <c r="L1840" s="56" t="s">
        <v>3325</v>
      </c>
      <c r="M1840" s="56" t="str">
        <f>HYPERLINK("https://dribble.octin.io/?mode=Single+log&amp;log_id=cdb2f608-7aa8-4cdd-9a7f-a3f376e61bc0","URL")</f>
        <v>URL</v>
      </c>
      <c r="N1840" s="56" t="s">
        <v>3446</v>
      </c>
      <c r="O1840" t="str">
        <f>_xlfn.XLOOKUP(N1840,'Error-codes'!$C$2:$C$130,'Error-codes'!$B$2:$B$130, "None")</f>
        <v>end of lane wall sensor error</v>
      </c>
      <c r="U1840" s="81">
        <f>DATEVALUE(LEFT(F1840,10))</f>
        <v>45010</v>
      </c>
    </row>
    <row r="1841" spans="1:21">
      <c r="A1841" s="56" t="s">
        <v>7484</v>
      </c>
      <c r="B1841" s="56" t="s">
        <v>29</v>
      </c>
      <c r="C1841" s="56" t="s">
        <v>7424</v>
      </c>
      <c r="D1841" s="56"/>
      <c r="E1841" s="56" t="s">
        <v>2939</v>
      </c>
      <c r="F1841" s="56" t="s">
        <v>7485</v>
      </c>
      <c r="G1841" s="56">
        <v>145</v>
      </c>
      <c r="H1841" s="56">
        <v>17</v>
      </c>
      <c r="I1841" s="56">
        <v>0.11724137931034483</v>
      </c>
      <c r="J1841" s="56" t="s">
        <v>7486</v>
      </c>
      <c r="K1841" s="56" t="s">
        <v>5612</v>
      </c>
      <c r="L1841" s="56" t="s">
        <v>3325</v>
      </c>
      <c r="M1841" s="56" t="str">
        <f>HYPERLINK("https://dribble.octin.io/?mode=Single+log&amp;log_id=df48f3dc-b791-439c-b357-895b2a6c97f9","URL")</f>
        <v>URL</v>
      </c>
      <c r="N1841" s="56" t="s">
        <v>3446</v>
      </c>
      <c r="O1841" t="str">
        <f>_xlfn.XLOOKUP(N1841,'Error-codes'!$C$2:$C$130,'Error-codes'!$B$2:$B$130, "None")</f>
        <v>end of lane wall sensor error</v>
      </c>
      <c r="U1841" s="81">
        <f>DATEVALUE(LEFT(F1841,10))</f>
        <v>45010</v>
      </c>
    </row>
    <row r="1842" spans="1:21">
      <c r="A1842" s="56" t="s">
        <v>7487</v>
      </c>
      <c r="B1842" s="56" t="s">
        <v>29</v>
      </c>
      <c r="C1842" s="56" t="s">
        <v>7424</v>
      </c>
      <c r="D1842" s="56"/>
      <c r="E1842" s="56" t="s">
        <v>2939</v>
      </c>
      <c r="F1842" s="56" t="s">
        <v>7488</v>
      </c>
      <c r="G1842" s="56">
        <v>145</v>
      </c>
      <c r="H1842" s="56">
        <v>18</v>
      </c>
      <c r="I1842" s="56">
        <v>0.12413793103448276</v>
      </c>
      <c r="J1842" s="56" t="s">
        <v>7489</v>
      </c>
      <c r="K1842" s="56" t="s">
        <v>5612</v>
      </c>
      <c r="L1842" s="56" t="s">
        <v>3325</v>
      </c>
      <c r="M1842" s="56" t="str">
        <f>HYPERLINK("https://dribble.octin.io/?mode=Single+log&amp;log_id=dcfa3805-94aa-408b-b695-2d4c0908b30e","URL")</f>
        <v>URL</v>
      </c>
      <c r="N1842" s="56" t="s">
        <v>3446</v>
      </c>
      <c r="O1842" t="str">
        <f>_xlfn.XLOOKUP(N1842,'Error-codes'!$C$2:$C$130,'Error-codes'!$B$2:$B$130, "None")</f>
        <v>end of lane wall sensor error</v>
      </c>
      <c r="U1842" s="81">
        <f>DATEVALUE(LEFT(F1842,10))</f>
        <v>45010</v>
      </c>
    </row>
    <row r="1843" spans="1:21">
      <c r="A1843" s="56" t="s">
        <v>7490</v>
      </c>
      <c r="B1843" s="56" t="s">
        <v>29</v>
      </c>
      <c r="C1843" s="56" t="s">
        <v>7424</v>
      </c>
      <c r="D1843" s="56"/>
      <c r="E1843" s="56" t="s">
        <v>2939</v>
      </c>
      <c r="F1843" s="56" t="s">
        <v>7491</v>
      </c>
      <c r="G1843" s="56">
        <v>145</v>
      </c>
      <c r="H1843" s="56">
        <v>19</v>
      </c>
      <c r="I1843" s="56">
        <v>0.1310344827586207</v>
      </c>
      <c r="J1843" s="56" t="s">
        <v>7492</v>
      </c>
      <c r="K1843" s="56" t="s">
        <v>5612</v>
      </c>
      <c r="L1843" s="56" t="s">
        <v>3325</v>
      </c>
      <c r="M1843" s="56" t="str">
        <f>HYPERLINK("https://dribble.octin.io/?mode=Single+log&amp;log_id=d616dacc-1917-4fca-816b-8ac63ac4fe3a","URL")</f>
        <v>URL</v>
      </c>
      <c r="N1843" s="56" t="s">
        <v>3446</v>
      </c>
      <c r="O1843" t="str">
        <f>_xlfn.XLOOKUP(N1843,'Error-codes'!$C$2:$C$130,'Error-codes'!$B$2:$B$130, "None")</f>
        <v>end of lane wall sensor error</v>
      </c>
      <c r="U1843" s="81">
        <f>DATEVALUE(LEFT(F1843,10))</f>
        <v>45010</v>
      </c>
    </row>
    <row r="1844" spans="1:21">
      <c r="A1844" s="56" t="s">
        <v>7493</v>
      </c>
      <c r="B1844" s="56" t="s">
        <v>29</v>
      </c>
      <c r="C1844" s="56" t="s">
        <v>7424</v>
      </c>
      <c r="D1844" s="56"/>
      <c r="E1844" s="56" t="s">
        <v>2939</v>
      </c>
      <c r="F1844" s="56" t="s">
        <v>7494</v>
      </c>
      <c r="G1844" s="56">
        <v>145</v>
      </c>
      <c r="H1844" s="56">
        <v>20</v>
      </c>
      <c r="I1844" s="56">
        <v>0.13793103448275862</v>
      </c>
      <c r="J1844" s="56" t="s">
        <v>7495</v>
      </c>
      <c r="K1844" s="56" t="s">
        <v>5612</v>
      </c>
      <c r="L1844" s="56" t="s">
        <v>3325</v>
      </c>
      <c r="M1844" s="56" t="str">
        <f>HYPERLINK("https://dribble.octin.io/?mode=Single+log&amp;log_id=10a03c28-605c-4cd0-b1df-1e19ff44cc02","URL")</f>
        <v>URL</v>
      </c>
      <c r="N1844" s="56" t="s">
        <v>3446</v>
      </c>
      <c r="O1844" t="str">
        <f>_xlfn.XLOOKUP(N1844,'Error-codes'!$C$2:$C$130,'Error-codes'!$B$2:$B$130, "None")</f>
        <v>end of lane wall sensor error</v>
      </c>
      <c r="U1844" s="81">
        <f>DATEVALUE(LEFT(F1844,10))</f>
        <v>45010</v>
      </c>
    </row>
    <row r="1845" spans="1:21">
      <c r="A1845" s="56" t="s">
        <v>7496</v>
      </c>
      <c r="B1845" s="56" t="s">
        <v>29</v>
      </c>
      <c r="C1845" s="56" t="s">
        <v>7424</v>
      </c>
      <c r="D1845" s="56"/>
      <c r="E1845" s="56" t="s">
        <v>2939</v>
      </c>
      <c r="F1845" s="56" t="s">
        <v>7497</v>
      </c>
      <c r="G1845" s="56">
        <v>145</v>
      </c>
      <c r="H1845" s="56">
        <v>21</v>
      </c>
      <c r="I1845" s="56">
        <v>0.14482758620689656</v>
      </c>
      <c r="J1845" s="56" t="s">
        <v>7498</v>
      </c>
      <c r="K1845" s="56" t="s">
        <v>5612</v>
      </c>
      <c r="L1845" s="56" t="s">
        <v>3325</v>
      </c>
      <c r="M1845" s="56" t="str">
        <f>HYPERLINK("https://dribble.octin.io/?mode=Single+log&amp;log_id=35b42c08-816e-4fb2-96d5-e74520f00439","URL")</f>
        <v>URL</v>
      </c>
      <c r="N1845" s="56" t="s">
        <v>3446</v>
      </c>
      <c r="O1845" t="str">
        <f>_xlfn.XLOOKUP(N1845,'Error-codes'!$C$2:$C$130,'Error-codes'!$B$2:$B$130, "None")</f>
        <v>end of lane wall sensor error</v>
      </c>
      <c r="U1845" s="81">
        <f>DATEVALUE(LEFT(F1845,10))</f>
        <v>45010</v>
      </c>
    </row>
    <row r="1846" spans="1:21">
      <c r="A1846" s="56" t="s">
        <v>7499</v>
      </c>
      <c r="B1846" s="56" t="s">
        <v>29</v>
      </c>
      <c r="C1846" s="56" t="s">
        <v>7424</v>
      </c>
      <c r="D1846" s="56"/>
      <c r="E1846" s="56" t="s">
        <v>2939</v>
      </c>
      <c r="F1846" s="56" t="s">
        <v>7500</v>
      </c>
      <c r="G1846" s="56">
        <v>145</v>
      </c>
      <c r="H1846" s="56">
        <v>22</v>
      </c>
      <c r="I1846" s="56">
        <v>0.15172413793103448</v>
      </c>
      <c r="J1846" s="56" t="s">
        <v>7501</v>
      </c>
      <c r="K1846" s="56" t="s">
        <v>5612</v>
      </c>
      <c r="L1846" s="56" t="s">
        <v>3325</v>
      </c>
      <c r="M1846" s="56" t="str">
        <f>HYPERLINK("https://dribble.octin.io/?mode=Single+log&amp;log_id=274e9815-cca9-4305-a371-3e610d5f5f7c","URL")</f>
        <v>URL</v>
      </c>
      <c r="N1846" s="56" t="s">
        <v>3446</v>
      </c>
      <c r="O1846" t="str">
        <f>_xlfn.XLOOKUP(N1846,'Error-codes'!$C$2:$C$130,'Error-codes'!$B$2:$B$130, "None")</f>
        <v>end of lane wall sensor error</v>
      </c>
      <c r="U1846" s="81">
        <f>DATEVALUE(LEFT(F1846,10))</f>
        <v>45010</v>
      </c>
    </row>
    <row r="1847" spans="1:21">
      <c r="A1847" s="56" t="s">
        <v>7502</v>
      </c>
      <c r="B1847" s="56" t="s">
        <v>29</v>
      </c>
      <c r="C1847" s="56" t="s">
        <v>7424</v>
      </c>
      <c r="D1847" s="56"/>
      <c r="E1847" s="56" t="s">
        <v>2939</v>
      </c>
      <c r="F1847" s="56" t="s">
        <v>7503</v>
      </c>
      <c r="G1847" s="56">
        <v>145</v>
      </c>
      <c r="H1847" s="56">
        <v>23</v>
      </c>
      <c r="I1847" s="56">
        <v>0.15862068965517243</v>
      </c>
      <c r="J1847" s="56" t="s">
        <v>7504</v>
      </c>
      <c r="K1847" s="56" t="s">
        <v>5612</v>
      </c>
      <c r="L1847" s="56" t="s">
        <v>3325</v>
      </c>
      <c r="M1847" s="56" t="str">
        <f>HYPERLINK("https://dribble.octin.io/?mode=Single+log&amp;log_id=e1c4e68d-fa61-4f4b-8da4-bcbc201a6ee2","URL")</f>
        <v>URL</v>
      </c>
      <c r="N1847" s="56" t="s">
        <v>3446</v>
      </c>
      <c r="O1847" t="str">
        <f>_xlfn.XLOOKUP(N1847,'Error-codes'!$C$2:$C$130,'Error-codes'!$B$2:$B$130, "None")</f>
        <v>end of lane wall sensor error</v>
      </c>
      <c r="U1847" s="81">
        <f>DATEVALUE(LEFT(F1847,10))</f>
        <v>45011</v>
      </c>
    </row>
    <row r="1848" spans="1:21">
      <c r="A1848" s="56" t="s">
        <v>7505</v>
      </c>
      <c r="B1848" s="56" t="s">
        <v>29</v>
      </c>
      <c r="C1848" s="56" t="s">
        <v>7424</v>
      </c>
      <c r="D1848" s="56"/>
      <c r="E1848" s="56" t="s">
        <v>2939</v>
      </c>
      <c r="F1848" s="56" t="s">
        <v>7506</v>
      </c>
      <c r="G1848" s="56">
        <v>145</v>
      </c>
      <c r="H1848" s="56">
        <v>24</v>
      </c>
      <c r="I1848" s="56">
        <v>0.16551724137931034</v>
      </c>
      <c r="J1848" s="56" t="s">
        <v>7507</v>
      </c>
      <c r="K1848" s="56" t="s">
        <v>5612</v>
      </c>
      <c r="L1848" s="56" t="s">
        <v>3325</v>
      </c>
      <c r="M1848" s="56" t="str">
        <f>HYPERLINK("https://dribble.octin.io/?mode=Single+log&amp;log_id=b7d79a6b-d45b-4b01-8229-e842e6452d15","URL")</f>
        <v>URL</v>
      </c>
      <c r="N1848" s="56" t="s">
        <v>3446</v>
      </c>
      <c r="O1848" t="str">
        <f>_xlfn.XLOOKUP(N1848,'Error-codes'!$C$2:$C$130,'Error-codes'!$B$2:$B$130, "None")</f>
        <v>end of lane wall sensor error</v>
      </c>
      <c r="U1848" s="81">
        <f>DATEVALUE(LEFT(F1848,10))</f>
        <v>45011</v>
      </c>
    </row>
    <row r="1849" spans="1:21">
      <c r="A1849" s="56" t="s">
        <v>7508</v>
      </c>
      <c r="B1849" s="56" t="s">
        <v>29</v>
      </c>
      <c r="C1849" s="56" t="s">
        <v>7424</v>
      </c>
      <c r="D1849" s="56"/>
      <c r="E1849" s="56" t="s">
        <v>2939</v>
      </c>
      <c r="F1849" s="56" t="s">
        <v>7509</v>
      </c>
      <c r="G1849" s="56">
        <v>145</v>
      </c>
      <c r="H1849" s="56">
        <v>25</v>
      </c>
      <c r="I1849" s="56">
        <v>0.17241379310344829</v>
      </c>
      <c r="J1849" s="56" t="s">
        <v>6366</v>
      </c>
      <c r="K1849" s="56" t="s">
        <v>5612</v>
      </c>
      <c r="L1849" s="56" t="s">
        <v>3325</v>
      </c>
      <c r="M1849" s="56" t="str">
        <f>HYPERLINK("https://dribble.octin.io/?mode=Single+log&amp;log_id=1512d21d-e1aa-4828-843b-b1cf7af567b5","URL")</f>
        <v>URL</v>
      </c>
      <c r="N1849" s="56" t="s">
        <v>3446</v>
      </c>
      <c r="O1849" t="str">
        <f>_xlfn.XLOOKUP(N1849,'Error-codes'!$C$2:$C$130,'Error-codes'!$B$2:$B$130, "None")</f>
        <v>end of lane wall sensor error</v>
      </c>
      <c r="U1849" s="81">
        <f>DATEVALUE(LEFT(F1849,10))</f>
        <v>45011</v>
      </c>
    </row>
    <row r="1850" spans="1:21">
      <c r="A1850" s="56" t="s">
        <v>7510</v>
      </c>
      <c r="B1850" s="56" t="s">
        <v>29</v>
      </c>
      <c r="C1850" s="56" t="s">
        <v>7424</v>
      </c>
      <c r="D1850" s="56"/>
      <c r="E1850" s="56" t="s">
        <v>2939</v>
      </c>
      <c r="F1850" s="56" t="s">
        <v>7511</v>
      </c>
      <c r="G1850" s="56">
        <v>145</v>
      </c>
      <c r="H1850" s="56">
        <v>26</v>
      </c>
      <c r="I1850" s="56">
        <v>0.1793103448275862</v>
      </c>
      <c r="J1850" s="56" t="s">
        <v>6247</v>
      </c>
      <c r="K1850" s="56" t="s">
        <v>5612</v>
      </c>
      <c r="L1850" s="56" t="s">
        <v>3325</v>
      </c>
      <c r="M1850" s="56" t="str">
        <f>HYPERLINK("https://dribble.octin.io/?mode=Single+log&amp;log_id=30eebcca-96e0-48d9-8cb0-456b6bddffbf","URL")</f>
        <v>URL</v>
      </c>
      <c r="N1850" s="56" t="s">
        <v>3446</v>
      </c>
      <c r="O1850" t="str">
        <f>_xlfn.XLOOKUP(N1850,'Error-codes'!$C$2:$C$130,'Error-codes'!$B$2:$B$130, "None")</f>
        <v>end of lane wall sensor error</v>
      </c>
      <c r="U1850" s="81">
        <f>DATEVALUE(LEFT(F1850,10))</f>
        <v>45011</v>
      </c>
    </row>
    <row r="1851" spans="1:21">
      <c r="A1851" s="56" t="s">
        <v>7512</v>
      </c>
      <c r="B1851" s="56" t="s">
        <v>29</v>
      </c>
      <c r="C1851" s="56" t="s">
        <v>7424</v>
      </c>
      <c r="D1851" s="56"/>
      <c r="E1851" s="56" t="s">
        <v>2939</v>
      </c>
      <c r="F1851" s="56" t="s">
        <v>7513</v>
      </c>
      <c r="G1851" s="56">
        <v>145</v>
      </c>
      <c r="H1851" s="56">
        <v>27</v>
      </c>
      <c r="I1851" s="56">
        <v>0.18620689655172415</v>
      </c>
      <c r="J1851" s="56" t="s">
        <v>7514</v>
      </c>
      <c r="K1851" s="56" t="s">
        <v>5612</v>
      </c>
      <c r="L1851" s="56" t="s">
        <v>3325</v>
      </c>
      <c r="M1851" s="56" t="str">
        <f>HYPERLINK("https://dribble.octin.io/?mode=Single+log&amp;log_id=a304e7b7-5d08-45ac-8b58-67b3ab58e8f5","URL")</f>
        <v>URL</v>
      </c>
      <c r="N1851" s="56" t="s">
        <v>3446</v>
      </c>
      <c r="O1851" t="str">
        <f>_xlfn.XLOOKUP(N1851,'Error-codes'!$C$2:$C$130,'Error-codes'!$B$2:$B$130, "None")</f>
        <v>end of lane wall sensor error</v>
      </c>
      <c r="U1851" s="81">
        <f>DATEVALUE(LEFT(F1851,10))</f>
        <v>45011</v>
      </c>
    </row>
    <row r="1852" spans="1:21">
      <c r="A1852" s="56" t="s">
        <v>7515</v>
      </c>
      <c r="B1852" s="56" t="s">
        <v>29</v>
      </c>
      <c r="C1852" s="56" t="s">
        <v>7424</v>
      </c>
      <c r="D1852" s="56"/>
      <c r="E1852" s="56" t="s">
        <v>2939</v>
      </c>
      <c r="F1852" s="56" t="s">
        <v>7516</v>
      </c>
      <c r="G1852" s="56">
        <v>145</v>
      </c>
      <c r="H1852" s="56">
        <v>28</v>
      </c>
      <c r="I1852" s="56">
        <v>0.19310344827586207</v>
      </c>
      <c r="J1852" s="56" t="s">
        <v>5894</v>
      </c>
      <c r="K1852" s="56" t="s">
        <v>5612</v>
      </c>
      <c r="L1852" s="56" t="s">
        <v>3325</v>
      </c>
      <c r="M1852" s="56" t="str">
        <f>HYPERLINK("https://dribble.octin.io/?mode=Single+log&amp;log_id=a40032a6-9d07-4b60-9672-bc27c851de14","URL")</f>
        <v>URL</v>
      </c>
      <c r="N1852" s="56" t="s">
        <v>3446</v>
      </c>
      <c r="O1852" t="str">
        <f>_xlfn.XLOOKUP(N1852,'Error-codes'!$C$2:$C$130,'Error-codes'!$B$2:$B$130, "None")</f>
        <v>end of lane wall sensor error</v>
      </c>
      <c r="U1852" s="81">
        <f>DATEVALUE(LEFT(F1852,10))</f>
        <v>45011</v>
      </c>
    </row>
    <row r="1853" spans="1:21">
      <c r="A1853" s="56" t="s">
        <v>7517</v>
      </c>
      <c r="B1853" s="56" t="s">
        <v>29</v>
      </c>
      <c r="C1853" s="56" t="s">
        <v>7424</v>
      </c>
      <c r="D1853" s="56"/>
      <c r="E1853" s="56" t="s">
        <v>2939</v>
      </c>
      <c r="F1853" s="56" t="s">
        <v>7518</v>
      </c>
      <c r="G1853" s="56">
        <v>145</v>
      </c>
      <c r="H1853" s="56">
        <v>29</v>
      </c>
      <c r="I1853" s="56">
        <v>0.2</v>
      </c>
      <c r="J1853" s="56" t="s">
        <v>7519</v>
      </c>
      <c r="K1853" s="56" t="s">
        <v>5612</v>
      </c>
      <c r="L1853" s="56" t="s">
        <v>3325</v>
      </c>
      <c r="M1853" s="56" t="str">
        <f>HYPERLINK("https://dribble.octin.io/?mode=Single+log&amp;log_id=6d7811cf-d562-4dea-9221-6f2afe7da2d6","URL")</f>
        <v>URL</v>
      </c>
      <c r="N1853" s="56" t="s">
        <v>3446</v>
      </c>
      <c r="O1853" t="str">
        <f>_xlfn.XLOOKUP(N1853,'Error-codes'!$C$2:$C$130,'Error-codes'!$B$2:$B$130, "None")</f>
        <v>end of lane wall sensor error</v>
      </c>
      <c r="U1853" s="81">
        <f>DATEVALUE(LEFT(F1853,10))</f>
        <v>45011</v>
      </c>
    </row>
    <row r="1854" spans="1:21">
      <c r="A1854" s="56" t="s">
        <v>7520</v>
      </c>
      <c r="B1854" s="56" t="s">
        <v>29</v>
      </c>
      <c r="C1854" s="56" t="s">
        <v>7424</v>
      </c>
      <c r="D1854" s="56"/>
      <c r="E1854" s="56" t="s">
        <v>2939</v>
      </c>
      <c r="F1854" s="56" t="s">
        <v>7521</v>
      </c>
      <c r="G1854" s="56">
        <v>145</v>
      </c>
      <c r="H1854" s="56">
        <v>30</v>
      </c>
      <c r="I1854" s="56">
        <v>0.20689655172413793</v>
      </c>
      <c r="J1854" s="56" t="s">
        <v>7522</v>
      </c>
      <c r="K1854" s="56" t="s">
        <v>5612</v>
      </c>
      <c r="L1854" s="56" t="s">
        <v>3325</v>
      </c>
      <c r="M1854" s="56" t="str">
        <f>HYPERLINK("https://dribble.octin.io/?mode=Single+log&amp;log_id=28bb39a6-610c-47dd-a057-78edaa9415ad","URL")</f>
        <v>URL</v>
      </c>
      <c r="N1854" s="56" t="s">
        <v>3446</v>
      </c>
      <c r="O1854" t="str">
        <f>_xlfn.XLOOKUP(N1854,'Error-codes'!$C$2:$C$130,'Error-codes'!$B$2:$B$130, "None")</f>
        <v>end of lane wall sensor error</v>
      </c>
      <c r="U1854" s="81">
        <f>DATEVALUE(LEFT(F1854,10))</f>
        <v>45011</v>
      </c>
    </row>
    <row r="1855" spans="1:21">
      <c r="A1855" s="56" t="s">
        <v>7523</v>
      </c>
      <c r="B1855" s="56" t="s">
        <v>29</v>
      </c>
      <c r="C1855" s="56" t="s">
        <v>7424</v>
      </c>
      <c r="D1855" s="56"/>
      <c r="E1855" s="56" t="s">
        <v>2939</v>
      </c>
      <c r="F1855" s="56" t="s">
        <v>7524</v>
      </c>
      <c r="G1855" s="56">
        <v>145</v>
      </c>
      <c r="H1855" s="56">
        <v>31</v>
      </c>
      <c r="I1855" s="56">
        <v>0.21379310344827587</v>
      </c>
      <c r="J1855" s="56" t="s">
        <v>7525</v>
      </c>
      <c r="K1855" s="56" t="s">
        <v>5612</v>
      </c>
      <c r="L1855" s="56" t="s">
        <v>3325</v>
      </c>
      <c r="M1855" s="56" t="str">
        <f>HYPERLINK("https://dribble.octin.io/?mode=Single+log&amp;log_id=96ceed52-de36-4e37-ae29-434bd0380118","URL")</f>
        <v>URL</v>
      </c>
      <c r="N1855" s="56" t="s">
        <v>3446</v>
      </c>
      <c r="O1855" t="str">
        <f>_xlfn.XLOOKUP(N1855,'Error-codes'!$C$2:$C$130,'Error-codes'!$B$2:$B$130, "None")</f>
        <v>end of lane wall sensor error</v>
      </c>
      <c r="U1855" s="81">
        <f>DATEVALUE(LEFT(F1855,10))</f>
        <v>45011</v>
      </c>
    </row>
    <row r="1856" spans="1:21">
      <c r="A1856" s="56" t="s">
        <v>7526</v>
      </c>
      <c r="B1856" s="56" t="s">
        <v>29</v>
      </c>
      <c r="C1856" s="56" t="s">
        <v>7424</v>
      </c>
      <c r="D1856" s="56"/>
      <c r="E1856" s="56" t="s">
        <v>2939</v>
      </c>
      <c r="F1856" s="56" t="s">
        <v>7527</v>
      </c>
      <c r="G1856" s="56">
        <v>145</v>
      </c>
      <c r="H1856" s="56">
        <v>32</v>
      </c>
      <c r="I1856" s="56">
        <v>0.22068965517241379</v>
      </c>
      <c r="J1856" s="56" t="s">
        <v>6823</v>
      </c>
      <c r="K1856" s="56" t="s">
        <v>5612</v>
      </c>
      <c r="L1856" s="56" t="s">
        <v>3325</v>
      </c>
      <c r="M1856" s="56" t="str">
        <f>HYPERLINK("https://dribble.octin.io/?mode=Single+log&amp;log_id=d88bef20-8051-4723-a238-b87d6829f07d","URL")</f>
        <v>URL</v>
      </c>
      <c r="N1856" s="56" t="s">
        <v>3446</v>
      </c>
      <c r="O1856" t="str">
        <f>_xlfn.XLOOKUP(N1856,'Error-codes'!$C$2:$C$130,'Error-codes'!$B$2:$B$130, "None")</f>
        <v>end of lane wall sensor error</v>
      </c>
      <c r="U1856" s="81">
        <f>DATEVALUE(LEFT(F1856,10))</f>
        <v>45011</v>
      </c>
    </row>
    <row r="1857" spans="1:21">
      <c r="A1857" s="56" t="s">
        <v>7528</v>
      </c>
      <c r="B1857" s="56" t="s">
        <v>29</v>
      </c>
      <c r="C1857" s="56" t="s">
        <v>7424</v>
      </c>
      <c r="D1857" s="56"/>
      <c r="E1857" s="56" t="s">
        <v>2939</v>
      </c>
      <c r="F1857" s="56" t="s">
        <v>7529</v>
      </c>
      <c r="G1857" s="56">
        <v>145</v>
      </c>
      <c r="H1857" s="56">
        <v>33</v>
      </c>
      <c r="I1857" s="56">
        <v>0.22758620689655173</v>
      </c>
      <c r="J1857" s="56" t="s">
        <v>7530</v>
      </c>
      <c r="K1857" s="56" t="s">
        <v>5612</v>
      </c>
      <c r="L1857" s="56" t="s">
        <v>3325</v>
      </c>
      <c r="M1857" s="56" t="str">
        <f>HYPERLINK("https://dribble.octin.io/?mode=Single+log&amp;log_id=2ee9c506-425d-4686-ba83-86845ed5aee8","URL")</f>
        <v>URL</v>
      </c>
      <c r="N1857" s="56" t="s">
        <v>3446</v>
      </c>
      <c r="O1857" t="str">
        <f>_xlfn.XLOOKUP(N1857,'Error-codes'!$C$2:$C$130,'Error-codes'!$B$2:$B$130, "None")</f>
        <v>end of lane wall sensor error</v>
      </c>
      <c r="U1857" s="81">
        <f>DATEVALUE(LEFT(F1857,10))</f>
        <v>45011</v>
      </c>
    </row>
    <row r="1858" spans="1:21">
      <c r="A1858" s="56" t="s">
        <v>7531</v>
      </c>
      <c r="B1858" s="56" t="s">
        <v>29</v>
      </c>
      <c r="C1858" s="56" t="s">
        <v>7424</v>
      </c>
      <c r="D1858" s="56"/>
      <c r="E1858" s="56" t="s">
        <v>2939</v>
      </c>
      <c r="F1858" s="56" t="s">
        <v>7532</v>
      </c>
      <c r="G1858" s="56">
        <v>145</v>
      </c>
      <c r="H1858" s="56">
        <v>34</v>
      </c>
      <c r="I1858" s="56">
        <v>0.23448275862068965</v>
      </c>
      <c r="J1858" s="56" t="s">
        <v>7533</v>
      </c>
      <c r="K1858" s="56" t="s">
        <v>5612</v>
      </c>
      <c r="L1858" s="56" t="s">
        <v>3325</v>
      </c>
      <c r="M1858" s="56" t="str">
        <f>HYPERLINK("https://dribble.octin.io/?mode=Single+log&amp;log_id=5a62258f-ff2f-456f-a8b1-82100a99feb8","URL")</f>
        <v>URL</v>
      </c>
      <c r="N1858" s="56" t="s">
        <v>3446</v>
      </c>
      <c r="O1858" t="str">
        <f>_xlfn.XLOOKUP(N1858,'Error-codes'!$C$2:$C$130,'Error-codes'!$B$2:$B$130, "None")</f>
        <v>end of lane wall sensor error</v>
      </c>
      <c r="U1858" s="81">
        <f>DATEVALUE(LEFT(F1858,10))</f>
        <v>45011</v>
      </c>
    </row>
    <row r="1859" spans="1:21">
      <c r="A1859" s="56" t="s">
        <v>7534</v>
      </c>
      <c r="B1859" s="56" t="s">
        <v>29</v>
      </c>
      <c r="C1859" s="56" t="s">
        <v>7424</v>
      </c>
      <c r="D1859" s="56"/>
      <c r="E1859" s="56" t="s">
        <v>2939</v>
      </c>
      <c r="F1859" s="56" t="s">
        <v>7535</v>
      </c>
      <c r="G1859" s="56">
        <v>145</v>
      </c>
      <c r="H1859" s="56">
        <v>35</v>
      </c>
      <c r="I1859" s="56">
        <v>0.2413793103448276</v>
      </c>
      <c r="J1859" s="56" t="s">
        <v>7536</v>
      </c>
      <c r="K1859" s="56" t="s">
        <v>5612</v>
      </c>
      <c r="L1859" s="56" t="s">
        <v>3325</v>
      </c>
      <c r="M1859" s="56" t="str">
        <f>HYPERLINK("https://dribble.octin.io/?mode=Single+log&amp;log_id=ff1138e0-9e24-4c66-8494-42979f18aa03","URL")</f>
        <v>URL</v>
      </c>
      <c r="N1859" s="56" t="s">
        <v>3446</v>
      </c>
      <c r="O1859" t="str">
        <f>_xlfn.XLOOKUP(N1859,'Error-codes'!$C$2:$C$130,'Error-codes'!$B$2:$B$130, "None")</f>
        <v>end of lane wall sensor error</v>
      </c>
      <c r="U1859" s="81">
        <f>DATEVALUE(LEFT(F1859,10))</f>
        <v>45011</v>
      </c>
    </row>
    <row r="1860" spans="1:21">
      <c r="A1860" s="56" t="s">
        <v>7537</v>
      </c>
      <c r="B1860" s="56" t="s">
        <v>29</v>
      </c>
      <c r="C1860" s="56" t="s">
        <v>7424</v>
      </c>
      <c r="D1860" s="56"/>
      <c r="E1860" s="56" t="s">
        <v>2939</v>
      </c>
      <c r="F1860" s="56" t="s">
        <v>7538</v>
      </c>
      <c r="G1860" s="56">
        <v>145</v>
      </c>
      <c r="H1860" s="56">
        <v>36</v>
      </c>
      <c r="I1860" s="56">
        <v>0.24827586206896551</v>
      </c>
      <c r="J1860" s="56" t="s">
        <v>7539</v>
      </c>
      <c r="K1860" s="56" t="s">
        <v>5612</v>
      </c>
      <c r="L1860" s="56" t="s">
        <v>3325</v>
      </c>
      <c r="M1860" s="56" t="str">
        <f>HYPERLINK("https://dribble.octin.io/?mode=Single+log&amp;log_id=228054bd-e939-4687-a5dd-f2f553aa5904","URL")</f>
        <v>URL</v>
      </c>
      <c r="N1860" s="56" t="s">
        <v>3446</v>
      </c>
      <c r="O1860" t="str">
        <f>_xlfn.XLOOKUP(N1860,'Error-codes'!$C$2:$C$130,'Error-codes'!$B$2:$B$130, "None")</f>
        <v>end of lane wall sensor error</v>
      </c>
      <c r="U1860" s="81">
        <f>DATEVALUE(LEFT(F1860,10))</f>
        <v>45011</v>
      </c>
    </row>
    <row r="1861" spans="1:21">
      <c r="A1861" s="56" t="s">
        <v>7540</v>
      </c>
      <c r="B1861" s="56" t="s">
        <v>29</v>
      </c>
      <c r="C1861" s="56" t="s">
        <v>7424</v>
      </c>
      <c r="D1861" s="56"/>
      <c r="E1861" s="56" t="s">
        <v>2939</v>
      </c>
      <c r="F1861" s="56" t="s">
        <v>7541</v>
      </c>
      <c r="G1861" s="56">
        <v>145</v>
      </c>
      <c r="H1861" s="56">
        <v>37</v>
      </c>
      <c r="I1861" s="56">
        <v>0.25517241379310346</v>
      </c>
      <c r="J1861" s="56" t="s">
        <v>7542</v>
      </c>
      <c r="K1861" s="56" t="s">
        <v>5612</v>
      </c>
      <c r="L1861" s="56" t="s">
        <v>3325</v>
      </c>
      <c r="M1861" s="56" t="str">
        <f>HYPERLINK("https://dribble.octin.io/?mode=Single+log&amp;log_id=eaa4309b-71bc-4aae-8506-daf791c4bd7e","URL")</f>
        <v>URL</v>
      </c>
      <c r="N1861" s="56" t="s">
        <v>3446</v>
      </c>
      <c r="O1861" t="str">
        <f>_xlfn.XLOOKUP(N1861,'Error-codes'!$C$2:$C$130,'Error-codes'!$B$2:$B$130, "None")</f>
        <v>end of lane wall sensor error</v>
      </c>
      <c r="U1861" s="81">
        <f>DATEVALUE(LEFT(F1861,10))</f>
        <v>45011</v>
      </c>
    </row>
    <row r="1862" spans="1:21">
      <c r="A1862" s="56" t="s">
        <v>7543</v>
      </c>
      <c r="B1862" s="56" t="s">
        <v>29</v>
      </c>
      <c r="C1862" s="56" t="s">
        <v>7424</v>
      </c>
      <c r="D1862" s="56"/>
      <c r="E1862" s="56" t="s">
        <v>2939</v>
      </c>
      <c r="F1862" s="56" t="s">
        <v>7544</v>
      </c>
      <c r="G1862" s="56">
        <v>145</v>
      </c>
      <c r="H1862" s="56">
        <v>38</v>
      </c>
      <c r="I1862" s="56">
        <v>0.2620689655172414</v>
      </c>
      <c r="J1862" s="56" t="s">
        <v>7545</v>
      </c>
      <c r="K1862" s="56" t="s">
        <v>5612</v>
      </c>
      <c r="L1862" s="56" t="s">
        <v>3325</v>
      </c>
      <c r="M1862" s="56" t="str">
        <f>HYPERLINK("https://dribble.octin.io/?mode=Single+log&amp;log_id=651ac244-dcc7-4b21-b4c3-58e445aa27b1","URL")</f>
        <v>URL</v>
      </c>
      <c r="N1862" s="56" t="s">
        <v>3446</v>
      </c>
      <c r="O1862" t="str">
        <f>_xlfn.XLOOKUP(N1862,'Error-codes'!$C$2:$C$130,'Error-codes'!$B$2:$B$130, "None")</f>
        <v>end of lane wall sensor error</v>
      </c>
      <c r="U1862" s="81">
        <f>DATEVALUE(LEFT(F1862,10))</f>
        <v>45011</v>
      </c>
    </row>
    <row r="1863" spans="1:21">
      <c r="A1863" s="56" t="s">
        <v>7546</v>
      </c>
      <c r="B1863" s="56" t="s">
        <v>29</v>
      </c>
      <c r="C1863" s="56" t="s">
        <v>7424</v>
      </c>
      <c r="D1863" s="56"/>
      <c r="E1863" s="56" t="s">
        <v>2939</v>
      </c>
      <c r="F1863" s="56" t="s">
        <v>7547</v>
      </c>
      <c r="G1863" s="56">
        <v>145</v>
      </c>
      <c r="H1863" s="56">
        <v>39</v>
      </c>
      <c r="I1863" s="56">
        <v>0.26896551724137929</v>
      </c>
      <c r="J1863" s="56" t="s">
        <v>6416</v>
      </c>
      <c r="K1863" s="56" t="s">
        <v>5612</v>
      </c>
      <c r="L1863" s="56" t="s">
        <v>3325</v>
      </c>
      <c r="M1863" s="56" t="str">
        <f>HYPERLINK("https://dribble.octin.io/?mode=Single+log&amp;log_id=54ce9bfa-49e0-4a57-b6dd-9de17c16ae56","URL")</f>
        <v>URL</v>
      </c>
      <c r="N1863" s="56" t="s">
        <v>3446</v>
      </c>
      <c r="O1863" t="str">
        <f>_xlfn.XLOOKUP(N1863,'Error-codes'!$C$2:$C$130,'Error-codes'!$B$2:$B$130, "None")</f>
        <v>end of lane wall sensor error</v>
      </c>
      <c r="U1863" s="81">
        <f>DATEVALUE(LEFT(F1863,10))</f>
        <v>45011</v>
      </c>
    </row>
    <row r="1864" spans="1:21">
      <c r="A1864" s="56" t="s">
        <v>7548</v>
      </c>
      <c r="B1864" s="56" t="s">
        <v>29</v>
      </c>
      <c r="C1864" s="56" t="s">
        <v>7424</v>
      </c>
      <c r="D1864" s="56"/>
      <c r="E1864" s="56" t="s">
        <v>2939</v>
      </c>
      <c r="F1864" s="56" t="s">
        <v>7549</v>
      </c>
      <c r="G1864" s="56">
        <v>145</v>
      </c>
      <c r="H1864" s="56">
        <v>40</v>
      </c>
      <c r="I1864" s="56">
        <v>0.27586206896551724</v>
      </c>
      <c r="J1864" s="56" t="s">
        <v>6419</v>
      </c>
      <c r="K1864" s="56" t="s">
        <v>5612</v>
      </c>
      <c r="L1864" s="56" t="s">
        <v>3325</v>
      </c>
      <c r="M1864" s="56" t="str">
        <f>HYPERLINK("https://dribble.octin.io/?mode=Single+log&amp;log_id=774b7d98-6a36-43a9-be76-cf6665b18f98","URL")</f>
        <v>URL</v>
      </c>
      <c r="N1864" s="56" t="s">
        <v>3446</v>
      </c>
      <c r="O1864" t="str">
        <f>_xlfn.XLOOKUP(N1864,'Error-codes'!$C$2:$C$130,'Error-codes'!$B$2:$B$130, "None")</f>
        <v>end of lane wall sensor error</v>
      </c>
      <c r="U1864" s="81">
        <f>DATEVALUE(LEFT(F1864,10))</f>
        <v>45011</v>
      </c>
    </row>
    <row r="1865" spans="1:21">
      <c r="A1865" s="56" t="s">
        <v>7550</v>
      </c>
      <c r="B1865" s="56" t="s">
        <v>29</v>
      </c>
      <c r="C1865" s="56" t="s">
        <v>7424</v>
      </c>
      <c r="D1865" s="56"/>
      <c r="E1865" s="56" t="s">
        <v>2939</v>
      </c>
      <c r="F1865" s="56" t="s">
        <v>7551</v>
      </c>
      <c r="G1865" s="56">
        <v>145</v>
      </c>
      <c r="H1865" s="56">
        <v>41</v>
      </c>
      <c r="I1865" s="56">
        <v>0.28275862068965518</v>
      </c>
      <c r="J1865" s="56" t="s">
        <v>7552</v>
      </c>
      <c r="K1865" s="56" t="s">
        <v>5612</v>
      </c>
      <c r="L1865" s="56" t="s">
        <v>3325</v>
      </c>
      <c r="M1865" s="56" t="str">
        <f>HYPERLINK("https://dribble.octin.io/?mode=Single+log&amp;log_id=4a85b8eb-39bd-461e-8f2c-7c293e12fafe","URL")</f>
        <v>URL</v>
      </c>
      <c r="N1865" s="56" t="s">
        <v>3446</v>
      </c>
      <c r="O1865" t="str">
        <f>_xlfn.XLOOKUP(N1865,'Error-codes'!$C$2:$C$130,'Error-codes'!$B$2:$B$130, "None")</f>
        <v>end of lane wall sensor error</v>
      </c>
      <c r="U1865" s="81">
        <f>DATEVALUE(LEFT(F1865,10))</f>
        <v>45011</v>
      </c>
    </row>
    <row r="1866" spans="1:21">
      <c r="A1866" s="56" t="s">
        <v>7553</v>
      </c>
      <c r="B1866" s="56" t="s">
        <v>29</v>
      </c>
      <c r="C1866" s="56" t="s">
        <v>7424</v>
      </c>
      <c r="D1866" s="56"/>
      <c r="E1866" s="56" t="s">
        <v>2939</v>
      </c>
      <c r="F1866" s="56" t="s">
        <v>7554</v>
      </c>
      <c r="G1866" s="56">
        <v>145</v>
      </c>
      <c r="H1866" s="56">
        <v>42</v>
      </c>
      <c r="I1866" s="56">
        <v>0.28965517241379313</v>
      </c>
      <c r="J1866" s="56" t="s">
        <v>7555</v>
      </c>
      <c r="K1866" s="56" t="s">
        <v>5612</v>
      </c>
      <c r="L1866" s="56" t="s">
        <v>3325</v>
      </c>
      <c r="M1866" s="56" t="str">
        <f>HYPERLINK("https://dribble.octin.io/?mode=Single+log&amp;log_id=577b520f-3b25-48df-8bf8-4f325a844345","URL")</f>
        <v>URL</v>
      </c>
      <c r="N1866" s="56" t="s">
        <v>3446</v>
      </c>
      <c r="O1866" t="str">
        <f>_xlfn.XLOOKUP(N1866,'Error-codes'!$C$2:$C$130,'Error-codes'!$B$2:$B$130, "None")</f>
        <v>end of lane wall sensor error</v>
      </c>
      <c r="U1866" s="81">
        <f>DATEVALUE(LEFT(F1866,10))</f>
        <v>45011</v>
      </c>
    </row>
    <row r="1867" spans="1:21">
      <c r="A1867" s="56" t="s">
        <v>7556</v>
      </c>
      <c r="B1867" s="56" t="s">
        <v>29</v>
      </c>
      <c r="C1867" s="56" t="s">
        <v>7424</v>
      </c>
      <c r="D1867" s="56"/>
      <c r="E1867" s="56" t="s">
        <v>2939</v>
      </c>
      <c r="F1867" s="56" t="s">
        <v>7557</v>
      </c>
      <c r="G1867" s="56">
        <v>145</v>
      </c>
      <c r="H1867" s="56">
        <v>43</v>
      </c>
      <c r="I1867" s="56">
        <v>0.29655172413793102</v>
      </c>
      <c r="J1867" s="56" t="s">
        <v>7558</v>
      </c>
      <c r="K1867" s="56" t="s">
        <v>5612</v>
      </c>
      <c r="L1867" s="56" t="s">
        <v>3325</v>
      </c>
      <c r="M1867" s="56" t="str">
        <f>HYPERLINK("https://dribble.octin.io/?mode=Single+log&amp;log_id=cef6e8fb-eb42-4942-8a89-2e0a62ad0505","URL")</f>
        <v>URL</v>
      </c>
      <c r="N1867" s="56" t="s">
        <v>3446</v>
      </c>
      <c r="O1867" t="str">
        <f>_xlfn.XLOOKUP(N1867,'Error-codes'!$C$2:$C$130,'Error-codes'!$B$2:$B$130, "None")</f>
        <v>end of lane wall sensor error</v>
      </c>
      <c r="U1867" s="81">
        <f>DATEVALUE(LEFT(F1867,10))</f>
        <v>45011</v>
      </c>
    </row>
    <row r="1868" spans="1:21">
      <c r="A1868" s="56" t="s">
        <v>7559</v>
      </c>
      <c r="B1868" s="56" t="s">
        <v>29</v>
      </c>
      <c r="C1868" s="56" t="s">
        <v>7424</v>
      </c>
      <c r="D1868" s="56"/>
      <c r="E1868" s="56" t="s">
        <v>2939</v>
      </c>
      <c r="F1868" s="56" t="s">
        <v>7560</v>
      </c>
      <c r="G1868" s="56">
        <v>145</v>
      </c>
      <c r="H1868" s="56">
        <v>44</v>
      </c>
      <c r="I1868" s="56">
        <v>0.30344827586206896</v>
      </c>
      <c r="J1868" s="56" t="s">
        <v>7561</v>
      </c>
      <c r="K1868" s="56" t="s">
        <v>5612</v>
      </c>
      <c r="L1868" s="56" t="s">
        <v>3325</v>
      </c>
      <c r="M1868" s="56" t="str">
        <f>HYPERLINK("https://dribble.octin.io/?mode=Single+log&amp;log_id=3332e04b-5167-48bd-bfdd-e711f8acbe79","URL")</f>
        <v>URL</v>
      </c>
      <c r="N1868" s="56" t="s">
        <v>3446</v>
      </c>
      <c r="O1868" t="str">
        <f>_xlfn.XLOOKUP(N1868,'Error-codes'!$C$2:$C$130,'Error-codes'!$B$2:$B$130, "None")</f>
        <v>end of lane wall sensor error</v>
      </c>
      <c r="U1868" s="81">
        <f>DATEVALUE(LEFT(F1868,10))</f>
        <v>45011</v>
      </c>
    </row>
    <row r="1869" spans="1:21">
      <c r="A1869" s="56" t="s">
        <v>7562</v>
      </c>
      <c r="B1869" s="56" t="s">
        <v>29</v>
      </c>
      <c r="C1869" s="56" t="s">
        <v>7424</v>
      </c>
      <c r="D1869" s="56"/>
      <c r="E1869" s="56" t="s">
        <v>2939</v>
      </c>
      <c r="F1869" s="56" t="s">
        <v>7563</v>
      </c>
      <c r="G1869" s="56">
        <v>145</v>
      </c>
      <c r="H1869" s="56">
        <v>45</v>
      </c>
      <c r="I1869" s="56">
        <v>0.31034482758620691</v>
      </c>
      <c r="J1869" s="56" t="s">
        <v>7564</v>
      </c>
      <c r="K1869" s="56" t="s">
        <v>5612</v>
      </c>
      <c r="L1869" s="56" t="s">
        <v>3325</v>
      </c>
      <c r="M1869" s="56" t="str">
        <f>HYPERLINK("https://dribble.octin.io/?mode=Single+log&amp;log_id=ae9234b4-f587-4894-99b3-22b4ba6c91e3","URL")</f>
        <v>URL</v>
      </c>
      <c r="N1869" s="56" t="s">
        <v>3446</v>
      </c>
      <c r="O1869" t="str">
        <f>_xlfn.XLOOKUP(N1869,'Error-codes'!$C$2:$C$130,'Error-codes'!$B$2:$B$130, "None")</f>
        <v>end of lane wall sensor error</v>
      </c>
      <c r="U1869" s="81">
        <f>DATEVALUE(LEFT(F1869,10))</f>
        <v>45011</v>
      </c>
    </row>
    <row r="1870" spans="1:21">
      <c r="A1870" s="56" t="s">
        <v>7565</v>
      </c>
      <c r="B1870" s="56" t="s">
        <v>29</v>
      </c>
      <c r="C1870" s="56" t="s">
        <v>7424</v>
      </c>
      <c r="D1870" s="56"/>
      <c r="E1870" s="56" t="s">
        <v>2939</v>
      </c>
      <c r="F1870" s="56" t="s">
        <v>7566</v>
      </c>
      <c r="G1870" s="56">
        <v>145</v>
      </c>
      <c r="H1870" s="56">
        <v>46</v>
      </c>
      <c r="I1870" s="56">
        <v>0.31724137931034485</v>
      </c>
      <c r="J1870" s="56" t="s">
        <v>7567</v>
      </c>
      <c r="K1870" s="56" t="s">
        <v>5612</v>
      </c>
      <c r="L1870" s="56" t="s">
        <v>3325</v>
      </c>
      <c r="M1870" s="56" t="str">
        <f>HYPERLINK("https://dribble.octin.io/?mode=Single+log&amp;log_id=7a08f760-7168-40fb-a888-18b583b97d54","URL")</f>
        <v>URL</v>
      </c>
      <c r="N1870" s="56" t="s">
        <v>3446</v>
      </c>
      <c r="O1870" t="str">
        <f>_xlfn.XLOOKUP(N1870,'Error-codes'!$C$2:$C$130,'Error-codes'!$B$2:$B$130, "None")</f>
        <v>end of lane wall sensor error</v>
      </c>
      <c r="U1870" s="81">
        <f>DATEVALUE(LEFT(F1870,10))</f>
        <v>45011</v>
      </c>
    </row>
    <row r="1871" spans="1:21">
      <c r="A1871" s="56" t="s">
        <v>7568</v>
      </c>
      <c r="B1871" s="56" t="s">
        <v>29</v>
      </c>
      <c r="C1871" s="56" t="s">
        <v>7424</v>
      </c>
      <c r="D1871" s="56"/>
      <c r="E1871" s="56" t="s">
        <v>2939</v>
      </c>
      <c r="F1871" s="56" t="s">
        <v>7569</v>
      </c>
      <c r="G1871" s="56">
        <v>145</v>
      </c>
      <c r="H1871" s="56">
        <v>47</v>
      </c>
      <c r="I1871" s="56">
        <v>0.32413793103448274</v>
      </c>
      <c r="J1871" s="56" t="s">
        <v>7570</v>
      </c>
      <c r="K1871" s="56" t="s">
        <v>5612</v>
      </c>
      <c r="L1871" s="56" t="s">
        <v>3325</v>
      </c>
      <c r="M1871" s="56" t="str">
        <f>HYPERLINK("https://dribble.octin.io/?mode=Single+log&amp;log_id=eeab035f-cd79-4891-9c8c-db523b5f68f2","URL")</f>
        <v>URL</v>
      </c>
      <c r="N1871" s="56" t="s">
        <v>3446</v>
      </c>
      <c r="O1871" t="str">
        <f>_xlfn.XLOOKUP(N1871,'Error-codes'!$C$2:$C$130,'Error-codes'!$B$2:$B$130, "None")</f>
        <v>end of lane wall sensor error</v>
      </c>
      <c r="U1871" s="81">
        <f>DATEVALUE(LEFT(F1871,10))</f>
        <v>45011</v>
      </c>
    </row>
    <row r="1872" spans="1:21">
      <c r="A1872" s="56" t="s">
        <v>7571</v>
      </c>
      <c r="B1872" s="56" t="s">
        <v>29</v>
      </c>
      <c r="C1872" s="56" t="s">
        <v>7424</v>
      </c>
      <c r="D1872" s="56"/>
      <c r="E1872" s="56" t="s">
        <v>2939</v>
      </c>
      <c r="F1872" s="56" t="s">
        <v>7572</v>
      </c>
      <c r="G1872" s="56">
        <v>145</v>
      </c>
      <c r="H1872" s="56">
        <v>48</v>
      </c>
      <c r="I1872" s="56">
        <v>0.33103448275862069</v>
      </c>
      <c r="J1872" s="56" t="s">
        <v>6837</v>
      </c>
      <c r="K1872" s="56" t="s">
        <v>5612</v>
      </c>
      <c r="L1872" s="56" t="s">
        <v>3325</v>
      </c>
      <c r="M1872" s="56" t="str">
        <f>HYPERLINK("https://dribble.octin.io/?mode=Single+log&amp;log_id=9cd58d85-ed93-4e64-8177-572788a8609f","URL")</f>
        <v>URL</v>
      </c>
      <c r="N1872" s="56" t="s">
        <v>3446</v>
      </c>
      <c r="O1872" t="str">
        <f>_xlfn.XLOOKUP(N1872,'Error-codes'!$C$2:$C$130,'Error-codes'!$B$2:$B$130, "None")</f>
        <v>end of lane wall sensor error</v>
      </c>
      <c r="U1872" s="81">
        <f>DATEVALUE(LEFT(F1872,10))</f>
        <v>45011</v>
      </c>
    </row>
    <row r="1873" spans="1:21">
      <c r="A1873" s="56" t="s">
        <v>7573</v>
      </c>
      <c r="B1873" s="56" t="s">
        <v>29</v>
      </c>
      <c r="C1873" s="56" t="s">
        <v>7424</v>
      </c>
      <c r="D1873" s="56"/>
      <c r="E1873" s="56" t="s">
        <v>2939</v>
      </c>
      <c r="F1873" s="56" t="s">
        <v>7574</v>
      </c>
      <c r="G1873" s="56">
        <v>145</v>
      </c>
      <c r="H1873" s="56">
        <v>49</v>
      </c>
      <c r="I1873" s="56">
        <v>0.33793103448275863</v>
      </c>
      <c r="J1873" s="56" t="s">
        <v>6840</v>
      </c>
      <c r="K1873" s="56" t="s">
        <v>5612</v>
      </c>
      <c r="L1873" s="56" t="s">
        <v>3325</v>
      </c>
      <c r="M1873" s="56" t="str">
        <f>HYPERLINK("https://dribble.octin.io/?mode=Single+log&amp;log_id=fe3bf169-d82a-4354-9916-4c84bd85bf96","URL")</f>
        <v>URL</v>
      </c>
      <c r="N1873" s="56" t="s">
        <v>3446</v>
      </c>
      <c r="O1873" t="str">
        <f>_xlfn.XLOOKUP(N1873,'Error-codes'!$C$2:$C$130,'Error-codes'!$B$2:$B$130, "None")</f>
        <v>end of lane wall sensor error</v>
      </c>
      <c r="U1873" s="81">
        <f>DATEVALUE(LEFT(F1873,10))</f>
        <v>45011</v>
      </c>
    </row>
    <row r="1874" spans="1:21">
      <c r="A1874" s="56" t="s">
        <v>7575</v>
      </c>
      <c r="B1874" s="56" t="s">
        <v>29</v>
      </c>
      <c r="C1874" s="56" t="s">
        <v>7424</v>
      </c>
      <c r="D1874" s="56"/>
      <c r="E1874" s="56" t="s">
        <v>2939</v>
      </c>
      <c r="F1874" s="56" t="s">
        <v>7576</v>
      </c>
      <c r="G1874" s="56">
        <v>145</v>
      </c>
      <c r="H1874" s="56">
        <v>50</v>
      </c>
      <c r="I1874" s="56">
        <v>0.34482758620689657</v>
      </c>
      <c r="J1874" s="56" t="s">
        <v>7577</v>
      </c>
      <c r="K1874" s="56" t="s">
        <v>5612</v>
      </c>
      <c r="L1874" s="56" t="s">
        <v>3325</v>
      </c>
      <c r="M1874" s="56" t="str">
        <f>HYPERLINK("https://dribble.octin.io/?mode=Single+log&amp;log_id=b6edecc0-01e8-4202-adb7-a6205185d935","URL")</f>
        <v>URL</v>
      </c>
      <c r="N1874" s="56" t="s">
        <v>3446</v>
      </c>
      <c r="O1874" t="str">
        <f>_xlfn.XLOOKUP(N1874,'Error-codes'!$C$2:$C$130,'Error-codes'!$B$2:$B$130, "None")</f>
        <v>end of lane wall sensor error</v>
      </c>
      <c r="U1874" s="81">
        <f>DATEVALUE(LEFT(F1874,10))</f>
        <v>45011</v>
      </c>
    </row>
    <row r="1875" spans="1:21">
      <c r="A1875" s="56" t="s">
        <v>7578</v>
      </c>
      <c r="B1875" s="56" t="s">
        <v>29</v>
      </c>
      <c r="C1875" s="56" t="s">
        <v>7424</v>
      </c>
      <c r="D1875" s="56"/>
      <c r="E1875" s="56" t="s">
        <v>2939</v>
      </c>
      <c r="F1875" s="56" t="s">
        <v>7579</v>
      </c>
      <c r="G1875" s="56">
        <v>145</v>
      </c>
      <c r="H1875" s="56">
        <v>51</v>
      </c>
      <c r="I1875" s="56">
        <v>0.35172413793103446</v>
      </c>
      <c r="J1875" s="56" t="s">
        <v>6615</v>
      </c>
      <c r="K1875" s="56" t="s">
        <v>5612</v>
      </c>
      <c r="L1875" s="56" t="s">
        <v>3325</v>
      </c>
      <c r="M1875" s="56" t="str">
        <f>HYPERLINK("https://dribble.octin.io/?mode=Single+log&amp;log_id=ae0eec25-7e2e-4855-867f-14e8412e5f4f","URL")</f>
        <v>URL</v>
      </c>
      <c r="N1875" s="56" t="s">
        <v>3446</v>
      </c>
      <c r="O1875" t="str">
        <f>_xlfn.XLOOKUP(N1875,'Error-codes'!$C$2:$C$130,'Error-codes'!$B$2:$B$130, "None")</f>
        <v>end of lane wall sensor error</v>
      </c>
      <c r="U1875" s="81">
        <f>DATEVALUE(LEFT(F1875,10))</f>
        <v>45011</v>
      </c>
    </row>
    <row r="1876" spans="1:21">
      <c r="A1876" s="56" t="s">
        <v>7580</v>
      </c>
      <c r="B1876" s="56" t="s">
        <v>29</v>
      </c>
      <c r="C1876" s="56" t="s">
        <v>7424</v>
      </c>
      <c r="D1876" s="56"/>
      <c r="E1876" s="56" t="s">
        <v>2939</v>
      </c>
      <c r="F1876" s="56" t="s">
        <v>7581</v>
      </c>
      <c r="G1876" s="56">
        <v>145</v>
      </c>
      <c r="H1876" s="56">
        <v>53</v>
      </c>
      <c r="I1876" s="56">
        <v>0.36551724137931035</v>
      </c>
      <c r="J1876" s="56" t="s">
        <v>6606</v>
      </c>
      <c r="K1876" s="56" t="s">
        <v>5612</v>
      </c>
      <c r="L1876" s="56" t="s">
        <v>3325</v>
      </c>
      <c r="M1876" s="56" t="str">
        <f>HYPERLINK("https://dribble.octin.io/?mode=Single+log&amp;log_id=6177cd63-e8da-423d-8121-af3109b46fd8","URL")</f>
        <v>URL</v>
      </c>
      <c r="N1876" s="56" t="s">
        <v>3446</v>
      </c>
      <c r="O1876" t="str">
        <f>_xlfn.XLOOKUP(N1876,'Error-codes'!$C$2:$C$130,'Error-codes'!$B$2:$B$130, "None")</f>
        <v>end of lane wall sensor error</v>
      </c>
      <c r="U1876" s="81">
        <f>DATEVALUE(LEFT(F1876,10))</f>
        <v>45011</v>
      </c>
    </row>
    <row r="1877" spans="1:21">
      <c r="A1877" s="56" t="s">
        <v>7582</v>
      </c>
      <c r="B1877" s="56" t="s">
        <v>29</v>
      </c>
      <c r="C1877" s="56" t="s">
        <v>7424</v>
      </c>
      <c r="D1877" s="56"/>
      <c r="E1877" s="56" t="s">
        <v>2939</v>
      </c>
      <c r="F1877" s="56" t="s">
        <v>7583</v>
      </c>
      <c r="G1877" s="56">
        <v>145</v>
      </c>
      <c r="H1877" s="56">
        <v>54</v>
      </c>
      <c r="I1877" s="56">
        <v>0.3724137931034483</v>
      </c>
      <c r="J1877" s="56" t="s">
        <v>6847</v>
      </c>
      <c r="K1877" s="56" t="s">
        <v>5612</v>
      </c>
      <c r="L1877" s="56" t="s">
        <v>3325</v>
      </c>
      <c r="M1877" s="56" t="str">
        <f>HYPERLINK("https://dribble.octin.io/?mode=Single+log&amp;log_id=4554f44b-8ed5-4a11-9b46-a1df7e4a3137","URL")</f>
        <v>URL</v>
      </c>
      <c r="N1877" s="56" t="s">
        <v>3446</v>
      </c>
      <c r="O1877" t="str">
        <f>_xlfn.XLOOKUP(N1877,'Error-codes'!$C$2:$C$130,'Error-codes'!$B$2:$B$130, "None")</f>
        <v>end of lane wall sensor error</v>
      </c>
      <c r="U1877" s="81">
        <f>DATEVALUE(LEFT(F1877,10))</f>
        <v>45011</v>
      </c>
    </row>
    <row r="1878" spans="1:21">
      <c r="A1878" s="56" t="s">
        <v>7584</v>
      </c>
      <c r="B1878" s="56" t="s">
        <v>29</v>
      </c>
      <c r="C1878" s="56" t="s">
        <v>7424</v>
      </c>
      <c r="D1878" s="56"/>
      <c r="E1878" s="56" t="s">
        <v>2939</v>
      </c>
      <c r="F1878" s="56" t="s">
        <v>7585</v>
      </c>
      <c r="G1878" s="56">
        <v>145</v>
      </c>
      <c r="H1878" s="56">
        <v>55</v>
      </c>
      <c r="I1878" s="56">
        <v>0.37931034482758619</v>
      </c>
      <c r="J1878" s="56" t="s">
        <v>7586</v>
      </c>
      <c r="K1878" s="56" t="s">
        <v>5612</v>
      </c>
      <c r="L1878" s="56" t="s">
        <v>3325</v>
      </c>
      <c r="M1878" s="56" t="str">
        <f>HYPERLINK("https://dribble.octin.io/?mode=Single+log&amp;log_id=d63387e0-ec05-4798-8bca-54af315ca92e","URL")</f>
        <v>URL</v>
      </c>
      <c r="N1878" s="56" t="s">
        <v>3446</v>
      </c>
      <c r="O1878" t="str">
        <f>_xlfn.XLOOKUP(N1878,'Error-codes'!$C$2:$C$130,'Error-codes'!$B$2:$B$130, "None")</f>
        <v>end of lane wall sensor error</v>
      </c>
      <c r="U1878" s="81">
        <f>DATEVALUE(LEFT(F1878,10))</f>
        <v>45011</v>
      </c>
    </row>
    <row r="1879" spans="1:21">
      <c r="A1879" s="56" t="s">
        <v>7587</v>
      </c>
      <c r="B1879" s="56" t="s">
        <v>29</v>
      </c>
      <c r="C1879" s="56" t="s">
        <v>7424</v>
      </c>
      <c r="D1879" s="56"/>
      <c r="E1879" s="56" t="s">
        <v>2939</v>
      </c>
      <c r="F1879" s="56" t="s">
        <v>7588</v>
      </c>
      <c r="G1879" s="56">
        <v>145</v>
      </c>
      <c r="H1879" s="56">
        <v>56</v>
      </c>
      <c r="I1879" s="56">
        <v>0.38620689655172413</v>
      </c>
      <c r="J1879" s="56" t="s">
        <v>7589</v>
      </c>
      <c r="K1879" s="56" t="s">
        <v>5612</v>
      </c>
      <c r="L1879" s="56" t="s">
        <v>3325</v>
      </c>
      <c r="M1879" s="56" t="str">
        <f>HYPERLINK("https://dribble.octin.io/?mode=Single+log&amp;log_id=88e191fa-e62f-46d2-a128-323bbb36a3ed","URL")</f>
        <v>URL</v>
      </c>
      <c r="N1879" s="56" t="s">
        <v>3446</v>
      </c>
      <c r="O1879" t="str">
        <f>_xlfn.XLOOKUP(N1879,'Error-codes'!$C$2:$C$130,'Error-codes'!$B$2:$B$130, "None")</f>
        <v>end of lane wall sensor error</v>
      </c>
      <c r="U1879" s="81">
        <f>DATEVALUE(LEFT(F1879,10))</f>
        <v>45011</v>
      </c>
    </row>
    <row r="1880" spans="1:21">
      <c r="A1880" s="56" t="s">
        <v>7590</v>
      </c>
      <c r="B1880" s="56" t="s">
        <v>29</v>
      </c>
      <c r="C1880" s="56" t="s">
        <v>7424</v>
      </c>
      <c r="D1880" s="56"/>
      <c r="E1880" s="56" t="s">
        <v>2939</v>
      </c>
      <c r="F1880" s="56" t="s">
        <v>7591</v>
      </c>
      <c r="G1880" s="56">
        <v>145</v>
      </c>
      <c r="H1880" s="56">
        <v>58</v>
      </c>
      <c r="I1880" s="56">
        <v>0.4</v>
      </c>
      <c r="J1880" s="56" t="s">
        <v>6734</v>
      </c>
      <c r="K1880" s="56" t="s">
        <v>5612</v>
      </c>
      <c r="L1880" s="56" t="s">
        <v>3325</v>
      </c>
      <c r="M1880" s="56" t="str">
        <f>HYPERLINK("https://dribble.octin.io/?mode=Single+log&amp;log_id=c74b00c2-93eb-4419-9843-0b618e3766d1","URL")</f>
        <v>URL</v>
      </c>
      <c r="N1880" s="56" t="s">
        <v>3446</v>
      </c>
      <c r="O1880" t="str">
        <f>_xlfn.XLOOKUP(N1880,'Error-codes'!$C$2:$C$130,'Error-codes'!$B$2:$B$130, "None")</f>
        <v>end of lane wall sensor error</v>
      </c>
      <c r="U1880" s="81">
        <f>DATEVALUE(LEFT(F1880,10))</f>
        <v>45011</v>
      </c>
    </row>
    <row r="1881" spans="1:21">
      <c r="A1881" s="56" t="s">
        <v>7590</v>
      </c>
      <c r="B1881" s="56" t="s">
        <v>29</v>
      </c>
      <c r="C1881" s="56" t="s">
        <v>7424</v>
      </c>
      <c r="D1881" s="56"/>
      <c r="E1881" s="56" t="s">
        <v>2939</v>
      </c>
      <c r="F1881" s="56" t="s">
        <v>7591</v>
      </c>
      <c r="G1881" s="56">
        <v>145</v>
      </c>
      <c r="H1881" s="56">
        <v>59</v>
      </c>
      <c r="I1881" s="56">
        <v>0.40689655172413791</v>
      </c>
      <c r="J1881" s="56" t="s">
        <v>7592</v>
      </c>
      <c r="K1881" s="56" t="s">
        <v>5612</v>
      </c>
      <c r="L1881" s="56" t="s">
        <v>3325</v>
      </c>
      <c r="M1881" s="56" t="str">
        <f>HYPERLINK("https://dribble.octin.io/?mode=Single+log&amp;log_id=c74b00c2-93eb-4419-9843-0b618e3766d1","URL")</f>
        <v>URL</v>
      </c>
      <c r="N1881" s="56" t="s">
        <v>3446</v>
      </c>
      <c r="O1881" t="str">
        <f>_xlfn.XLOOKUP(N1881,'Error-codes'!$C$2:$C$130,'Error-codes'!$B$2:$B$130, "None")</f>
        <v>end of lane wall sensor error</v>
      </c>
      <c r="U1881" s="81">
        <f>DATEVALUE(LEFT(F1881,10))</f>
        <v>45011</v>
      </c>
    </row>
    <row r="1882" spans="1:21">
      <c r="A1882" s="56" t="s">
        <v>7593</v>
      </c>
      <c r="B1882" s="56" t="s">
        <v>29</v>
      </c>
      <c r="C1882" s="56" t="s">
        <v>7424</v>
      </c>
      <c r="D1882" s="56"/>
      <c r="E1882" s="56" t="s">
        <v>2939</v>
      </c>
      <c r="F1882" s="56" t="s">
        <v>7594</v>
      </c>
      <c r="G1882" s="56">
        <v>145</v>
      </c>
      <c r="H1882" s="56">
        <v>60</v>
      </c>
      <c r="I1882" s="56">
        <v>0.41379310344827586</v>
      </c>
      <c r="J1882" s="56" t="s">
        <v>7595</v>
      </c>
      <c r="K1882" s="56" t="s">
        <v>5612</v>
      </c>
      <c r="L1882" s="56" t="s">
        <v>3325</v>
      </c>
      <c r="M1882" s="56" t="str">
        <f>HYPERLINK("https://dribble.octin.io/?mode=Single+log&amp;log_id=0824b4ca-7d95-4817-8abe-450381786ca3","URL")</f>
        <v>URL</v>
      </c>
      <c r="N1882" s="56" t="s">
        <v>3446</v>
      </c>
      <c r="O1882" t="str">
        <f>_xlfn.XLOOKUP(N1882,'Error-codes'!$C$2:$C$130,'Error-codes'!$B$2:$B$130, "None")</f>
        <v>end of lane wall sensor error</v>
      </c>
      <c r="U1882" s="81">
        <f>DATEVALUE(LEFT(F1882,10))</f>
        <v>45011</v>
      </c>
    </row>
    <row r="1883" spans="1:21">
      <c r="A1883" s="56" t="s">
        <v>7593</v>
      </c>
      <c r="B1883" s="56" t="s">
        <v>29</v>
      </c>
      <c r="C1883" s="56" t="s">
        <v>7424</v>
      </c>
      <c r="D1883" s="56"/>
      <c r="E1883" s="56" t="s">
        <v>2939</v>
      </c>
      <c r="F1883" s="56" t="s">
        <v>7594</v>
      </c>
      <c r="G1883" s="56">
        <v>145</v>
      </c>
      <c r="H1883" s="56">
        <v>61</v>
      </c>
      <c r="I1883" s="56">
        <v>0.4206896551724138</v>
      </c>
      <c r="J1883" s="56" t="s">
        <v>7596</v>
      </c>
      <c r="K1883" s="56" t="s">
        <v>5612</v>
      </c>
      <c r="L1883" s="56" t="s">
        <v>3325</v>
      </c>
      <c r="M1883" s="56" t="str">
        <f>HYPERLINK("https://dribble.octin.io/?mode=Single+log&amp;log_id=0824b4ca-7d95-4817-8abe-450381786ca3","URL")</f>
        <v>URL</v>
      </c>
      <c r="N1883" s="56" t="s">
        <v>3446</v>
      </c>
      <c r="O1883" t="str">
        <f>_xlfn.XLOOKUP(N1883,'Error-codes'!$C$2:$C$130,'Error-codes'!$B$2:$B$130, "None")</f>
        <v>end of lane wall sensor error</v>
      </c>
      <c r="U1883" s="81">
        <f>DATEVALUE(LEFT(F1883,10))</f>
        <v>45011</v>
      </c>
    </row>
    <row r="1884" spans="1:21">
      <c r="A1884" s="56" t="s">
        <v>7597</v>
      </c>
      <c r="B1884" s="56" t="s">
        <v>29</v>
      </c>
      <c r="C1884" s="56" t="s">
        <v>7424</v>
      </c>
      <c r="D1884" s="56"/>
      <c r="E1884" s="56" t="s">
        <v>2939</v>
      </c>
      <c r="F1884" s="56" t="s">
        <v>7598</v>
      </c>
      <c r="G1884" s="56">
        <v>145</v>
      </c>
      <c r="H1884" s="56">
        <v>64</v>
      </c>
      <c r="I1884" s="56">
        <v>0.44137931034482758</v>
      </c>
      <c r="J1884" s="56" t="s">
        <v>6004</v>
      </c>
      <c r="K1884" s="56" t="s">
        <v>5612</v>
      </c>
      <c r="L1884" s="56" t="s">
        <v>3325</v>
      </c>
      <c r="M1884" s="56" t="str">
        <f>HYPERLINK("https://dribble.octin.io/?mode=Single+log&amp;log_id=31fd5e06-7acb-4409-9ee3-7ccecebe487e","URL")</f>
        <v>URL</v>
      </c>
      <c r="N1884" s="56" t="s">
        <v>3446</v>
      </c>
      <c r="O1884" t="str">
        <f>_xlfn.XLOOKUP(N1884,'Error-codes'!$C$2:$C$130,'Error-codes'!$B$2:$B$130, "None")</f>
        <v>end of lane wall sensor error</v>
      </c>
      <c r="U1884" s="81">
        <f>DATEVALUE(LEFT(F1884,10))</f>
        <v>45011</v>
      </c>
    </row>
    <row r="1885" spans="1:21">
      <c r="A1885" s="56"/>
      <c r="B1885" s="56" t="s">
        <v>29</v>
      </c>
      <c r="C1885" s="56" t="s">
        <v>7424</v>
      </c>
      <c r="D1885" s="56"/>
      <c r="E1885" s="56" t="s">
        <v>2939</v>
      </c>
      <c r="F1885" s="56" t="s">
        <v>7599</v>
      </c>
      <c r="G1885" s="56">
        <v>145</v>
      </c>
      <c r="H1885" s="56">
        <v>66</v>
      </c>
      <c r="I1885" s="56">
        <v>0.45517241379310347</v>
      </c>
      <c r="J1885" s="56" t="s">
        <v>7600</v>
      </c>
      <c r="K1885" s="56" t="s">
        <v>5612</v>
      </c>
      <c r="L1885" s="56" t="s">
        <v>3325</v>
      </c>
      <c r="N1885" s="56" t="s">
        <v>3446</v>
      </c>
      <c r="O1885" t="str">
        <f>_xlfn.XLOOKUP(N1885,'Error-codes'!$C$2:$C$130,'Error-codes'!$B$2:$B$130, "None")</f>
        <v>end of lane wall sensor error</v>
      </c>
      <c r="U1885" s="81">
        <f>DATEVALUE(LEFT(F1885,10))</f>
        <v>45011</v>
      </c>
    </row>
    <row r="1886" spans="1:21">
      <c r="A1886" s="56"/>
      <c r="B1886" s="56" t="s">
        <v>29</v>
      </c>
      <c r="C1886" s="56" t="s">
        <v>7424</v>
      </c>
      <c r="D1886" s="56"/>
      <c r="E1886" s="56" t="s">
        <v>2939</v>
      </c>
      <c r="F1886" s="56" t="s">
        <v>7601</v>
      </c>
      <c r="G1886" s="56">
        <v>145</v>
      </c>
      <c r="H1886" s="56">
        <v>67</v>
      </c>
      <c r="I1886" s="56">
        <v>0.46206896551724136</v>
      </c>
      <c r="J1886" s="56" t="s">
        <v>7602</v>
      </c>
      <c r="K1886" s="56" t="s">
        <v>5612</v>
      </c>
      <c r="L1886" s="56" t="s">
        <v>3325</v>
      </c>
      <c r="N1886" s="56" t="s">
        <v>3446</v>
      </c>
      <c r="O1886" t="str">
        <f>_xlfn.XLOOKUP(N1886,'Error-codes'!$C$2:$C$130,'Error-codes'!$B$2:$B$130, "None")</f>
        <v>end of lane wall sensor error</v>
      </c>
      <c r="U1886" s="81">
        <f>DATEVALUE(LEFT(F1886,10))</f>
        <v>45011</v>
      </c>
    </row>
    <row r="1887" spans="1:21">
      <c r="A1887" s="56" t="s">
        <v>7603</v>
      </c>
      <c r="B1887" s="56" t="s">
        <v>29</v>
      </c>
      <c r="C1887" s="56" t="s">
        <v>7424</v>
      </c>
      <c r="D1887" s="56"/>
      <c r="E1887" s="56" t="s">
        <v>2939</v>
      </c>
      <c r="F1887" s="56" t="s">
        <v>7604</v>
      </c>
      <c r="G1887" s="56">
        <v>145</v>
      </c>
      <c r="H1887" s="56">
        <v>70</v>
      </c>
      <c r="I1887" s="56">
        <v>0.48275862068965519</v>
      </c>
      <c r="J1887" s="56" t="s">
        <v>7605</v>
      </c>
      <c r="K1887" s="56" t="s">
        <v>5612</v>
      </c>
      <c r="L1887" s="56" t="s">
        <v>3325</v>
      </c>
      <c r="M1887" s="56" t="str">
        <f>HYPERLINK("https://dribble.octin.io/?mode=Single+log&amp;log_id=4312f5fa-852e-4287-ad2f-58111542fee4","URL")</f>
        <v>URL</v>
      </c>
      <c r="N1887" s="56" t="s">
        <v>3446</v>
      </c>
      <c r="O1887" t="str">
        <f>_xlfn.XLOOKUP(N1887,'Error-codes'!$C$2:$C$130,'Error-codes'!$B$2:$B$130, "None")</f>
        <v>end of lane wall sensor error</v>
      </c>
      <c r="U1887" s="81">
        <f>DATEVALUE(LEFT(F1887,10))</f>
        <v>45011</v>
      </c>
    </row>
    <row r="1888" spans="1:21">
      <c r="A1888" s="56" t="s">
        <v>7606</v>
      </c>
      <c r="B1888" s="56" t="s">
        <v>29</v>
      </c>
      <c r="C1888" s="56" t="s">
        <v>7424</v>
      </c>
      <c r="D1888" s="56"/>
      <c r="E1888" s="56" t="s">
        <v>2939</v>
      </c>
      <c r="F1888" s="56" t="s">
        <v>7607</v>
      </c>
      <c r="G1888" s="56">
        <v>145</v>
      </c>
      <c r="H1888" s="56">
        <v>72</v>
      </c>
      <c r="I1888" s="56">
        <v>0.49655172413793103</v>
      </c>
      <c r="J1888" s="56" t="s">
        <v>6898</v>
      </c>
      <c r="K1888" s="56" t="s">
        <v>5612</v>
      </c>
      <c r="L1888" s="56" t="s">
        <v>3325</v>
      </c>
      <c r="M1888" s="56" t="str">
        <f>HYPERLINK("https://dribble.octin.io/?mode=Single+log&amp;log_id=9d5810e8-cfb3-4db0-a5df-908c5536a053","URL")</f>
        <v>URL</v>
      </c>
      <c r="N1888" s="56" t="s">
        <v>3446</v>
      </c>
      <c r="O1888" t="str">
        <f>_xlfn.XLOOKUP(N1888,'Error-codes'!$C$2:$C$130,'Error-codes'!$B$2:$B$130, "None")</f>
        <v>end of lane wall sensor error</v>
      </c>
      <c r="U1888" s="81">
        <f>DATEVALUE(LEFT(F1888,10))</f>
        <v>45011</v>
      </c>
    </row>
    <row r="1889" spans="1:21">
      <c r="A1889" s="56" t="s">
        <v>7606</v>
      </c>
      <c r="B1889" s="56" t="s">
        <v>29</v>
      </c>
      <c r="C1889" s="56" t="s">
        <v>7424</v>
      </c>
      <c r="D1889" s="56"/>
      <c r="E1889" s="56" t="s">
        <v>2939</v>
      </c>
      <c r="F1889" s="56" t="s">
        <v>7607</v>
      </c>
      <c r="G1889" s="56">
        <v>145</v>
      </c>
      <c r="H1889" s="56">
        <v>73</v>
      </c>
      <c r="I1889" s="56">
        <v>0.50344827586206897</v>
      </c>
      <c r="J1889" s="56" t="s">
        <v>5890</v>
      </c>
      <c r="K1889" s="56" t="s">
        <v>5612</v>
      </c>
      <c r="L1889" s="56" t="s">
        <v>3325</v>
      </c>
      <c r="M1889" s="56" t="str">
        <f>HYPERLINK("https://dribble.octin.io/?mode=Single+log&amp;log_id=9d5810e8-cfb3-4db0-a5df-908c5536a053","URL")</f>
        <v>URL</v>
      </c>
      <c r="N1889" s="56" t="s">
        <v>3446</v>
      </c>
      <c r="O1889" t="str">
        <f>_xlfn.XLOOKUP(N1889,'Error-codes'!$C$2:$C$130,'Error-codes'!$B$2:$B$130, "None")</f>
        <v>end of lane wall sensor error</v>
      </c>
      <c r="U1889" s="81">
        <f>DATEVALUE(LEFT(F1889,10))</f>
        <v>45011</v>
      </c>
    </row>
    <row r="1890" spans="1:21">
      <c r="A1890" s="56" t="s">
        <v>7608</v>
      </c>
      <c r="B1890" s="56" t="s">
        <v>29</v>
      </c>
      <c r="C1890" s="56" t="s">
        <v>7424</v>
      </c>
      <c r="D1890" s="56"/>
      <c r="E1890" s="56" t="s">
        <v>2939</v>
      </c>
      <c r="F1890" s="56" t="s">
        <v>7609</v>
      </c>
      <c r="G1890" s="56">
        <v>145</v>
      </c>
      <c r="H1890" s="56">
        <v>79</v>
      </c>
      <c r="I1890" s="56">
        <v>0.54482758620689653</v>
      </c>
      <c r="J1890" s="56" t="s">
        <v>7610</v>
      </c>
      <c r="K1890" s="56" t="s">
        <v>5612</v>
      </c>
      <c r="L1890" s="56" t="s">
        <v>3325</v>
      </c>
      <c r="M1890" s="56" t="str">
        <f>HYPERLINK("https://dribble.octin.io/?mode=Single+log&amp;log_id=4337c0c5-301c-4a4b-847b-7f7f3873da6d","URL")</f>
        <v>URL</v>
      </c>
      <c r="N1890" s="56" t="s">
        <v>3446</v>
      </c>
      <c r="O1890" t="str">
        <f>_xlfn.XLOOKUP(N1890,'Error-codes'!$C$2:$C$130,'Error-codes'!$B$2:$B$130, "None")</f>
        <v>end of lane wall sensor error</v>
      </c>
      <c r="U1890" s="81">
        <f>DATEVALUE(LEFT(F1890,10))</f>
        <v>45011</v>
      </c>
    </row>
    <row r="1891" spans="1:21">
      <c r="A1891" s="56" t="s">
        <v>7611</v>
      </c>
      <c r="B1891" s="56" t="s">
        <v>29</v>
      </c>
      <c r="C1891" s="56" t="s">
        <v>7424</v>
      </c>
      <c r="D1891" s="56"/>
      <c r="E1891" s="56" t="s">
        <v>2939</v>
      </c>
      <c r="F1891" s="56" t="s">
        <v>7612</v>
      </c>
      <c r="G1891" s="56">
        <v>145</v>
      </c>
      <c r="H1891" s="56">
        <v>82</v>
      </c>
      <c r="I1891" s="56">
        <v>0.56551724137931036</v>
      </c>
      <c r="J1891" s="56" t="s">
        <v>3315</v>
      </c>
      <c r="K1891" s="56" t="s">
        <v>5612</v>
      </c>
      <c r="L1891" s="56" t="s">
        <v>3325</v>
      </c>
      <c r="M1891" s="56" t="str">
        <f>HYPERLINK("https://dribble.octin.io/?mode=Single+log&amp;log_id=eee0b618-09dc-4905-994f-7ee3e6ba7933","URL")</f>
        <v>URL</v>
      </c>
      <c r="N1891" s="56" t="s">
        <v>3446</v>
      </c>
      <c r="O1891" t="str">
        <f>_xlfn.XLOOKUP(N1891,'Error-codes'!$C$2:$C$130,'Error-codes'!$B$2:$B$130, "None")</f>
        <v>end of lane wall sensor error</v>
      </c>
      <c r="U1891" s="81">
        <f>DATEVALUE(LEFT(F1891,10))</f>
        <v>45011</v>
      </c>
    </row>
    <row r="1892" spans="1:21">
      <c r="A1892" s="56" t="s">
        <v>7613</v>
      </c>
      <c r="B1892" s="56" t="s">
        <v>29</v>
      </c>
      <c r="C1892" s="56" t="s">
        <v>7424</v>
      </c>
      <c r="D1892" s="56"/>
      <c r="E1892" s="56" t="s">
        <v>2939</v>
      </c>
      <c r="F1892" s="56" t="s">
        <v>7614</v>
      </c>
      <c r="G1892" s="56">
        <v>145</v>
      </c>
      <c r="H1892" s="56">
        <v>83</v>
      </c>
      <c r="I1892" s="56">
        <v>0.57241379310344831</v>
      </c>
      <c r="J1892" s="56" t="s">
        <v>7615</v>
      </c>
      <c r="K1892" s="56" t="s">
        <v>5612</v>
      </c>
      <c r="L1892" s="56" t="s">
        <v>3325</v>
      </c>
      <c r="M1892" s="56" t="str">
        <f>HYPERLINK("https://dribble.octin.io/?mode=Single+log&amp;log_id=f6ae0a35-26a5-4667-aee1-55b9edca67d1","URL")</f>
        <v>URL</v>
      </c>
      <c r="N1892" s="56" t="s">
        <v>3446</v>
      </c>
      <c r="O1892" t="str">
        <f>_xlfn.XLOOKUP(N1892,'Error-codes'!$C$2:$C$130,'Error-codes'!$B$2:$B$130, "None")</f>
        <v>end of lane wall sensor error</v>
      </c>
      <c r="U1892" s="81">
        <f>DATEVALUE(LEFT(F1892,10))</f>
        <v>45011</v>
      </c>
    </row>
    <row r="1893" spans="1:21">
      <c r="A1893" s="56" t="s">
        <v>7616</v>
      </c>
      <c r="B1893" s="56" t="s">
        <v>29</v>
      </c>
      <c r="C1893" s="56" t="s">
        <v>7424</v>
      </c>
      <c r="D1893" s="56"/>
      <c r="E1893" s="56" t="s">
        <v>2939</v>
      </c>
      <c r="F1893" s="56" t="s">
        <v>7617</v>
      </c>
      <c r="G1893" s="56">
        <v>145</v>
      </c>
      <c r="H1893" s="56">
        <v>87</v>
      </c>
      <c r="I1893" s="56">
        <v>0.6</v>
      </c>
      <c r="J1893" s="56" t="s">
        <v>7618</v>
      </c>
      <c r="K1893" s="56" t="s">
        <v>5612</v>
      </c>
      <c r="L1893" s="56" t="s">
        <v>3325</v>
      </c>
      <c r="M1893" s="56" t="str">
        <f>HYPERLINK("https://dribble.octin.io/?mode=Single+log&amp;log_id=8850312c-f797-4d5e-84de-33b09f1048c5","URL")</f>
        <v>URL</v>
      </c>
      <c r="N1893" s="56" t="s">
        <v>3426</v>
      </c>
      <c r="O1893" t="str">
        <f>_xlfn.XLOOKUP(N1893,'Error-codes'!$C$2:$C$130,'Error-codes'!$B$2:$B$130, "None")</f>
        <v>low level fsm is no longer executing the given command</v>
      </c>
      <c r="U1893" s="81">
        <f>DATEVALUE(LEFT(F1893,10))</f>
        <v>45011</v>
      </c>
    </row>
    <row r="1894" spans="1:21">
      <c r="A1894" s="56" t="s">
        <v>7619</v>
      </c>
      <c r="B1894" s="56" t="s">
        <v>29</v>
      </c>
      <c r="C1894" s="56" t="s">
        <v>7424</v>
      </c>
      <c r="D1894" s="56"/>
      <c r="E1894" s="56" t="s">
        <v>2939</v>
      </c>
      <c r="F1894" s="56" t="s">
        <v>7620</v>
      </c>
      <c r="G1894" s="56">
        <v>145</v>
      </c>
      <c r="H1894" s="56">
        <v>88</v>
      </c>
      <c r="I1894" s="56">
        <v>0.60689655172413792</v>
      </c>
      <c r="J1894" s="56" t="s">
        <v>6643</v>
      </c>
      <c r="K1894" s="56" t="s">
        <v>5612</v>
      </c>
      <c r="L1894" s="56" t="s">
        <v>3325</v>
      </c>
      <c r="M1894" s="56" t="str">
        <f>HYPERLINK("https://dribble.octin.io/?mode=Single+log&amp;log_id=5845f120-174c-42e6-bb95-62011819c58d","URL")</f>
        <v>URL</v>
      </c>
      <c r="N1894" s="56" t="s">
        <v>3446</v>
      </c>
      <c r="O1894" t="str">
        <f>_xlfn.XLOOKUP(N1894,'Error-codes'!$C$2:$C$130,'Error-codes'!$B$2:$B$130, "None")</f>
        <v>end of lane wall sensor error</v>
      </c>
      <c r="U1894" s="81">
        <f>DATEVALUE(LEFT(F1894,10))</f>
        <v>45011</v>
      </c>
    </row>
    <row r="1895" spans="1:21">
      <c r="A1895" s="56" t="s">
        <v>7621</v>
      </c>
      <c r="B1895" s="56" t="s">
        <v>29</v>
      </c>
      <c r="C1895" s="56" t="s">
        <v>7424</v>
      </c>
      <c r="D1895" s="56"/>
      <c r="E1895" s="56" t="s">
        <v>2939</v>
      </c>
      <c r="F1895" s="56" t="s">
        <v>7622</v>
      </c>
      <c r="G1895" s="56">
        <v>145</v>
      </c>
      <c r="H1895" s="56">
        <v>89</v>
      </c>
      <c r="I1895" s="56">
        <v>0.61379310344827587</v>
      </c>
      <c r="J1895" s="56" t="s">
        <v>7623</v>
      </c>
      <c r="K1895" s="56" t="s">
        <v>5612</v>
      </c>
      <c r="L1895" s="56" t="s">
        <v>3325</v>
      </c>
      <c r="M1895" s="56" t="str">
        <f>HYPERLINK("https://dribble.octin.io/?mode=Single+log&amp;log_id=f1b98838-55d6-4408-b9c9-482f85feef52","URL")</f>
        <v>URL</v>
      </c>
      <c r="N1895" s="56" t="s">
        <v>3446</v>
      </c>
      <c r="O1895" t="str">
        <f>_xlfn.XLOOKUP(N1895,'Error-codes'!$C$2:$C$130,'Error-codes'!$B$2:$B$130, "None")</f>
        <v>end of lane wall sensor error</v>
      </c>
      <c r="U1895" s="81">
        <f>DATEVALUE(LEFT(F1895,10))</f>
        <v>45011</v>
      </c>
    </row>
    <row r="1896" spans="1:21">
      <c r="A1896" s="56" t="s">
        <v>7624</v>
      </c>
      <c r="B1896" s="56" t="s">
        <v>29</v>
      </c>
      <c r="C1896" s="56" t="s">
        <v>7424</v>
      </c>
      <c r="D1896" s="56"/>
      <c r="E1896" s="56" t="s">
        <v>2939</v>
      </c>
      <c r="F1896" s="56" t="s">
        <v>7625</v>
      </c>
      <c r="G1896" s="56">
        <v>145</v>
      </c>
      <c r="H1896" s="56">
        <v>90</v>
      </c>
      <c r="I1896" s="56">
        <v>0.62068965517241381</v>
      </c>
      <c r="J1896" s="56" t="s">
        <v>7626</v>
      </c>
      <c r="K1896" s="56" t="s">
        <v>5612</v>
      </c>
      <c r="L1896" s="56" t="s">
        <v>3325</v>
      </c>
      <c r="M1896" s="56" t="str">
        <f>HYPERLINK("https://dribble.octin.io/?mode=Single+log&amp;log_id=3a8d99d4-6e2c-4517-8d5d-ec17478add76","URL")</f>
        <v>URL</v>
      </c>
      <c r="N1896" s="56" t="s">
        <v>3446</v>
      </c>
      <c r="O1896" t="str">
        <f>_xlfn.XLOOKUP(N1896,'Error-codes'!$C$2:$C$130,'Error-codes'!$B$2:$B$130, "None")</f>
        <v>end of lane wall sensor error</v>
      </c>
      <c r="U1896" s="81">
        <f>DATEVALUE(LEFT(F1896,10))</f>
        <v>45011</v>
      </c>
    </row>
    <row r="1897" spans="1:21">
      <c r="A1897" s="56" t="s">
        <v>7627</v>
      </c>
      <c r="B1897" s="56" t="s">
        <v>29</v>
      </c>
      <c r="C1897" s="56" t="s">
        <v>7424</v>
      </c>
      <c r="D1897" s="56"/>
      <c r="E1897" s="56" t="s">
        <v>2939</v>
      </c>
      <c r="F1897" s="56" t="s">
        <v>7628</v>
      </c>
      <c r="G1897" s="56">
        <v>145</v>
      </c>
      <c r="H1897" s="56">
        <v>91</v>
      </c>
      <c r="I1897" s="56">
        <v>0.62758620689655176</v>
      </c>
      <c r="J1897" s="56" t="s">
        <v>6646</v>
      </c>
      <c r="K1897" s="56" t="s">
        <v>5612</v>
      </c>
      <c r="L1897" s="56" t="s">
        <v>3325</v>
      </c>
      <c r="M1897" s="56" t="str">
        <f>HYPERLINK("https://dribble.octin.io/?mode=Single+log&amp;log_id=d413817b-db5c-4019-bc2e-2cc9643da72e","URL")</f>
        <v>URL</v>
      </c>
      <c r="N1897" s="56" t="s">
        <v>3446</v>
      </c>
      <c r="O1897" t="str">
        <f>_xlfn.XLOOKUP(N1897,'Error-codes'!$C$2:$C$130,'Error-codes'!$B$2:$B$130, "None")</f>
        <v>end of lane wall sensor error</v>
      </c>
      <c r="U1897" s="81">
        <f>DATEVALUE(LEFT(F1897,10))</f>
        <v>45011</v>
      </c>
    </row>
    <row r="1898" spans="1:21">
      <c r="A1898" s="56" t="s">
        <v>7629</v>
      </c>
      <c r="B1898" s="56" t="s">
        <v>29</v>
      </c>
      <c r="C1898" s="56" t="s">
        <v>7424</v>
      </c>
      <c r="D1898" s="56"/>
      <c r="E1898" s="56" t="s">
        <v>2939</v>
      </c>
      <c r="F1898" s="56" t="s">
        <v>7630</v>
      </c>
      <c r="G1898" s="56">
        <v>145</v>
      </c>
      <c r="H1898" s="56">
        <v>92</v>
      </c>
      <c r="I1898" s="56">
        <v>0.6344827586206897</v>
      </c>
      <c r="J1898" s="56" t="s">
        <v>7631</v>
      </c>
      <c r="K1898" s="56" t="s">
        <v>5612</v>
      </c>
      <c r="L1898" s="56" t="s">
        <v>3325</v>
      </c>
      <c r="M1898" s="56" t="str">
        <f>HYPERLINK("https://dribble.octin.io/?mode=Single+log&amp;log_id=89688c3d-8c94-41d5-a3f5-6b85b4be196e","URL")</f>
        <v>URL</v>
      </c>
      <c r="N1898" s="56" t="s">
        <v>3446</v>
      </c>
      <c r="O1898" t="str">
        <f>_xlfn.XLOOKUP(N1898,'Error-codes'!$C$2:$C$130,'Error-codes'!$B$2:$B$130, "None")</f>
        <v>end of lane wall sensor error</v>
      </c>
      <c r="U1898" s="81">
        <f>DATEVALUE(LEFT(F1898,10))</f>
        <v>45011</v>
      </c>
    </row>
    <row r="1899" spans="1:21">
      <c r="A1899" s="56" t="s">
        <v>7632</v>
      </c>
      <c r="B1899" s="56" t="s">
        <v>29</v>
      </c>
      <c r="C1899" s="56" t="s">
        <v>7424</v>
      </c>
      <c r="D1899" s="56"/>
      <c r="E1899" s="56" t="s">
        <v>2939</v>
      </c>
      <c r="F1899" s="56" t="s">
        <v>7633</v>
      </c>
      <c r="G1899" s="56">
        <v>145</v>
      </c>
      <c r="H1899" s="56">
        <v>93</v>
      </c>
      <c r="I1899" s="56">
        <v>0.64137931034482754</v>
      </c>
      <c r="J1899" s="56" t="s">
        <v>7634</v>
      </c>
      <c r="K1899" s="56" t="s">
        <v>5612</v>
      </c>
      <c r="L1899" s="56" t="s">
        <v>3325</v>
      </c>
      <c r="M1899" s="56" t="str">
        <f>HYPERLINK("https://dribble.octin.io/?mode=Single+log&amp;log_id=d794f445-fddb-477e-baf8-2b10167b4cba","URL")</f>
        <v>URL</v>
      </c>
      <c r="N1899" s="56" t="s">
        <v>3446</v>
      </c>
      <c r="O1899" t="str">
        <f>_xlfn.XLOOKUP(N1899,'Error-codes'!$C$2:$C$130,'Error-codes'!$B$2:$B$130, "None")</f>
        <v>end of lane wall sensor error</v>
      </c>
      <c r="U1899" s="81">
        <f>DATEVALUE(LEFT(F1899,10))</f>
        <v>45011</v>
      </c>
    </row>
    <row r="1900" spans="1:21">
      <c r="A1900" s="56" t="s">
        <v>7635</v>
      </c>
      <c r="B1900" s="56" t="s">
        <v>29</v>
      </c>
      <c r="C1900" s="56" t="s">
        <v>7424</v>
      </c>
      <c r="D1900" s="56"/>
      <c r="E1900" s="56" t="s">
        <v>2939</v>
      </c>
      <c r="F1900" s="56" t="s">
        <v>7636</v>
      </c>
      <c r="G1900" s="56">
        <v>145</v>
      </c>
      <c r="H1900" s="56">
        <v>94</v>
      </c>
      <c r="I1900" s="56">
        <v>0.64827586206896548</v>
      </c>
      <c r="J1900" s="56" t="s">
        <v>7637</v>
      </c>
      <c r="K1900" s="56" t="s">
        <v>5612</v>
      </c>
      <c r="L1900" s="56" t="s">
        <v>3325</v>
      </c>
      <c r="M1900" s="56" t="str">
        <f>HYPERLINK("https://dribble.octin.io/?mode=Single+log&amp;log_id=c908fff9-d42a-4041-97a3-818c76410083","URL")</f>
        <v>URL</v>
      </c>
      <c r="N1900" s="56" t="s">
        <v>3446</v>
      </c>
      <c r="O1900" t="str">
        <f>_xlfn.XLOOKUP(N1900,'Error-codes'!$C$2:$C$130,'Error-codes'!$B$2:$B$130, "None")</f>
        <v>end of lane wall sensor error</v>
      </c>
      <c r="U1900" s="81">
        <f>DATEVALUE(LEFT(F1900,10))</f>
        <v>45011</v>
      </c>
    </row>
    <row r="1901" spans="1:21">
      <c r="A1901" s="56" t="s">
        <v>7638</v>
      </c>
      <c r="B1901" s="56" t="s">
        <v>29</v>
      </c>
      <c r="C1901" s="56" t="s">
        <v>7424</v>
      </c>
      <c r="D1901" s="56"/>
      <c r="E1901" s="56" t="s">
        <v>2939</v>
      </c>
      <c r="F1901" s="56" t="s">
        <v>7639</v>
      </c>
      <c r="G1901" s="56">
        <v>145</v>
      </c>
      <c r="H1901" s="56">
        <v>95</v>
      </c>
      <c r="I1901" s="56">
        <v>0.65517241379310343</v>
      </c>
      <c r="J1901" s="56" t="s">
        <v>6649</v>
      </c>
      <c r="K1901" s="56" t="s">
        <v>5612</v>
      </c>
      <c r="L1901" s="56" t="s">
        <v>3325</v>
      </c>
      <c r="M1901" s="56" t="str">
        <f>HYPERLINK("https://dribble.octin.io/?mode=Single+log&amp;log_id=9e6fbfd8-6cbf-4142-b994-ac897b035b01","URL")</f>
        <v>URL</v>
      </c>
      <c r="N1901" s="56" t="s">
        <v>3446</v>
      </c>
      <c r="O1901" t="str">
        <f>_xlfn.XLOOKUP(N1901,'Error-codes'!$C$2:$C$130,'Error-codes'!$B$2:$B$130, "None")</f>
        <v>end of lane wall sensor error</v>
      </c>
      <c r="U1901" s="81">
        <f>DATEVALUE(LEFT(F1901,10))</f>
        <v>45011</v>
      </c>
    </row>
    <row r="1902" spans="1:21">
      <c r="A1902" s="56" t="s">
        <v>7640</v>
      </c>
      <c r="B1902" s="56" t="s">
        <v>29</v>
      </c>
      <c r="C1902" s="56" t="s">
        <v>7424</v>
      </c>
      <c r="D1902" s="56"/>
      <c r="E1902" s="56" t="s">
        <v>2939</v>
      </c>
      <c r="F1902" s="56" t="s">
        <v>7641</v>
      </c>
      <c r="G1902" s="56">
        <v>145</v>
      </c>
      <c r="H1902" s="56">
        <v>96</v>
      </c>
      <c r="I1902" s="56">
        <v>0.66206896551724137</v>
      </c>
      <c r="J1902" s="56" t="s">
        <v>6432</v>
      </c>
      <c r="K1902" s="56" t="s">
        <v>5612</v>
      </c>
      <c r="L1902" s="56" t="s">
        <v>3325</v>
      </c>
      <c r="M1902" s="56" t="str">
        <f>HYPERLINK("https://dribble.octin.io/?mode=Single+log&amp;log_id=ee8271cf-62e1-465d-b8be-2ff1c1ab11dd","URL")</f>
        <v>URL</v>
      </c>
      <c r="N1902" s="56" t="s">
        <v>3446</v>
      </c>
      <c r="O1902" t="str">
        <f>_xlfn.XLOOKUP(N1902,'Error-codes'!$C$2:$C$130,'Error-codes'!$B$2:$B$130, "None")</f>
        <v>end of lane wall sensor error</v>
      </c>
      <c r="U1902" s="81">
        <f>DATEVALUE(LEFT(F1902,10))</f>
        <v>45011</v>
      </c>
    </row>
    <row r="1903" spans="1:21">
      <c r="A1903" s="56" t="s">
        <v>7642</v>
      </c>
      <c r="B1903" s="56" t="s">
        <v>29</v>
      </c>
      <c r="C1903" s="56" t="s">
        <v>7424</v>
      </c>
      <c r="D1903" s="56"/>
      <c r="E1903" s="56" t="s">
        <v>2939</v>
      </c>
      <c r="F1903" s="56" t="s">
        <v>7643</v>
      </c>
      <c r="G1903" s="56">
        <v>145</v>
      </c>
      <c r="H1903" s="56">
        <v>97</v>
      </c>
      <c r="I1903" s="56">
        <v>0.66896551724137931</v>
      </c>
      <c r="J1903" s="56" t="s">
        <v>7644</v>
      </c>
      <c r="K1903" s="56" t="s">
        <v>5612</v>
      </c>
      <c r="L1903" s="56" t="s">
        <v>3325</v>
      </c>
      <c r="M1903" s="56" t="str">
        <f>HYPERLINK("https://dribble.octin.io/?mode=Single+log&amp;log_id=83b435a0-abf2-4a98-ab26-dcf3f2fb9e4d","URL")</f>
        <v>URL</v>
      </c>
      <c r="N1903" s="56" t="s">
        <v>3446</v>
      </c>
      <c r="O1903" t="str">
        <f>_xlfn.XLOOKUP(N1903,'Error-codes'!$C$2:$C$130,'Error-codes'!$B$2:$B$130, "None")</f>
        <v>end of lane wall sensor error</v>
      </c>
      <c r="U1903" s="81">
        <f>DATEVALUE(LEFT(F1903,10))</f>
        <v>45011</v>
      </c>
    </row>
    <row r="1904" spans="1:21">
      <c r="A1904" s="56" t="s">
        <v>7645</v>
      </c>
      <c r="B1904" s="56" t="s">
        <v>29</v>
      </c>
      <c r="C1904" s="56" t="s">
        <v>7424</v>
      </c>
      <c r="D1904" s="56"/>
      <c r="E1904" s="56"/>
      <c r="F1904" s="56" t="s">
        <v>7646</v>
      </c>
      <c r="G1904" s="56">
        <v>145</v>
      </c>
      <c r="H1904" s="56">
        <v>98</v>
      </c>
      <c r="I1904" s="56">
        <v>0.67586206896551726</v>
      </c>
      <c r="J1904" s="56" t="s">
        <v>3206</v>
      </c>
      <c r="K1904" s="56" t="s">
        <v>5612</v>
      </c>
      <c r="L1904" s="56" t="s">
        <v>3325</v>
      </c>
      <c r="M1904" s="56" t="str">
        <f>HYPERLINK("https://dribble.octin.io/?mode=Single+log&amp;log_id=76592990-9548-4a01-b65a-c659eef8135c","URL")</f>
        <v>URL</v>
      </c>
      <c r="N1904" s="56" t="s">
        <v>3446</v>
      </c>
      <c r="O1904" t="str">
        <f>_xlfn.XLOOKUP(N1904,'Error-codes'!$C$2:$C$130,'Error-codes'!$B$2:$B$130, "None")</f>
        <v>end of lane wall sensor error</v>
      </c>
      <c r="U1904" s="81">
        <f>DATEVALUE(LEFT(F1904,10))</f>
        <v>45011</v>
      </c>
    </row>
    <row r="1905" spans="1:21">
      <c r="A1905" s="56"/>
      <c r="B1905" s="56" t="s">
        <v>29</v>
      </c>
      <c r="C1905" s="56" t="s">
        <v>7647</v>
      </c>
      <c r="D1905" s="56" t="s">
        <v>37</v>
      </c>
      <c r="E1905" s="56" t="s">
        <v>7648</v>
      </c>
      <c r="F1905" s="56" t="s">
        <v>7649</v>
      </c>
      <c r="G1905" s="56">
        <v>176</v>
      </c>
      <c r="H1905" s="56">
        <v>0</v>
      </c>
      <c r="I1905" s="56">
        <v>0</v>
      </c>
      <c r="J1905" s="56" t="s">
        <v>7650</v>
      </c>
      <c r="K1905" s="56" t="s">
        <v>1893</v>
      </c>
      <c r="L1905" s="56" t="s">
        <v>2942</v>
      </c>
      <c r="N1905" s="56" t="s">
        <v>7417</v>
      </c>
      <c r="O1905" t="str">
        <f>_xlfn.XLOOKUP(N1905,'Error-codes'!$C$2:$C$130,'Error-codes'!$B$2:$B$130, "None")</f>
        <v>None</v>
      </c>
      <c r="U1905" s="81">
        <f>DATEVALUE(LEFT(F1905,10))</f>
        <v>45011</v>
      </c>
    </row>
    <row r="1906" spans="1:21">
      <c r="A1906" s="56"/>
      <c r="B1906" s="56" t="s">
        <v>29</v>
      </c>
      <c r="C1906" s="56" t="s">
        <v>7651</v>
      </c>
      <c r="D1906" s="56" t="s">
        <v>37</v>
      </c>
      <c r="E1906" s="56" t="s">
        <v>2939</v>
      </c>
      <c r="F1906" s="56" t="s">
        <v>7652</v>
      </c>
      <c r="G1906" s="56">
        <v>176</v>
      </c>
      <c r="H1906" s="56">
        <v>25</v>
      </c>
      <c r="I1906" s="56">
        <v>0.14204545454545456</v>
      </c>
      <c r="J1906" s="56" t="s">
        <v>7653</v>
      </c>
      <c r="K1906" s="56" t="s">
        <v>1893</v>
      </c>
      <c r="L1906" s="56" t="s">
        <v>2942</v>
      </c>
      <c r="N1906" s="56" t="s">
        <v>7417</v>
      </c>
      <c r="O1906" t="str">
        <f>_xlfn.XLOOKUP(N1906,'Error-codes'!$C$2:$C$130,'Error-codes'!$B$2:$B$130, "None")</f>
        <v>None</v>
      </c>
      <c r="U1906" s="81">
        <f>DATEVALUE(LEFT(F1906,10))</f>
        <v>45011</v>
      </c>
    </row>
    <row r="1907" spans="1:21">
      <c r="A1907" s="56"/>
      <c r="B1907" s="56" t="s">
        <v>29</v>
      </c>
      <c r="C1907" s="56" t="s">
        <v>7651</v>
      </c>
      <c r="D1907" s="56" t="s">
        <v>37</v>
      </c>
      <c r="E1907" s="56" t="s">
        <v>7654</v>
      </c>
      <c r="F1907" s="56" t="s">
        <v>7655</v>
      </c>
      <c r="G1907" s="56">
        <v>176</v>
      </c>
      <c r="H1907" s="56">
        <v>26</v>
      </c>
      <c r="I1907" s="56">
        <v>0.14772727272727273</v>
      </c>
      <c r="J1907" s="56" t="s">
        <v>7653</v>
      </c>
      <c r="K1907" s="56" t="s">
        <v>1893</v>
      </c>
      <c r="L1907" s="56" t="s">
        <v>2942</v>
      </c>
      <c r="N1907" s="56" t="s">
        <v>3462</v>
      </c>
      <c r="O1907" t="str">
        <f>_xlfn.XLOOKUP(N1907,'Error-codes'!$C$2:$C$130,'Error-codes'!$B$2:$B$130, "None")</f>
        <v xml:space="preserve">Vehicle HAL: motor drive: ID CONTROL ISSUE	</v>
      </c>
      <c r="U1907" s="81">
        <f>DATEVALUE(LEFT(F1907,10))</f>
        <v>45011</v>
      </c>
    </row>
    <row r="1908" spans="1:21">
      <c r="A1908" s="56"/>
      <c r="B1908" s="56" t="s">
        <v>29</v>
      </c>
      <c r="C1908" s="56" t="s">
        <v>7656</v>
      </c>
      <c r="D1908" s="56" t="s">
        <v>37</v>
      </c>
      <c r="E1908" s="56" t="s">
        <v>7414</v>
      </c>
      <c r="F1908" s="56" t="s">
        <v>7657</v>
      </c>
      <c r="G1908" s="56">
        <v>150</v>
      </c>
      <c r="H1908" s="56">
        <v>18</v>
      </c>
      <c r="I1908" s="56">
        <v>0.12</v>
      </c>
      <c r="J1908" s="56" t="s">
        <v>7658</v>
      </c>
      <c r="K1908" s="56" t="s">
        <v>1893</v>
      </c>
      <c r="L1908" s="56" t="s">
        <v>2942</v>
      </c>
      <c r="N1908" s="56" t="s">
        <v>7417</v>
      </c>
      <c r="O1908" t="str">
        <f>_xlfn.XLOOKUP(N1908,'Error-codes'!$C$2:$C$130,'Error-codes'!$B$2:$B$130, "None")</f>
        <v>None</v>
      </c>
      <c r="U1908" s="81">
        <f>DATEVALUE(LEFT(F1908,10))</f>
        <v>45011</v>
      </c>
    </row>
    <row r="1909" spans="1:21">
      <c r="A1909" s="56" t="s">
        <v>7659</v>
      </c>
      <c r="B1909" s="56" t="s">
        <v>29</v>
      </c>
      <c r="C1909" s="56" t="s">
        <v>7660</v>
      </c>
      <c r="D1909" s="56" t="s">
        <v>37</v>
      </c>
      <c r="E1909" s="56" t="s">
        <v>2939</v>
      </c>
      <c r="F1909" s="56" t="s">
        <v>7661</v>
      </c>
      <c r="G1909" s="56">
        <v>219</v>
      </c>
      <c r="H1909" s="56">
        <v>2</v>
      </c>
      <c r="I1909" s="56">
        <v>9.1324200913242004E-3</v>
      </c>
      <c r="J1909" s="56" t="s">
        <v>3315</v>
      </c>
      <c r="K1909" s="56" t="s">
        <v>5612</v>
      </c>
      <c r="L1909" s="56" t="s">
        <v>3325</v>
      </c>
      <c r="M1909" s="56" t="str">
        <f>HYPERLINK("https://dribble.octin.io/?mode=Single+log&amp;log_id=cd923b6b-0854-4452-be79-393a7abe75f5","URL")</f>
        <v>URL</v>
      </c>
      <c r="N1909" s="56" t="s">
        <v>3448</v>
      </c>
      <c r="O1909" t="str">
        <f>_xlfn.XLOOKUP(N1909,'Error-codes'!$C$2:$C$130,'Error-codes'!$B$2:$B$130, "None")</f>
        <v>end of lane open sensor error</v>
      </c>
      <c r="U1909" s="81">
        <f>DATEVALUE(LEFT(F1909,10))</f>
        <v>45012</v>
      </c>
    </row>
    <row r="1910" spans="1:21">
      <c r="A1910" s="56" t="s">
        <v>7662</v>
      </c>
      <c r="B1910" s="56" t="s">
        <v>29</v>
      </c>
      <c r="C1910" s="56" t="s">
        <v>7660</v>
      </c>
      <c r="D1910" s="56" t="s">
        <v>37</v>
      </c>
      <c r="E1910" s="56" t="s">
        <v>2939</v>
      </c>
      <c r="F1910" s="56" t="s">
        <v>7663</v>
      </c>
      <c r="G1910" s="56">
        <v>219</v>
      </c>
      <c r="H1910" s="56">
        <v>100</v>
      </c>
      <c r="I1910" s="56">
        <v>0.45662100456621002</v>
      </c>
      <c r="J1910" s="56" t="s">
        <v>6247</v>
      </c>
      <c r="K1910" s="56" t="s">
        <v>5612</v>
      </c>
      <c r="L1910" s="56" t="s">
        <v>3325</v>
      </c>
      <c r="M1910" s="56" t="str">
        <f>HYPERLINK("https://dribble.octin.io/?mode=Single+log&amp;log_id=24a7c73d-642d-4b68-9d62-3c024c4e3136","URL")</f>
        <v>URL</v>
      </c>
      <c r="N1910" s="56" t="s">
        <v>2933</v>
      </c>
      <c r="O1910" t="str">
        <f>_xlfn.XLOOKUP(N1910,'Error-codes'!$C$2:$C$130,'Error-codes'!$B$2:$B$130, "None")</f>
        <v>inductive sensor error</v>
      </c>
      <c r="U1910" s="81">
        <f>DATEVALUE(LEFT(F1910,10))</f>
        <v>45012</v>
      </c>
    </row>
    <row r="1911" spans="1:21">
      <c r="A1911" s="56" t="s">
        <v>7664</v>
      </c>
      <c r="B1911" s="56" t="s">
        <v>29</v>
      </c>
      <c r="C1911" s="56" t="s">
        <v>7660</v>
      </c>
      <c r="D1911" s="56" t="s">
        <v>37</v>
      </c>
      <c r="E1911" s="56" t="s">
        <v>2939</v>
      </c>
      <c r="F1911" s="56" t="s">
        <v>7665</v>
      </c>
      <c r="G1911" s="56">
        <v>219</v>
      </c>
      <c r="H1911" s="56">
        <v>177</v>
      </c>
      <c r="I1911" s="56">
        <v>0.80821917808219179</v>
      </c>
      <c r="J1911" s="56" t="s">
        <v>6138</v>
      </c>
      <c r="K1911" s="56" t="s">
        <v>5612</v>
      </c>
      <c r="L1911" s="56" t="s">
        <v>3325</v>
      </c>
      <c r="M1911" s="56" t="str">
        <f>HYPERLINK("https://dribble.octin.io/?mode=Single+log&amp;log_id=b99517b0-f0a8-4fb2-96e5-6542e1d7d0b7","URL")</f>
        <v>URL</v>
      </c>
      <c r="N1911" s="56" t="s">
        <v>2933</v>
      </c>
      <c r="O1911" t="str">
        <f>_xlfn.XLOOKUP(N1911,'Error-codes'!$C$2:$C$130,'Error-codes'!$B$2:$B$130, "None")</f>
        <v>inductive sensor error</v>
      </c>
      <c r="U1911" s="81">
        <f>DATEVALUE(LEFT(F1911,10))</f>
        <v>45013</v>
      </c>
    </row>
    <row r="1912" spans="1:21">
      <c r="A1912" s="56" t="s">
        <v>7666</v>
      </c>
      <c r="B1912" s="56" t="s">
        <v>29</v>
      </c>
      <c r="C1912" s="56" t="s">
        <v>7660</v>
      </c>
      <c r="D1912" s="56" t="s">
        <v>37</v>
      </c>
      <c r="E1912" s="56" t="s">
        <v>3253</v>
      </c>
      <c r="F1912" s="56" t="s">
        <v>7667</v>
      </c>
      <c r="G1912" s="56">
        <v>219</v>
      </c>
      <c r="H1912" s="56">
        <v>186</v>
      </c>
      <c r="I1912" s="56">
        <v>0.84931506849315064</v>
      </c>
      <c r="J1912" s="56" t="s">
        <v>7668</v>
      </c>
      <c r="K1912" s="56" t="s">
        <v>5612</v>
      </c>
      <c r="L1912" s="56" t="s">
        <v>3325</v>
      </c>
      <c r="M1912" s="56" t="str">
        <f>HYPERLINK("https://dribble.octin.io/?mode=Single+log&amp;log_id=2b584b16-4009-4437-a541-ad5b17b00cff","URL")</f>
        <v>URL</v>
      </c>
      <c r="N1912" s="56" t="s">
        <v>3454</v>
      </c>
      <c r="O1912" t="str">
        <f>_xlfn.XLOOKUP(N1912,'Error-codes'!$C$2:$C$130,'Error-codes'!$B$2:$B$130, "None")</f>
        <v>Veh low level FSM: safety was triggered</v>
      </c>
      <c r="U1912" s="81">
        <f>DATEVALUE(LEFT(F1912,10))</f>
        <v>45013</v>
      </c>
    </row>
    <row r="1913" spans="1:21">
      <c r="A1913" s="56" t="s">
        <v>7669</v>
      </c>
      <c r="B1913" s="56" t="s">
        <v>29</v>
      </c>
      <c r="C1913" s="56" t="s">
        <v>7670</v>
      </c>
      <c r="D1913" s="56" t="s">
        <v>37</v>
      </c>
      <c r="E1913" s="56" t="s">
        <v>4731</v>
      </c>
      <c r="F1913" s="56" t="s">
        <v>7671</v>
      </c>
      <c r="G1913" s="56">
        <v>34</v>
      </c>
      <c r="H1913" s="56">
        <v>32</v>
      </c>
      <c r="I1913" s="56">
        <v>0.94117647058823528</v>
      </c>
      <c r="J1913" s="56" t="s">
        <v>3315</v>
      </c>
      <c r="K1913" s="56" t="s">
        <v>5612</v>
      </c>
      <c r="L1913" s="56" t="s">
        <v>3325</v>
      </c>
      <c r="M1913" s="56" t="str">
        <f>HYPERLINK("https://dribble.octin.io/?mode=Single+log&amp;log_id=07b5e98f-13be-46a4-893d-0611ee6f2945","URL")</f>
        <v>URL</v>
      </c>
      <c r="N1913" s="56" t="s">
        <v>3472</v>
      </c>
      <c r="O1913" t="str">
        <f>_xlfn.XLOOKUP(N1913,'Error-codes'!$C$2:$C$130,'Error-codes'!$B$2:$B$130, "None")</f>
        <v>Excessive slip detected</v>
      </c>
      <c r="U1913" s="81">
        <f>DATEVALUE(LEFT(F1913,10))</f>
        <v>45013</v>
      </c>
    </row>
    <row r="1914" spans="1:21">
      <c r="A1914" s="56" t="s">
        <v>7672</v>
      </c>
      <c r="B1914" s="56" t="s">
        <v>29</v>
      </c>
      <c r="C1914" s="56" t="s">
        <v>7673</v>
      </c>
      <c r="D1914" s="56" t="s">
        <v>37</v>
      </c>
      <c r="E1914" s="56" t="s">
        <v>2939</v>
      </c>
      <c r="F1914" s="56" t="s">
        <v>7674</v>
      </c>
      <c r="G1914" s="56">
        <v>154</v>
      </c>
      <c r="H1914" s="56">
        <v>7</v>
      </c>
      <c r="I1914" s="56">
        <v>4.5454545454545456E-2</v>
      </c>
      <c r="J1914" s="56" t="s">
        <v>7675</v>
      </c>
      <c r="K1914" s="56" t="s">
        <v>5593</v>
      </c>
      <c r="L1914" s="56" t="s">
        <v>3358</v>
      </c>
      <c r="M1914" s="56" t="str">
        <f>HYPERLINK("https://dribble.octin.io/?mode=Single+log&amp;log_id=aff579a8-b803-4c58-80f0-bfed45bda63c","URL")</f>
        <v>URL</v>
      </c>
      <c r="N1914" s="56" t="s">
        <v>3446</v>
      </c>
      <c r="O1914" t="str">
        <f>_xlfn.XLOOKUP(N1914,'Error-codes'!$C$2:$C$130,'Error-codes'!$B$2:$B$130, "None")</f>
        <v>end of lane wall sensor error</v>
      </c>
      <c r="U1914" s="81">
        <f>DATEVALUE(LEFT(F1914,10))</f>
        <v>45013</v>
      </c>
    </row>
    <row r="1915" spans="1:21">
      <c r="A1915" s="56" t="s">
        <v>7676</v>
      </c>
      <c r="B1915" s="56" t="s">
        <v>29</v>
      </c>
      <c r="C1915" s="56" t="s">
        <v>7673</v>
      </c>
      <c r="D1915" s="56" t="s">
        <v>37</v>
      </c>
      <c r="E1915" s="56" t="s">
        <v>2939</v>
      </c>
      <c r="F1915" s="56" t="s">
        <v>7677</v>
      </c>
      <c r="G1915" s="56">
        <v>154</v>
      </c>
      <c r="H1915" s="56">
        <v>11</v>
      </c>
      <c r="I1915" s="56">
        <v>7.1428571428571425E-2</v>
      </c>
      <c r="J1915" s="56" t="s">
        <v>7678</v>
      </c>
      <c r="K1915" s="56" t="s">
        <v>5593</v>
      </c>
      <c r="L1915" s="56" t="s">
        <v>3358</v>
      </c>
      <c r="M1915" s="56" t="str">
        <f>HYPERLINK("https://dribble.octin.io/?mode=Single+log&amp;log_id=de6e9e3e-bcaf-4b79-a754-1990e06c3b9c","URL")</f>
        <v>URL</v>
      </c>
      <c r="N1915" s="56" t="s">
        <v>3446</v>
      </c>
      <c r="O1915" t="str">
        <f>_xlfn.XLOOKUP(N1915,'Error-codes'!$C$2:$C$130,'Error-codes'!$B$2:$B$130, "None")</f>
        <v>end of lane wall sensor error</v>
      </c>
      <c r="U1915" s="81">
        <f>DATEVALUE(LEFT(F1915,10))</f>
        <v>45013</v>
      </c>
    </row>
    <row r="1916" spans="1:21">
      <c r="A1916" s="56" t="s">
        <v>7679</v>
      </c>
      <c r="B1916" s="56" t="s">
        <v>29</v>
      </c>
      <c r="C1916" s="56" t="s">
        <v>7673</v>
      </c>
      <c r="D1916" s="56" t="s">
        <v>37</v>
      </c>
      <c r="E1916" s="56" t="s">
        <v>2939</v>
      </c>
      <c r="F1916" s="56" t="s">
        <v>7680</v>
      </c>
      <c r="G1916" s="56">
        <v>154</v>
      </c>
      <c r="H1916" s="56">
        <v>12</v>
      </c>
      <c r="I1916" s="56">
        <v>7.792207792207792E-2</v>
      </c>
      <c r="J1916" s="56" t="s">
        <v>7681</v>
      </c>
      <c r="K1916" s="56" t="s">
        <v>5593</v>
      </c>
      <c r="L1916" s="56" t="s">
        <v>3358</v>
      </c>
      <c r="M1916" s="56" t="str">
        <f>HYPERLINK("https://dribble.octin.io/?mode=Single+log&amp;log_id=2afdc5b3-3c4d-462e-a33a-30d42610b19c","URL")</f>
        <v>URL</v>
      </c>
      <c r="N1916" s="56" t="s">
        <v>3446</v>
      </c>
      <c r="O1916" t="str">
        <f>_xlfn.XLOOKUP(N1916,'Error-codes'!$C$2:$C$130,'Error-codes'!$B$2:$B$130, "None")</f>
        <v>end of lane wall sensor error</v>
      </c>
      <c r="U1916" s="81">
        <f>DATEVALUE(LEFT(F1916,10))</f>
        <v>45013</v>
      </c>
    </row>
    <row r="1917" spans="1:21">
      <c r="A1917" s="56" t="s">
        <v>7682</v>
      </c>
      <c r="B1917" s="56" t="s">
        <v>29</v>
      </c>
      <c r="C1917" s="56" t="s">
        <v>7673</v>
      </c>
      <c r="D1917" s="56" t="s">
        <v>37</v>
      </c>
      <c r="E1917" s="56" t="s">
        <v>2939</v>
      </c>
      <c r="F1917" s="56" t="s">
        <v>7683</v>
      </c>
      <c r="G1917" s="56">
        <v>154</v>
      </c>
      <c r="H1917" s="56">
        <v>14</v>
      </c>
      <c r="I1917" s="56">
        <v>9.0909090909090912E-2</v>
      </c>
      <c r="J1917" s="56" t="s">
        <v>7684</v>
      </c>
      <c r="K1917" s="56" t="s">
        <v>5593</v>
      </c>
      <c r="L1917" s="56" t="s">
        <v>3358</v>
      </c>
      <c r="M1917" s="56" t="str">
        <f>HYPERLINK("https://dribble.octin.io/?mode=Single+log&amp;log_id=e82052a5-6e19-4f22-8306-a335f2a62664","URL")</f>
        <v>URL</v>
      </c>
      <c r="N1917" s="56" t="s">
        <v>3446</v>
      </c>
      <c r="O1917" t="str">
        <f>_xlfn.XLOOKUP(N1917,'Error-codes'!$C$2:$C$130,'Error-codes'!$B$2:$B$130, "None")</f>
        <v>end of lane wall sensor error</v>
      </c>
      <c r="U1917" s="81">
        <f>DATEVALUE(LEFT(F1917,10))</f>
        <v>45013</v>
      </c>
    </row>
    <row r="1918" spans="1:21">
      <c r="A1918" s="56" t="s">
        <v>7685</v>
      </c>
      <c r="B1918" s="56" t="s">
        <v>29</v>
      </c>
      <c r="C1918" s="56" t="s">
        <v>7673</v>
      </c>
      <c r="D1918" s="56" t="s">
        <v>37</v>
      </c>
      <c r="E1918" s="56" t="s">
        <v>2939</v>
      </c>
      <c r="F1918" s="56" t="s">
        <v>7686</v>
      </c>
      <c r="G1918" s="56">
        <v>154</v>
      </c>
      <c r="H1918" s="56">
        <v>30</v>
      </c>
      <c r="I1918" s="56">
        <v>0.19480519480519481</v>
      </c>
      <c r="J1918" s="56" t="s">
        <v>5760</v>
      </c>
      <c r="K1918" s="56" t="s">
        <v>5593</v>
      </c>
      <c r="L1918" s="56" t="s">
        <v>3358</v>
      </c>
      <c r="M1918" s="56" t="str">
        <f>HYPERLINK("https://dribble.octin.io/?mode=Single+log&amp;log_id=3e20da07-927c-4d7a-bfdb-9c4101be0368","URL")</f>
        <v>URL</v>
      </c>
      <c r="N1918" s="56" t="s">
        <v>3444</v>
      </c>
      <c r="O1918" t="str">
        <f>_xlfn.XLOOKUP(N1918,'Error-codes'!$C$2:$C$130,'Error-codes'!$B$2:$B$130, "None")</f>
        <v>collision detected in operational state for the 4th time in a row</v>
      </c>
      <c r="U1918" s="81">
        <f>DATEVALUE(LEFT(F1918,10))</f>
        <v>45013</v>
      </c>
    </row>
    <row r="1919" spans="1:21">
      <c r="A1919" s="56" t="s">
        <v>7687</v>
      </c>
      <c r="B1919" s="56" t="s">
        <v>29</v>
      </c>
      <c r="C1919" s="56" t="s">
        <v>7673</v>
      </c>
      <c r="D1919" s="56" t="s">
        <v>37</v>
      </c>
      <c r="E1919" s="56" t="s">
        <v>2939</v>
      </c>
      <c r="F1919" s="56" t="s">
        <v>7688</v>
      </c>
      <c r="G1919" s="56">
        <v>154</v>
      </c>
      <c r="H1919" s="56">
        <v>31</v>
      </c>
      <c r="I1919" s="56">
        <v>0.20129870129870131</v>
      </c>
      <c r="J1919" s="56" t="s">
        <v>6016</v>
      </c>
      <c r="K1919" s="56" t="s">
        <v>5593</v>
      </c>
      <c r="L1919" s="56" t="s">
        <v>3358</v>
      </c>
      <c r="M1919" s="56" t="str">
        <f>HYPERLINK("https://dribble.octin.io/?mode=Single+log&amp;log_id=9d4c0a0a-1a8d-4c4f-911e-24cf484a3afe","URL")</f>
        <v>URL</v>
      </c>
      <c r="N1919" s="56" t="s">
        <v>3446</v>
      </c>
      <c r="O1919" t="str">
        <f>_xlfn.XLOOKUP(N1919,'Error-codes'!$C$2:$C$130,'Error-codes'!$B$2:$B$130, "None")</f>
        <v>end of lane wall sensor error</v>
      </c>
      <c r="U1919" s="81">
        <f>DATEVALUE(LEFT(F1919,10))</f>
        <v>45013</v>
      </c>
    </row>
    <row r="1920" spans="1:21">
      <c r="A1920" s="56" t="s">
        <v>7689</v>
      </c>
      <c r="B1920" s="56" t="s">
        <v>29</v>
      </c>
      <c r="C1920" s="56" t="s">
        <v>7673</v>
      </c>
      <c r="D1920" s="56" t="s">
        <v>37</v>
      </c>
      <c r="E1920" s="56" t="s">
        <v>2939</v>
      </c>
      <c r="F1920" s="56" t="s">
        <v>7690</v>
      </c>
      <c r="G1920" s="56">
        <v>154</v>
      </c>
      <c r="H1920" s="56">
        <v>42</v>
      </c>
      <c r="I1920" s="56">
        <v>0.27272727272727271</v>
      </c>
      <c r="J1920" s="56" t="s">
        <v>7691</v>
      </c>
      <c r="K1920" s="56" t="s">
        <v>5593</v>
      </c>
      <c r="L1920" s="56" t="s">
        <v>3358</v>
      </c>
      <c r="M1920" s="56" t="str">
        <f>HYPERLINK("https://dribble.octin.io/?mode=Single+log&amp;log_id=21880e18-d8bf-4557-ae37-452a0dff616b","URL")</f>
        <v>URL</v>
      </c>
      <c r="N1920" s="56" t="s">
        <v>3446</v>
      </c>
      <c r="O1920" t="str">
        <f>_xlfn.XLOOKUP(N1920,'Error-codes'!$C$2:$C$130,'Error-codes'!$B$2:$B$130, "None")</f>
        <v>end of lane wall sensor error</v>
      </c>
      <c r="U1920" s="81">
        <f>DATEVALUE(LEFT(F1920,10))</f>
        <v>45013</v>
      </c>
    </row>
    <row r="1921" spans="1:21">
      <c r="A1921" s="56" t="s">
        <v>7692</v>
      </c>
      <c r="B1921" s="56" t="s">
        <v>29</v>
      </c>
      <c r="C1921" s="56" t="s">
        <v>7673</v>
      </c>
      <c r="D1921" s="56" t="s">
        <v>37</v>
      </c>
      <c r="E1921" s="56" t="s">
        <v>2939</v>
      </c>
      <c r="F1921" s="56" t="s">
        <v>7693</v>
      </c>
      <c r="G1921" s="56">
        <v>154</v>
      </c>
      <c r="H1921" s="56">
        <v>46</v>
      </c>
      <c r="I1921" s="56">
        <v>0.29870129870129869</v>
      </c>
      <c r="J1921" s="56" t="s">
        <v>3328</v>
      </c>
      <c r="K1921" s="56" t="s">
        <v>5593</v>
      </c>
      <c r="L1921" s="56" t="s">
        <v>3358</v>
      </c>
      <c r="M1921" s="56" t="str">
        <f>HYPERLINK("https://dribble.octin.io/?mode=Single+log&amp;log_id=89403e6f-4c8d-4c83-9c3a-2aebc8e79d8d","URL")</f>
        <v>URL</v>
      </c>
      <c r="N1921" s="56" t="s">
        <v>3446</v>
      </c>
      <c r="O1921" t="str">
        <f>_xlfn.XLOOKUP(N1921,'Error-codes'!$C$2:$C$130,'Error-codes'!$B$2:$B$130, "None")</f>
        <v>end of lane wall sensor error</v>
      </c>
      <c r="U1921" s="81">
        <f>DATEVALUE(LEFT(F1921,10))</f>
        <v>45013</v>
      </c>
    </row>
    <row r="1922" spans="1:21">
      <c r="A1922" s="56" t="s">
        <v>7692</v>
      </c>
      <c r="B1922" s="56" t="s">
        <v>29</v>
      </c>
      <c r="C1922" s="56" t="s">
        <v>7673</v>
      </c>
      <c r="D1922" s="56" t="s">
        <v>37</v>
      </c>
      <c r="E1922" s="56" t="s">
        <v>2939</v>
      </c>
      <c r="F1922" s="56" t="s">
        <v>7693</v>
      </c>
      <c r="G1922" s="56">
        <v>154</v>
      </c>
      <c r="H1922" s="56">
        <v>47</v>
      </c>
      <c r="I1922" s="56">
        <v>0.30519480519480519</v>
      </c>
      <c r="J1922" s="56" t="s">
        <v>7694</v>
      </c>
      <c r="K1922" s="56" t="s">
        <v>5593</v>
      </c>
      <c r="L1922" s="56" t="s">
        <v>3358</v>
      </c>
      <c r="M1922" s="56" t="str">
        <f>HYPERLINK("https://dribble.octin.io/?mode=Single+log&amp;log_id=89403e6f-4c8d-4c83-9c3a-2aebc8e79d8d","URL")</f>
        <v>URL</v>
      </c>
      <c r="N1922" s="56" t="s">
        <v>3446</v>
      </c>
      <c r="O1922" t="str">
        <f>_xlfn.XLOOKUP(N1922,'Error-codes'!$C$2:$C$130,'Error-codes'!$B$2:$B$130, "None")</f>
        <v>end of lane wall sensor error</v>
      </c>
      <c r="U1922" s="81">
        <f>DATEVALUE(LEFT(F1922,10))</f>
        <v>45013</v>
      </c>
    </row>
    <row r="1923" spans="1:21">
      <c r="A1923" s="56" t="s">
        <v>7695</v>
      </c>
      <c r="B1923" s="56" t="s">
        <v>29</v>
      </c>
      <c r="C1923" s="56" t="s">
        <v>7673</v>
      </c>
      <c r="D1923" s="56" t="s">
        <v>37</v>
      </c>
      <c r="E1923" s="56" t="s">
        <v>2939</v>
      </c>
      <c r="F1923" s="56" t="s">
        <v>7696</v>
      </c>
      <c r="G1923" s="56">
        <v>154</v>
      </c>
      <c r="H1923" s="56">
        <v>53</v>
      </c>
      <c r="I1923" s="56">
        <v>0.34415584415584416</v>
      </c>
      <c r="J1923" s="56" t="s">
        <v>7697</v>
      </c>
      <c r="K1923" s="56" t="s">
        <v>5593</v>
      </c>
      <c r="L1923" s="56" t="s">
        <v>3358</v>
      </c>
      <c r="M1923" s="56" t="str">
        <f>HYPERLINK("https://dribble.octin.io/?mode=Single+log&amp;log_id=a05e9f2e-1a11-48d2-83f0-87c3fab8973c","URL")</f>
        <v>URL</v>
      </c>
      <c r="N1923" s="56" t="s">
        <v>3446</v>
      </c>
      <c r="O1923" t="str">
        <f>_xlfn.XLOOKUP(N1923,'Error-codes'!$C$2:$C$130,'Error-codes'!$B$2:$B$130, "None")</f>
        <v>end of lane wall sensor error</v>
      </c>
      <c r="U1923" s="81">
        <f>DATEVALUE(LEFT(F1923,10))</f>
        <v>45013</v>
      </c>
    </row>
    <row r="1924" spans="1:21">
      <c r="A1924" s="56" t="s">
        <v>7698</v>
      </c>
      <c r="B1924" s="56" t="s">
        <v>29</v>
      </c>
      <c r="C1924" s="56" t="s">
        <v>7673</v>
      </c>
      <c r="D1924" s="56" t="s">
        <v>37</v>
      </c>
      <c r="E1924" s="56" t="s">
        <v>2939</v>
      </c>
      <c r="F1924" s="56" t="s">
        <v>7699</v>
      </c>
      <c r="G1924" s="56">
        <v>154</v>
      </c>
      <c r="H1924" s="56">
        <v>54</v>
      </c>
      <c r="I1924" s="56">
        <v>0.35064935064935066</v>
      </c>
      <c r="J1924" s="56" t="s">
        <v>5764</v>
      </c>
      <c r="K1924" s="56" t="s">
        <v>5593</v>
      </c>
      <c r="L1924" s="56" t="s">
        <v>3358</v>
      </c>
      <c r="M1924" s="56" t="str">
        <f>HYPERLINK("https://dribble.octin.io/?mode=Single+log&amp;log_id=4dfdf824-5242-4356-8c5c-d4b3476c03a5","URL")</f>
        <v>URL</v>
      </c>
      <c r="N1924" s="56" t="s">
        <v>3446</v>
      </c>
      <c r="O1924" t="str">
        <f>_xlfn.XLOOKUP(N1924,'Error-codes'!$C$2:$C$130,'Error-codes'!$B$2:$B$130, "None")</f>
        <v>end of lane wall sensor error</v>
      </c>
      <c r="U1924" s="81">
        <f>DATEVALUE(LEFT(F1924,10))</f>
        <v>45013</v>
      </c>
    </row>
    <row r="1925" spans="1:21">
      <c r="A1925" s="56" t="s">
        <v>7700</v>
      </c>
      <c r="B1925" s="56" t="s">
        <v>29</v>
      </c>
      <c r="C1925" s="56" t="s">
        <v>7673</v>
      </c>
      <c r="D1925" s="56" t="s">
        <v>37</v>
      </c>
      <c r="E1925" s="56" t="s">
        <v>2939</v>
      </c>
      <c r="F1925" s="56" t="s">
        <v>7701</v>
      </c>
      <c r="G1925" s="56">
        <v>154</v>
      </c>
      <c r="H1925" s="56">
        <v>61</v>
      </c>
      <c r="I1925" s="56">
        <v>0.39610389610389612</v>
      </c>
      <c r="J1925" s="56" t="s">
        <v>5818</v>
      </c>
      <c r="K1925" s="56" t="s">
        <v>5593</v>
      </c>
      <c r="L1925" s="56" t="s">
        <v>3358</v>
      </c>
      <c r="M1925" s="56" t="str">
        <f>HYPERLINK("https://dribble.octin.io/?mode=Single+log&amp;log_id=87905fdd-754e-4315-a2ed-5e70eb74ceb6","URL")</f>
        <v>URL</v>
      </c>
      <c r="N1925" s="56" t="s">
        <v>3446</v>
      </c>
      <c r="O1925" t="str">
        <f>_xlfn.XLOOKUP(N1925,'Error-codes'!$C$2:$C$130,'Error-codes'!$B$2:$B$130, "None")</f>
        <v>end of lane wall sensor error</v>
      </c>
      <c r="U1925" s="81">
        <f>DATEVALUE(LEFT(F1925,10))</f>
        <v>45013</v>
      </c>
    </row>
    <row r="1926" spans="1:21">
      <c r="A1926" s="56" t="s">
        <v>7702</v>
      </c>
      <c r="B1926" s="56" t="s">
        <v>29</v>
      </c>
      <c r="C1926" s="56" t="s">
        <v>7673</v>
      </c>
      <c r="D1926" s="56" t="s">
        <v>37</v>
      </c>
      <c r="E1926" s="56" t="s">
        <v>2939</v>
      </c>
      <c r="F1926" s="56" t="s">
        <v>7703</v>
      </c>
      <c r="G1926" s="56">
        <v>154</v>
      </c>
      <c r="H1926" s="56">
        <v>68</v>
      </c>
      <c r="I1926" s="56">
        <v>0.44155844155844154</v>
      </c>
      <c r="J1926" s="56" t="s">
        <v>7704</v>
      </c>
      <c r="K1926" s="56" t="s">
        <v>5593</v>
      </c>
      <c r="L1926" s="56" t="s">
        <v>3358</v>
      </c>
      <c r="M1926" s="56" t="str">
        <f>HYPERLINK("https://dribble.octin.io/?mode=Single+log&amp;log_id=b531300f-fe18-40f6-8592-20cb16c5ad41","URL")</f>
        <v>URL</v>
      </c>
      <c r="N1926" s="56" t="s">
        <v>3446</v>
      </c>
      <c r="O1926" t="str">
        <f>_xlfn.XLOOKUP(N1926,'Error-codes'!$C$2:$C$130,'Error-codes'!$B$2:$B$130, "None")</f>
        <v>end of lane wall sensor error</v>
      </c>
      <c r="U1926" s="81">
        <f>DATEVALUE(LEFT(F1926,10))</f>
        <v>45013</v>
      </c>
    </row>
    <row r="1927" spans="1:21">
      <c r="A1927" s="56" t="s">
        <v>7705</v>
      </c>
      <c r="B1927" s="56" t="s">
        <v>29</v>
      </c>
      <c r="C1927" s="56" t="s">
        <v>7673</v>
      </c>
      <c r="D1927" s="56" t="s">
        <v>37</v>
      </c>
      <c r="E1927" s="56" t="s">
        <v>2939</v>
      </c>
      <c r="F1927" s="56" t="s">
        <v>7706</v>
      </c>
      <c r="G1927" s="56">
        <v>154</v>
      </c>
      <c r="H1927" s="56">
        <v>72</v>
      </c>
      <c r="I1927" s="56">
        <v>0.46753246753246752</v>
      </c>
      <c r="J1927" s="56" t="s">
        <v>5835</v>
      </c>
      <c r="K1927" s="56" t="s">
        <v>5593</v>
      </c>
      <c r="L1927" s="56" t="s">
        <v>3358</v>
      </c>
      <c r="M1927" s="56" t="str">
        <f>HYPERLINK("https://dribble.octin.io/?mode=Single+log&amp;log_id=bfb78278-0a2b-44e3-8078-ad23994dcade","URL")</f>
        <v>URL</v>
      </c>
      <c r="N1927" s="56" t="s">
        <v>3472</v>
      </c>
      <c r="O1927" t="str">
        <f>_xlfn.XLOOKUP(N1927,'Error-codes'!$C$2:$C$130,'Error-codes'!$B$2:$B$130, "None")</f>
        <v>Excessive slip detected</v>
      </c>
      <c r="U1927" s="81">
        <f>DATEVALUE(LEFT(F1927,10))</f>
        <v>45013</v>
      </c>
    </row>
    <row r="1928" spans="1:21">
      <c r="A1928" s="56" t="s">
        <v>7707</v>
      </c>
      <c r="B1928" s="56" t="s">
        <v>29</v>
      </c>
      <c r="C1928" s="56" t="s">
        <v>7673</v>
      </c>
      <c r="D1928" s="56" t="s">
        <v>37</v>
      </c>
      <c r="E1928" s="56" t="s">
        <v>2939</v>
      </c>
      <c r="F1928" s="56" t="s">
        <v>7708</v>
      </c>
      <c r="G1928" s="56">
        <v>154</v>
      </c>
      <c r="H1928" s="56">
        <v>74</v>
      </c>
      <c r="I1928" s="56">
        <v>0.48051948051948051</v>
      </c>
      <c r="J1928" s="56" t="s">
        <v>7709</v>
      </c>
      <c r="K1928" s="56" t="s">
        <v>5593</v>
      </c>
      <c r="L1928" s="56" t="s">
        <v>3358</v>
      </c>
      <c r="M1928" s="56" t="str">
        <f>HYPERLINK("https://dribble.octin.io/?mode=Single+log&amp;log_id=10cef35e-e8f2-4f38-b207-318480c482d4","URL")</f>
        <v>URL</v>
      </c>
      <c r="N1928" s="56" t="s">
        <v>3446</v>
      </c>
      <c r="O1928" t="str">
        <f>_xlfn.XLOOKUP(N1928,'Error-codes'!$C$2:$C$130,'Error-codes'!$B$2:$B$130, "None")</f>
        <v>end of lane wall sensor error</v>
      </c>
      <c r="U1928" s="81">
        <f>DATEVALUE(LEFT(F1928,10))</f>
        <v>45013</v>
      </c>
    </row>
    <row r="1929" spans="1:21">
      <c r="A1929" s="56" t="s">
        <v>7710</v>
      </c>
      <c r="B1929" s="56" t="s">
        <v>29</v>
      </c>
      <c r="C1929" s="56" t="s">
        <v>7673</v>
      </c>
      <c r="D1929" s="56" t="s">
        <v>37</v>
      </c>
      <c r="E1929" s="56" t="s">
        <v>2939</v>
      </c>
      <c r="F1929" s="56" t="s">
        <v>7711</v>
      </c>
      <c r="G1929" s="56">
        <v>154</v>
      </c>
      <c r="H1929" s="56">
        <v>81</v>
      </c>
      <c r="I1929" s="56">
        <v>0.52597402597402598</v>
      </c>
      <c r="J1929" s="56" t="s">
        <v>6523</v>
      </c>
      <c r="K1929" s="56" t="s">
        <v>5593</v>
      </c>
      <c r="L1929" s="56" t="s">
        <v>3358</v>
      </c>
      <c r="M1929" s="56" t="str">
        <f>HYPERLINK("https://dribble.octin.io/?mode=Single+log&amp;log_id=aa95a84b-2f1d-47aa-87ed-e0140ab7a573","URL")</f>
        <v>URL</v>
      </c>
      <c r="N1929" s="56" t="s">
        <v>3446</v>
      </c>
      <c r="O1929" t="str">
        <f>_xlfn.XLOOKUP(N1929,'Error-codes'!$C$2:$C$130,'Error-codes'!$B$2:$B$130, "None")</f>
        <v>end of lane wall sensor error</v>
      </c>
      <c r="U1929" s="81">
        <f>DATEVALUE(LEFT(F1929,10))</f>
        <v>45013</v>
      </c>
    </row>
    <row r="1930" spans="1:21">
      <c r="A1930" s="56" t="s">
        <v>7712</v>
      </c>
      <c r="B1930" s="56" t="s">
        <v>29</v>
      </c>
      <c r="C1930" s="56" t="s">
        <v>7673</v>
      </c>
      <c r="D1930" s="56" t="s">
        <v>37</v>
      </c>
      <c r="E1930" s="56" t="s">
        <v>2939</v>
      </c>
      <c r="F1930" s="56" t="s">
        <v>7713</v>
      </c>
      <c r="G1930" s="56">
        <v>154</v>
      </c>
      <c r="H1930" s="56">
        <v>82</v>
      </c>
      <c r="I1930" s="56">
        <v>0.53246753246753242</v>
      </c>
      <c r="J1930" s="56" t="s">
        <v>6520</v>
      </c>
      <c r="K1930" s="56" t="s">
        <v>5593</v>
      </c>
      <c r="L1930" s="56" t="s">
        <v>3358</v>
      </c>
      <c r="M1930" s="56" t="str">
        <f>HYPERLINK("https://dribble.octin.io/?mode=Single+log&amp;log_id=1271fa90-77f1-4d26-8ade-3163677a1067","URL")</f>
        <v>URL</v>
      </c>
      <c r="N1930" s="56" t="s">
        <v>3446</v>
      </c>
      <c r="O1930" t="str">
        <f>_xlfn.XLOOKUP(N1930,'Error-codes'!$C$2:$C$130,'Error-codes'!$B$2:$B$130, "None")</f>
        <v>end of lane wall sensor error</v>
      </c>
      <c r="U1930" s="81">
        <f>DATEVALUE(LEFT(F1930,10))</f>
        <v>45013</v>
      </c>
    </row>
    <row r="1931" spans="1:21">
      <c r="A1931" s="56" t="s">
        <v>7714</v>
      </c>
      <c r="B1931" s="56" t="s">
        <v>29</v>
      </c>
      <c r="C1931" s="56" t="s">
        <v>7673</v>
      </c>
      <c r="D1931" s="56" t="s">
        <v>37</v>
      </c>
      <c r="E1931" s="56" t="s">
        <v>2939</v>
      </c>
      <c r="F1931" s="56" t="s">
        <v>7715</v>
      </c>
      <c r="G1931" s="56">
        <v>154</v>
      </c>
      <c r="H1931" s="56">
        <v>83</v>
      </c>
      <c r="I1931" s="56">
        <v>0.53896103896103897</v>
      </c>
      <c r="J1931" s="56" t="s">
        <v>6691</v>
      </c>
      <c r="K1931" s="56" t="s">
        <v>5593</v>
      </c>
      <c r="L1931" s="56" t="s">
        <v>3358</v>
      </c>
      <c r="M1931" s="56" t="str">
        <f>HYPERLINK("https://dribble.octin.io/?mode=Single+log&amp;log_id=116c7b1f-2ee9-4325-bdde-141a8ee2288d","URL")</f>
        <v>URL</v>
      </c>
      <c r="N1931" s="56" t="s">
        <v>3446</v>
      </c>
      <c r="O1931" t="str">
        <f>_xlfn.XLOOKUP(N1931,'Error-codes'!$C$2:$C$130,'Error-codes'!$B$2:$B$130, "None")</f>
        <v>end of lane wall sensor error</v>
      </c>
      <c r="U1931" s="81">
        <f>DATEVALUE(LEFT(F1931,10))</f>
        <v>45013</v>
      </c>
    </row>
    <row r="1932" spans="1:21">
      <c r="A1932" s="56" t="s">
        <v>7716</v>
      </c>
      <c r="B1932" s="56" t="s">
        <v>29</v>
      </c>
      <c r="C1932" s="56" t="s">
        <v>7673</v>
      </c>
      <c r="D1932" s="56" t="s">
        <v>37</v>
      </c>
      <c r="E1932" s="56" t="s">
        <v>2939</v>
      </c>
      <c r="F1932" s="56" t="s">
        <v>7717</v>
      </c>
      <c r="G1932" s="56">
        <v>154</v>
      </c>
      <c r="H1932" s="56">
        <v>89</v>
      </c>
      <c r="I1932" s="56">
        <v>0.57792207792207795</v>
      </c>
      <c r="J1932" s="56" t="s">
        <v>6513</v>
      </c>
      <c r="K1932" s="56" t="s">
        <v>5593</v>
      </c>
      <c r="L1932" s="56" t="s">
        <v>3358</v>
      </c>
      <c r="M1932" s="56" t="str">
        <f>HYPERLINK("https://dribble.octin.io/?mode=Single+log&amp;log_id=22bb26ca-2c5d-4cda-9437-90c047f1c697","URL")</f>
        <v>URL</v>
      </c>
      <c r="N1932" s="56" t="s">
        <v>3446</v>
      </c>
      <c r="O1932" t="str">
        <f>_xlfn.XLOOKUP(N1932,'Error-codes'!$C$2:$C$130,'Error-codes'!$B$2:$B$130, "None")</f>
        <v>end of lane wall sensor error</v>
      </c>
      <c r="U1932" s="81">
        <f>DATEVALUE(LEFT(F1932,10))</f>
        <v>45013</v>
      </c>
    </row>
    <row r="1933" spans="1:21">
      <c r="A1933" s="56" t="s">
        <v>7718</v>
      </c>
      <c r="B1933" s="56" t="s">
        <v>29</v>
      </c>
      <c r="C1933" s="56" t="s">
        <v>7673</v>
      </c>
      <c r="D1933" s="56" t="s">
        <v>37</v>
      </c>
      <c r="E1933" s="56" t="s">
        <v>2939</v>
      </c>
      <c r="F1933" s="56" t="s">
        <v>7719</v>
      </c>
      <c r="G1933" s="56">
        <v>154</v>
      </c>
      <c r="H1933" s="56">
        <v>95</v>
      </c>
      <c r="I1933" s="56">
        <v>0.61688311688311692</v>
      </c>
      <c r="J1933" s="56" t="s">
        <v>6504</v>
      </c>
      <c r="K1933" s="56" t="s">
        <v>5593</v>
      </c>
      <c r="L1933" s="56" t="s">
        <v>3358</v>
      </c>
      <c r="M1933" s="56" t="str">
        <f>HYPERLINK("https://dribble.octin.io/?mode=Single+log&amp;log_id=a2c14857-fe90-48fc-b151-3d9a3e92bc14","URL")</f>
        <v>URL</v>
      </c>
      <c r="N1933" s="56" t="s">
        <v>3446</v>
      </c>
      <c r="O1933" t="str">
        <f>_xlfn.XLOOKUP(N1933,'Error-codes'!$C$2:$C$130,'Error-codes'!$B$2:$B$130, "None")</f>
        <v>end of lane wall sensor error</v>
      </c>
      <c r="U1933" s="81">
        <f>DATEVALUE(LEFT(F1933,10))</f>
        <v>45014</v>
      </c>
    </row>
    <row r="1934" spans="1:21">
      <c r="A1934" s="56" t="s">
        <v>7720</v>
      </c>
      <c r="B1934" s="56" t="s">
        <v>29</v>
      </c>
      <c r="C1934" s="56" t="s">
        <v>7673</v>
      </c>
      <c r="D1934" s="56" t="s">
        <v>37</v>
      </c>
      <c r="E1934" s="56" t="s">
        <v>2939</v>
      </c>
      <c r="F1934" s="56" t="s">
        <v>7721</v>
      </c>
      <c r="G1934" s="56">
        <v>154</v>
      </c>
      <c r="H1934" s="56">
        <v>97</v>
      </c>
      <c r="I1934" s="56">
        <v>0.62987012987012991</v>
      </c>
      <c r="J1934" s="56" t="s">
        <v>6501</v>
      </c>
      <c r="K1934" s="56" t="s">
        <v>5593</v>
      </c>
      <c r="L1934" s="56" t="s">
        <v>3358</v>
      </c>
      <c r="M1934" s="56" t="str">
        <f>HYPERLINK("https://dribble.octin.io/?mode=Single+log&amp;log_id=7389745e-7a65-4293-88c1-74edd37b8558","URL")</f>
        <v>URL</v>
      </c>
      <c r="N1934" s="56" t="s">
        <v>3446</v>
      </c>
      <c r="O1934" t="str">
        <f>_xlfn.XLOOKUP(N1934,'Error-codes'!$C$2:$C$130,'Error-codes'!$B$2:$B$130, "None")</f>
        <v>end of lane wall sensor error</v>
      </c>
      <c r="U1934" s="81">
        <f>DATEVALUE(LEFT(F1934,10))</f>
        <v>45014</v>
      </c>
    </row>
    <row r="1935" spans="1:21">
      <c r="A1935" s="56" t="s">
        <v>7722</v>
      </c>
      <c r="B1935" s="56" t="s">
        <v>29</v>
      </c>
      <c r="C1935" s="56" t="s">
        <v>7673</v>
      </c>
      <c r="D1935" s="56" t="s">
        <v>37</v>
      </c>
      <c r="E1935" s="56" t="s">
        <v>2939</v>
      </c>
      <c r="F1935" s="56" t="s">
        <v>7723</v>
      </c>
      <c r="G1935" s="56">
        <v>154</v>
      </c>
      <c r="H1935" s="56">
        <v>102</v>
      </c>
      <c r="I1935" s="56">
        <v>0.66233766233766234</v>
      </c>
      <c r="J1935" s="56" t="s">
        <v>6498</v>
      </c>
      <c r="K1935" s="56" t="s">
        <v>5593</v>
      </c>
      <c r="L1935" s="56" t="s">
        <v>3358</v>
      </c>
      <c r="M1935" s="56" t="str">
        <f>HYPERLINK("https://dribble.octin.io/?mode=Single+log&amp;log_id=793b2993-98b5-4db8-8191-f61cfd8799d7","URL")</f>
        <v>URL</v>
      </c>
      <c r="N1935" s="56" t="s">
        <v>3446</v>
      </c>
      <c r="O1935" t="str">
        <f>_xlfn.XLOOKUP(N1935,'Error-codes'!$C$2:$C$130,'Error-codes'!$B$2:$B$130, "None")</f>
        <v>end of lane wall sensor error</v>
      </c>
      <c r="U1935" s="81">
        <f>DATEVALUE(LEFT(F1935,10))</f>
        <v>45014</v>
      </c>
    </row>
    <row r="1936" spans="1:21">
      <c r="A1936" s="56" t="s">
        <v>7724</v>
      </c>
      <c r="B1936" s="56" t="s">
        <v>29</v>
      </c>
      <c r="C1936" s="56" t="s">
        <v>7673</v>
      </c>
      <c r="D1936" s="56" t="s">
        <v>37</v>
      </c>
      <c r="E1936" s="56" t="s">
        <v>2939</v>
      </c>
      <c r="F1936" s="56" t="s">
        <v>7725</v>
      </c>
      <c r="G1936" s="56">
        <v>154</v>
      </c>
      <c r="H1936" s="56">
        <v>105</v>
      </c>
      <c r="I1936" s="56">
        <v>0.68181818181818177</v>
      </c>
      <c r="J1936" s="56" t="s">
        <v>6495</v>
      </c>
      <c r="K1936" s="56" t="s">
        <v>5593</v>
      </c>
      <c r="L1936" s="56" t="s">
        <v>3358</v>
      </c>
      <c r="M1936" s="56" t="str">
        <f>HYPERLINK("https://dribble.octin.io/?mode=Single+log&amp;log_id=4b2b98f6-425f-49fb-a04d-6e41d2c5b01a","URL")</f>
        <v>URL</v>
      </c>
      <c r="N1936" s="56" t="s">
        <v>3446</v>
      </c>
      <c r="O1936" t="str">
        <f>_xlfn.XLOOKUP(N1936,'Error-codes'!$C$2:$C$130,'Error-codes'!$B$2:$B$130, "None")</f>
        <v>end of lane wall sensor error</v>
      </c>
      <c r="U1936" s="81">
        <f>DATEVALUE(LEFT(F1936,10))</f>
        <v>45014</v>
      </c>
    </row>
    <row r="1937" spans="1:21">
      <c r="A1937" s="56" t="s">
        <v>7726</v>
      </c>
      <c r="B1937" s="56" t="s">
        <v>29</v>
      </c>
      <c r="C1937" s="56" t="s">
        <v>7673</v>
      </c>
      <c r="D1937" s="56" t="s">
        <v>37</v>
      </c>
      <c r="E1937" s="56" t="s">
        <v>2939</v>
      </c>
      <c r="F1937" s="56" t="s">
        <v>7727</v>
      </c>
      <c r="G1937" s="56">
        <v>154</v>
      </c>
      <c r="H1937" s="56">
        <v>109</v>
      </c>
      <c r="I1937" s="56">
        <v>0.70779220779220775</v>
      </c>
      <c r="J1937" s="56" t="s">
        <v>7728</v>
      </c>
      <c r="K1937" s="56" t="s">
        <v>5593</v>
      </c>
      <c r="L1937" s="56" t="s">
        <v>3358</v>
      </c>
      <c r="M1937" s="56" t="str">
        <f>HYPERLINK("https://dribble.octin.io/?mode=Single+log&amp;log_id=93fc1b66-0eca-49cc-b43c-db668e8e9d5c","URL")</f>
        <v>URL</v>
      </c>
      <c r="N1937" s="56" t="s">
        <v>3446</v>
      </c>
      <c r="O1937" t="str">
        <f>_xlfn.XLOOKUP(N1937,'Error-codes'!$C$2:$C$130,'Error-codes'!$B$2:$B$130, "None")</f>
        <v>end of lane wall sensor error</v>
      </c>
      <c r="U1937" s="81">
        <f>DATEVALUE(LEFT(F1937,10))</f>
        <v>45014</v>
      </c>
    </row>
    <row r="1938" spans="1:21">
      <c r="A1938" s="56" t="s">
        <v>7729</v>
      </c>
      <c r="B1938" s="56" t="s">
        <v>29</v>
      </c>
      <c r="C1938" s="56" t="s">
        <v>7673</v>
      </c>
      <c r="D1938" s="56" t="s">
        <v>37</v>
      </c>
      <c r="E1938" s="56" t="s">
        <v>3204</v>
      </c>
      <c r="F1938" s="56" t="s">
        <v>7730</v>
      </c>
      <c r="G1938" s="56">
        <v>154</v>
      </c>
      <c r="H1938" s="56">
        <v>111</v>
      </c>
      <c r="I1938" s="56">
        <v>0.72077922077922074</v>
      </c>
      <c r="J1938" s="56" t="s">
        <v>6492</v>
      </c>
      <c r="K1938" s="56" t="s">
        <v>5593</v>
      </c>
      <c r="L1938" s="56" t="s">
        <v>3358</v>
      </c>
      <c r="M1938" s="56" t="str">
        <f>HYPERLINK("https://dribble.octin.io/?mode=Single+log&amp;log_id=b2d5b11b-d563-4e58-89fd-b532e681ccaa","URL")</f>
        <v>URL</v>
      </c>
      <c r="N1938" s="56" t="s">
        <v>3446</v>
      </c>
      <c r="O1938" t="str">
        <f>_xlfn.XLOOKUP(N1938,'Error-codes'!$C$2:$C$130,'Error-codes'!$B$2:$B$130, "None")</f>
        <v>end of lane wall sensor error</v>
      </c>
      <c r="U1938" s="81">
        <f>DATEVALUE(LEFT(F1938,10))</f>
        <v>45014</v>
      </c>
    </row>
    <row r="1939" spans="1:21">
      <c r="A1939" s="56" t="s">
        <v>7731</v>
      </c>
      <c r="B1939" s="56" t="s">
        <v>2886</v>
      </c>
      <c r="C1939" s="56" t="s">
        <v>7732</v>
      </c>
      <c r="D1939" s="56" t="s">
        <v>37</v>
      </c>
      <c r="E1939" s="56" t="s">
        <v>3253</v>
      </c>
      <c r="F1939" s="56" t="s">
        <v>7733</v>
      </c>
      <c r="G1939" s="56">
        <v>202</v>
      </c>
      <c r="H1939" s="56">
        <v>1</v>
      </c>
      <c r="I1939" s="56">
        <v>4.9504950495049506E-3</v>
      </c>
      <c r="J1939" s="56" t="s">
        <v>7734</v>
      </c>
      <c r="K1939" s="56" t="s">
        <v>6828</v>
      </c>
      <c r="L1939" s="56" t="s">
        <v>2932</v>
      </c>
      <c r="M1939" s="56" t="str">
        <f>HYPERLINK("https://dribble.octin.io/?mode=Single+log&amp;log_id=2a7d617c-5774-4427-9fff-62249fa5dfa9","URL")</f>
        <v>URL</v>
      </c>
      <c r="N1939" s="56" t="s">
        <v>3454</v>
      </c>
      <c r="O1939" t="str">
        <f>_xlfn.XLOOKUP(N1939,'Error-codes'!$C$2:$C$130,'Error-codes'!$B$2:$B$130, "None")</f>
        <v>Veh low level FSM: safety was triggered</v>
      </c>
      <c r="U1939" s="81">
        <f>DATEVALUE(LEFT(F1939,10))</f>
        <v>45013</v>
      </c>
    </row>
    <row r="1940" spans="1:21">
      <c r="A1940" s="56" t="s">
        <v>7735</v>
      </c>
      <c r="B1940" s="56" t="s">
        <v>2886</v>
      </c>
      <c r="C1940" s="56" t="s">
        <v>7736</v>
      </c>
      <c r="D1940" s="56" t="s">
        <v>37</v>
      </c>
      <c r="E1940" s="56" t="s">
        <v>2939</v>
      </c>
      <c r="F1940" s="56" t="s">
        <v>7737</v>
      </c>
      <c r="G1940" s="56">
        <v>203</v>
      </c>
      <c r="H1940" s="56">
        <v>3</v>
      </c>
      <c r="I1940" s="56">
        <v>1.4778325123152709E-2</v>
      </c>
      <c r="J1940" s="56" t="s">
        <v>2270</v>
      </c>
      <c r="K1940" s="56" t="s">
        <v>7738</v>
      </c>
      <c r="L1940" s="56" t="s">
        <v>2948</v>
      </c>
      <c r="M1940" s="56" t="str">
        <f>HYPERLINK("https://dribble.octin.io/?mode=Single+log&amp;log_id=fcde685f-9abd-4fd1-9954-652d2a1b8123","URL")</f>
        <v>URL</v>
      </c>
      <c r="N1940" s="56" t="s">
        <v>3472</v>
      </c>
      <c r="O1940" t="str">
        <f>_xlfn.XLOOKUP(N1940,'Error-codes'!$C$2:$C$130,'Error-codes'!$B$2:$B$130, "None")</f>
        <v>Excessive slip detected</v>
      </c>
      <c r="U1940" s="81">
        <f>DATEVALUE(LEFT(F1940,10))</f>
        <v>45012</v>
      </c>
    </row>
    <row r="1941" spans="1:21">
      <c r="A1941" s="56" t="s">
        <v>7739</v>
      </c>
      <c r="B1941" s="56" t="s">
        <v>2886</v>
      </c>
      <c r="C1941" s="56" t="s">
        <v>7736</v>
      </c>
      <c r="D1941" s="56" t="s">
        <v>37</v>
      </c>
      <c r="E1941" s="56" t="s">
        <v>4415</v>
      </c>
      <c r="F1941" s="56" t="s">
        <v>7740</v>
      </c>
      <c r="G1941" s="56">
        <v>203</v>
      </c>
      <c r="H1941" s="56">
        <v>49</v>
      </c>
      <c r="I1941" s="56">
        <v>0.2413793103448276</v>
      </c>
      <c r="J1941" s="56" t="s">
        <v>2289</v>
      </c>
      <c r="K1941" s="56" t="s">
        <v>7738</v>
      </c>
      <c r="L1941" s="56" t="s">
        <v>2948</v>
      </c>
      <c r="M1941" s="56" t="str">
        <f>HYPERLINK("https://dribble.octin.io/?mode=Single+log&amp;log_id=511cbec2-a837-4127-8a30-907f471ca5e4","URL")</f>
        <v>URL</v>
      </c>
      <c r="N1941" s="56" t="s">
        <v>3468</v>
      </c>
      <c r="O1941" t="str">
        <f>_xlfn.XLOOKUP(N1941,'Error-codes'!$C$2:$C$130,'Error-codes'!$B$2:$B$130, "None")</f>
        <v>no vision heartbeat</v>
      </c>
      <c r="U1941" s="81">
        <f>DATEVALUE(LEFT(F1941,10))</f>
        <v>45013</v>
      </c>
    </row>
    <row r="1942" spans="1:21">
      <c r="A1942" s="56" t="s">
        <v>7741</v>
      </c>
      <c r="B1942" s="56" t="s">
        <v>2886</v>
      </c>
      <c r="C1942" s="56" t="s">
        <v>7742</v>
      </c>
      <c r="D1942" s="56" t="s">
        <v>388</v>
      </c>
      <c r="E1942" s="56" t="s">
        <v>2939</v>
      </c>
      <c r="F1942" s="56" t="s">
        <v>7743</v>
      </c>
      <c r="G1942" s="56">
        <v>105</v>
      </c>
      <c r="H1942" s="56">
        <v>9</v>
      </c>
      <c r="I1942" s="56">
        <v>8.5714285714285715E-2</v>
      </c>
      <c r="J1942" s="56" t="s">
        <v>4709</v>
      </c>
      <c r="K1942" s="56" t="s">
        <v>2171</v>
      </c>
      <c r="L1942" s="56" t="s">
        <v>2932</v>
      </c>
      <c r="M1942" s="56" t="str">
        <f>HYPERLINK("https://dribble.octin.io/?mode=Single+log&amp;log_id=50306d38-602c-4bec-bcd0-20b6b81e1102","URL")</f>
        <v>URL</v>
      </c>
      <c r="N1942" s="56" t="s">
        <v>2933</v>
      </c>
      <c r="O1942" t="str">
        <f>_xlfn.XLOOKUP(N1942,'Error-codes'!$C$2:$C$130,'Error-codes'!$B$2:$B$130, "None")</f>
        <v>inductive sensor error</v>
      </c>
      <c r="U1942" s="81">
        <f>DATEVALUE(LEFT(F1942,10))</f>
        <v>45011</v>
      </c>
    </row>
    <row r="1943" spans="1:21">
      <c r="A1943" s="56" t="s">
        <v>7744</v>
      </c>
      <c r="B1943" s="56" t="s">
        <v>2886</v>
      </c>
      <c r="C1943" s="56" t="s">
        <v>7742</v>
      </c>
      <c r="D1943" s="56" t="s">
        <v>388</v>
      </c>
      <c r="E1943" s="56" t="s">
        <v>2939</v>
      </c>
      <c r="F1943" s="56" t="s">
        <v>7745</v>
      </c>
      <c r="G1943" s="56">
        <v>105</v>
      </c>
      <c r="H1943" s="56">
        <v>13</v>
      </c>
      <c r="I1943" s="56">
        <v>0.12380952380952381</v>
      </c>
      <c r="J1943" s="56" t="s">
        <v>7746</v>
      </c>
      <c r="K1943" s="56" t="s">
        <v>2171</v>
      </c>
      <c r="L1943" s="56" t="s">
        <v>2932</v>
      </c>
      <c r="M1943" s="56" t="str">
        <f>HYPERLINK("https://dribble.octin.io/?mode=Single+log&amp;log_id=a8712757-7473-4ac1-9f09-91fc0c2d0e15","URL")</f>
        <v>URL</v>
      </c>
      <c r="N1943" s="56" t="s">
        <v>3472</v>
      </c>
      <c r="O1943" t="str">
        <f>_xlfn.XLOOKUP(N1943,'Error-codes'!$C$2:$C$130,'Error-codes'!$B$2:$B$130, "None")</f>
        <v>Excessive slip detected</v>
      </c>
      <c r="U1943" s="81">
        <f>DATEVALUE(LEFT(F1943,10))</f>
        <v>45011</v>
      </c>
    </row>
    <row r="1944" spans="1:21">
      <c r="A1944" s="56" t="s">
        <v>7747</v>
      </c>
      <c r="B1944" s="56" t="s">
        <v>2886</v>
      </c>
      <c r="C1944" s="56" t="s">
        <v>7742</v>
      </c>
      <c r="D1944" s="56" t="s">
        <v>388</v>
      </c>
      <c r="E1944" s="56" t="s">
        <v>2939</v>
      </c>
      <c r="F1944" s="56" t="s">
        <v>7748</v>
      </c>
      <c r="G1944" s="56">
        <v>105</v>
      </c>
      <c r="H1944" s="56">
        <v>31</v>
      </c>
      <c r="I1944" s="56">
        <v>0.29523809523809524</v>
      </c>
      <c r="J1944" s="56" t="s">
        <v>7749</v>
      </c>
      <c r="K1944" s="56" t="s">
        <v>2171</v>
      </c>
      <c r="L1944" s="56" t="s">
        <v>2932</v>
      </c>
      <c r="M1944" s="56" t="str">
        <f>HYPERLINK("https://dribble.octin.io/?mode=Single+log&amp;log_id=dfbec2ac-ae73-42c9-ba63-afa16e968ff2","URL")</f>
        <v>URL</v>
      </c>
      <c r="N1944" s="56" t="s">
        <v>2933</v>
      </c>
      <c r="O1944" t="str">
        <f>_xlfn.XLOOKUP(N1944,'Error-codes'!$C$2:$C$130,'Error-codes'!$B$2:$B$130, "None")</f>
        <v>inductive sensor error</v>
      </c>
      <c r="U1944" s="81">
        <f>DATEVALUE(LEFT(F1944,10))</f>
        <v>45011</v>
      </c>
    </row>
    <row r="1945" spans="1:21">
      <c r="B1945" s="56" t="s">
        <v>2886</v>
      </c>
      <c r="C1945" s="56" t="s">
        <v>7742</v>
      </c>
      <c r="D1945" s="56" t="s">
        <v>388</v>
      </c>
      <c r="F1945" s="56" t="s">
        <v>7750</v>
      </c>
      <c r="G1945" s="56">
        <v>105</v>
      </c>
      <c r="H1945" s="56">
        <v>102</v>
      </c>
      <c r="I1945" s="56">
        <v>0.97142857142857142</v>
      </c>
      <c r="K1945" s="56" t="s">
        <v>2171</v>
      </c>
      <c r="L1945" s="56" t="s">
        <v>2932</v>
      </c>
      <c r="O1945">
        <f>_xlfn.XLOOKUP(N1945,'Error-codes'!$C$2:$C$130,'Error-codes'!$B$2:$B$130, "None")</f>
        <v>0</v>
      </c>
      <c r="U1945" s="81">
        <f>DATEVALUE(LEFT(F1945,10))</f>
        <v>45012</v>
      </c>
    </row>
    <row r="1946" spans="1:21">
      <c r="A1946" s="56" t="s">
        <v>7751</v>
      </c>
      <c r="B1946" s="56" t="s">
        <v>2886</v>
      </c>
      <c r="C1946" s="56" t="s">
        <v>7752</v>
      </c>
      <c r="D1946" s="56" t="s">
        <v>37</v>
      </c>
      <c r="E1946" s="56" t="s">
        <v>2939</v>
      </c>
      <c r="F1946" s="56" t="s">
        <v>7753</v>
      </c>
      <c r="G1946" s="56">
        <v>104</v>
      </c>
      <c r="H1946" s="56">
        <v>18</v>
      </c>
      <c r="I1946" s="56">
        <v>0.17307692307692307</v>
      </c>
      <c r="J1946" s="56" t="s">
        <v>7754</v>
      </c>
      <c r="K1946" s="56" t="s">
        <v>2166</v>
      </c>
      <c r="L1946" s="56" t="s">
        <v>2948</v>
      </c>
      <c r="M1946" s="56" t="str">
        <f>HYPERLINK("https://dribble.octin.io/?mode=Single+log&amp;log_id=c9f354ee-dc90-4003-abf4-2b5f4b630e2d","URL")</f>
        <v>URL</v>
      </c>
      <c r="N1946" s="56" t="s">
        <v>2933</v>
      </c>
      <c r="O1946" t="str">
        <f>_xlfn.XLOOKUP(N1946,'Error-codes'!$C$2:$C$130,'Error-codes'!$B$2:$B$130, "None")</f>
        <v>inductive sensor error</v>
      </c>
      <c r="U1946" s="81">
        <f>DATEVALUE(LEFT(F1946,10))</f>
        <v>45009</v>
      </c>
    </row>
    <row r="1947" spans="1:21">
      <c r="A1947" s="56" t="s">
        <v>7755</v>
      </c>
      <c r="B1947" s="56" t="s">
        <v>2886</v>
      </c>
      <c r="C1947" s="56" t="s">
        <v>7752</v>
      </c>
      <c r="D1947" s="56" t="s">
        <v>37</v>
      </c>
      <c r="E1947" s="56" t="s">
        <v>2939</v>
      </c>
      <c r="F1947" s="56" t="s">
        <v>7756</v>
      </c>
      <c r="G1947" s="56">
        <v>104</v>
      </c>
      <c r="H1947" s="56">
        <v>20</v>
      </c>
      <c r="I1947" s="56">
        <v>0.19230769230769232</v>
      </c>
      <c r="J1947" s="56" t="s">
        <v>2715</v>
      </c>
      <c r="K1947" s="56" t="s">
        <v>2166</v>
      </c>
      <c r="L1947" s="56" t="s">
        <v>2948</v>
      </c>
      <c r="M1947" s="56" t="str">
        <f>HYPERLINK("https://dribble.octin.io/?mode=Single+log&amp;log_id=a1819627-dc10-41d3-bcbe-ea83276a32e7","URL")</f>
        <v>URL</v>
      </c>
      <c r="N1947" s="56" t="s">
        <v>2933</v>
      </c>
      <c r="O1947" t="str">
        <f>_xlfn.XLOOKUP(N1947,'Error-codes'!$C$2:$C$130,'Error-codes'!$B$2:$B$130, "None")</f>
        <v>inductive sensor error</v>
      </c>
      <c r="U1947" s="81">
        <f>DATEVALUE(LEFT(F1947,10))</f>
        <v>45009</v>
      </c>
    </row>
    <row r="1948" spans="1:21">
      <c r="A1948" s="56" t="s">
        <v>7757</v>
      </c>
      <c r="B1948" s="56" t="s">
        <v>2886</v>
      </c>
      <c r="C1948" s="56" t="s">
        <v>7752</v>
      </c>
      <c r="D1948" s="56" t="s">
        <v>37</v>
      </c>
      <c r="E1948" s="56" t="s">
        <v>2939</v>
      </c>
      <c r="F1948" s="56" t="s">
        <v>7758</v>
      </c>
      <c r="G1948" s="56">
        <v>104</v>
      </c>
      <c r="H1948" s="56">
        <v>41</v>
      </c>
      <c r="I1948" s="56">
        <v>0.39423076923076922</v>
      </c>
      <c r="J1948" s="56" t="s">
        <v>7759</v>
      </c>
      <c r="K1948" s="56" t="s">
        <v>2166</v>
      </c>
      <c r="L1948" s="56" t="s">
        <v>2948</v>
      </c>
      <c r="M1948" s="56" t="str">
        <f>HYPERLINK("https://dribble.octin.io/?mode=Single+log&amp;log_id=43816322-3a28-48db-95a9-f82dcbef4eee","URL")</f>
        <v>URL</v>
      </c>
      <c r="N1948" s="56" t="s">
        <v>2933</v>
      </c>
      <c r="O1948" t="str">
        <f>_xlfn.XLOOKUP(N1948,'Error-codes'!$C$2:$C$130,'Error-codes'!$B$2:$B$130, "None")</f>
        <v>inductive sensor error</v>
      </c>
      <c r="U1948" s="81">
        <f>DATEVALUE(LEFT(F1948,10))</f>
        <v>45009</v>
      </c>
    </row>
    <row r="1949" spans="1:21">
      <c r="A1949" s="56"/>
      <c r="B1949" s="56" t="s">
        <v>2886</v>
      </c>
      <c r="C1949" s="56" t="s">
        <v>7752</v>
      </c>
      <c r="D1949" s="56" t="s">
        <v>37</v>
      </c>
      <c r="E1949" s="56" t="s">
        <v>4398</v>
      </c>
      <c r="F1949" s="56" t="s">
        <v>7760</v>
      </c>
      <c r="G1949" s="56">
        <v>104</v>
      </c>
      <c r="H1949" s="56">
        <v>50</v>
      </c>
      <c r="I1949" s="56">
        <v>0.48076923076923078</v>
      </c>
      <c r="J1949" s="56" t="s">
        <v>2289</v>
      </c>
      <c r="K1949" s="56" t="s">
        <v>2166</v>
      </c>
      <c r="L1949" s="56" t="s">
        <v>2948</v>
      </c>
      <c r="N1949" s="56" t="s">
        <v>3466</v>
      </c>
      <c r="O1949" t="str">
        <f>_xlfn.XLOOKUP(N1949,'Error-codes'!$C$2:$C$130,'Error-codes'!$B$2:$B$130, "None")</f>
        <v>vision error</v>
      </c>
      <c r="U1949" s="81">
        <f>DATEVALUE(LEFT(F1949,10))</f>
        <v>45010</v>
      </c>
    </row>
    <row r="1950" spans="1:21">
      <c r="A1950" s="56" t="s">
        <v>7761</v>
      </c>
      <c r="B1950" s="56" t="s">
        <v>2886</v>
      </c>
      <c r="C1950" s="56" t="s">
        <v>7762</v>
      </c>
      <c r="D1950" s="56" t="s">
        <v>37</v>
      </c>
      <c r="E1950" s="56" t="s">
        <v>2939</v>
      </c>
      <c r="F1950" s="56" t="s">
        <v>7763</v>
      </c>
      <c r="G1950" s="56">
        <v>205</v>
      </c>
      <c r="H1950" s="56">
        <v>10</v>
      </c>
      <c r="I1950" s="56">
        <v>4.878048780487805E-2</v>
      </c>
      <c r="J1950" s="56" t="s">
        <v>289</v>
      </c>
      <c r="K1950" s="56" t="s">
        <v>6583</v>
      </c>
      <c r="L1950" s="56" t="s">
        <v>2932</v>
      </c>
      <c r="M1950" s="56" t="str">
        <f>HYPERLINK("https://dribble.octin.io/?mode=Single+log&amp;log_id=0fd1e4de-c8ac-44e9-a533-4f3fcf53ca66","URL")</f>
        <v>URL</v>
      </c>
      <c r="N1950" s="56" t="s">
        <v>2933</v>
      </c>
      <c r="O1950" t="str">
        <f>_xlfn.XLOOKUP(N1950,'Error-codes'!$C$2:$C$130,'Error-codes'!$B$2:$B$130, "None")</f>
        <v>inductive sensor error</v>
      </c>
      <c r="U1950" s="81">
        <f>DATEVALUE(LEFT(F1950,10))</f>
        <v>45006</v>
      </c>
    </row>
    <row r="1951" spans="1:21">
      <c r="A1951" s="56" t="s">
        <v>7764</v>
      </c>
      <c r="B1951" s="56" t="s">
        <v>2886</v>
      </c>
      <c r="C1951" s="56" t="s">
        <v>7762</v>
      </c>
      <c r="D1951" s="56" t="s">
        <v>37</v>
      </c>
      <c r="E1951" s="56" t="s">
        <v>2939</v>
      </c>
      <c r="F1951" s="56" t="s">
        <v>7765</v>
      </c>
      <c r="G1951" s="56">
        <v>205</v>
      </c>
      <c r="H1951" s="56">
        <v>35</v>
      </c>
      <c r="I1951" s="56">
        <v>0.17073170731707318</v>
      </c>
      <c r="J1951" s="56" t="s">
        <v>2210</v>
      </c>
      <c r="K1951" s="56" t="s">
        <v>6583</v>
      </c>
      <c r="L1951" s="56" t="s">
        <v>2932</v>
      </c>
      <c r="M1951" s="56" t="str">
        <f>HYPERLINK("https://dribble.octin.io/?mode=Single+log&amp;log_id=e28b154e-01d9-45b6-ba52-93be2968f72b","URL")</f>
        <v>URL</v>
      </c>
      <c r="N1951" s="56" t="s">
        <v>2933</v>
      </c>
      <c r="O1951" t="str">
        <f>_xlfn.XLOOKUP(N1951,'Error-codes'!$C$2:$C$130,'Error-codes'!$B$2:$B$130, "None")</f>
        <v>inductive sensor error</v>
      </c>
      <c r="U1951" s="81">
        <f>DATEVALUE(LEFT(F1951,10))</f>
        <v>45006</v>
      </c>
    </row>
    <row r="1952" spans="1:21">
      <c r="A1952" s="56" t="s">
        <v>7766</v>
      </c>
      <c r="B1952" s="56" t="s">
        <v>2886</v>
      </c>
      <c r="C1952" s="56" t="s">
        <v>7762</v>
      </c>
      <c r="D1952" s="56" t="s">
        <v>37</v>
      </c>
      <c r="E1952" s="56" t="s">
        <v>2939</v>
      </c>
      <c r="F1952" s="56" t="s">
        <v>7767</v>
      </c>
      <c r="G1952" s="56">
        <v>205</v>
      </c>
      <c r="H1952" s="56">
        <v>47</v>
      </c>
      <c r="I1952" s="56">
        <v>0.22926829268292684</v>
      </c>
      <c r="J1952" s="56" t="s">
        <v>7075</v>
      </c>
      <c r="K1952" s="56" t="s">
        <v>6583</v>
      </c>
      <c r="L1952" s="56" t="s">
        <v>2932</v>
      </c>
      <c r="M1952" s="56" t="str">
        <f>HYPERLINK("https://dribble.octin.io/?mode=Single+log&amp;log_id=8ce08fa5-135c-4a90-b68d-59437fd92fb7","URL")</f>
        <v>URL</v>
      </c>
      <c r="N1952" s="56" t="s">
        <v>2933</v>
      </c>
      <c r="O1952" t="str">
        <f>_xlfn.XLOOKUP(N1952,'Error-codes'!$C$2:$C$130,'Error-codes'!$B$2:$B$130, "None")</f>
        <v>inductive sensor error</v>
      </c>
      <c r="U1952" s="81">
        <f>DATEVALUE(LEFT(F1952,10))</f>
        <v>45006</v>
      </c>
    </row>
    <row r="1953" spans="1:21">
      <c r="A1953" s="56" t="s">
        <v>7768</v>
      </c>
      <c r="B1953" s="56" t="s">
        <v>2886</v>
      </c>
      <c r="C1953" s="56" t="s">
        <v>7762</v>
      </c>
      <c r="D1953" s="56" t="s">
        <v>37</v>
      </c>
      <c r="E1953" s="56" t="s">
        <v>3265</v>
      </c>
      <c r="F1953" s="56" t="s">
        <v>7769</v>
      </c>
      <c r="G1953" s="56">
        <v>205</v>
      </c>
      <c r="H1953" s="56">
        <v>60</v>
      </c>
      <c r="I1953" s="56">
        <v>0.29268292682926828</v>
      </c>
      <c r="J1953" s="56" t="s">
        <v>7770</v>
      </c>
      <c r="K1953" s="56" t="s">
        <v>6583</v>
      </c>
      <c r="L1953" s="56" t="s">
        <v>2932</v>
      </c>
      <c r="M1953" s="56" t="str">
        <f>HYPERLINK("https://dribble.octin.io/?mode=Single+log&amp;log_id=92e3d006-9e86-4410-9183-2ab91c7bca4d","URL")</f>
        <v>URL</v>
      </c>
      <c r="N1953" s="56" t="s">
        <v>2933</v>
      </c>
      <c r="O1953" t="str">
        <f>_xlfn.XLOOKUP(N1953,'Error-codes'!$C$2:$C$130,'Error-codes'!$B$2:$B$130, "None")</f>
        <v>inductive sensor error</v>
      </c>
      <c r="U1953" s="81">
        <f>DATEVALUE(LEFT(F1953,10))</f>
        <v>45006</v>
      </c>
    </row>
    <row r="1954" spans="1:21">
      <c r="A1954" s="56" t="s">
        <v>7771</v>
      </c>
      <c r="B1954" s="56" t="s">
        <v>2886</v>
      </c>
      <c r="C1954" s="56" t="s">
        <v>7772</v>
      </c>
      <c r="D1954" s="56" t="s">
        <v>37</v>
      </c>
      <c r="E1954" s="56" t="s">
        <v>2939</v>
      </c>
      <c r="F1954" s="56" t="s">
        <v>7773</v>
      </c>
      <c r="G1954" s="56">
        <v>202</v>
      </c>
      <c r="H1954" s="56">
        <v>43</v>
      </c>
      <c r="I1954" s="56">
        <v>0.21287128712871287</v>
      </c>
      <c r="J1954" s="56" t="s">
        <v>7774</v>
      </c>
      <c r="K1954" s="56" t="s">
        <v>6583</v>
      </c>
      <c r="L1954" s="56" t="s">
        <v>2932</v>
      </c>
      <c r="M1954" s="56" t="str">
        <f>HYPERLINK("https://dribble.octin.io/?mode=Single+log&amp;log_id=b6774ece-8f3f-4612-91f2-56f6fbe3586f","URL")</f>
        <v>URL</v>
      </c>
      <c r="N1954" s="56" t="s">
        <v>2933</v>
      </c>
      <c r="O1954" t="str">
        <f>_xlfn.XLOOKUP(N1954,'Error-codes'!$C$2:$C$130,'Error-codes'!$B$2:$B$130, "None")</f>
        <v>inductive sensor error</v>
      </c>
      <c r="U1954" s="81">
        <f>DATEVALUE(LEFT(F1954,10))</f>
        <v>45005</v>
      </c>
    </row>
    <row r="1955" spans="1:21">
      <c r="A1955" s="56" t="s">
        <v>7775</v>
      </c>
      <c r="B1955" s="56" t="s">
        <v>2886</v>
      </c>
      <c r="C1955" s="56" t="s">
        <v>7772</v>
      </c>
      <c r="D1955" s="56" t="s">
        <v>37</v>
      </c>
      <c r="E1955" s="56" t="s">
        <v>3265</v>
      </c>
      <c r="F1955" s="56" t="s">
        <v>7776</v>
      </c>
      <c r="G1955" s="56">
        <v>202</v>
      </c>
      <c r="H1955" s="56">
        <v>57</v>
      </c>
      <c r="I1955" s="56">
        <v>0.28217821782178215</v>
      </c>
      <c r="J1955" s="56" t="s">
        <v>7770</v>
      </c>
      <c r="K1955" s="56" t="s">
        <v>6583</v>
      </c>
      <c r="L1955" s="56" t="s">
        <v>2932</v>
      </c>
      <c r="M1955" s="56" t="str">
        <f>HYPERLINK("https://dribble.octin.io/?mode=Single+log&amp;log_id=2f93bf3a-0413-42f0-93d8-023889613e58","URL")</f>
        <v>URL</v>
      </c>
      <c r="N1955" s="56" t="s">
        <v>2933</v>
      </c>
      <c r="O1955" t="str">
        <f>_xlfn.XLOOKUP(N1955,'Error-codes'!$C$2:$C$130,'Error-codes'!$B$2:$B$130, "None")</f>
        <v>inductive sensor error</v>
      </c>
      <c r="U1955" s="81">
        <f>DATEVALUE(LEFT(F1955,10))</f>
        <v>45005</v>
      </c>
    </row>
    <row r="1956" spans="1:21">
      <c r="A1956" s="56" t="s">
        <v>7777</v>
      </c>
      <c r="B1956" s="56" t="s">
        <v>228</v>
      </c>
      <c r="C1956" s="56" t="s">
        <v>7778</v>
      </c>
      <c r="D1956" s="56" t="s">
        <v>37</v>
      </c>
      <c r="E1956" s="56" t="s">
        <v>4371</v>
      </c>
      <c r="F1956" s="56" t="s">
        <v>7779</v>
      </c>
      <c r="G1956" s="56">
        <v>202</v>
      </c>
      <c r="H1956" s="56">
        <v>67</v>
      </c>
      <c r="I1956" s="56">
        <v>0.3316831683168317</v>
      </c>
      <c r="J1956" s="56" t="s">
        <v>7780</v>
      </c>
      <c r="K1956" s="56" t="s">
        <v>7738</v>
      </c>
      <c r="L1956" s="56" t="s">
        <v>2948</v>
      </c>
      <c r="M1956" s="56" t="str">
        <f>HYPERLINK("https://dribble.octin.io/?mode=Single+log&amp;log_id=2e8174a4-3492-49f5-bfa6-84b39745805d","URL")</f>
        <v>URL</v>
      </c>
      <c r="N1956" s="56" t="s">
        <v>3470</v>
      </c>
      <c r="O1956" t="str">
        <f>_xlfn.XLOOKUP(N1956,'Error-codes'!$C$2:$C$130,'Error-codes'!$B$2:$B$130, "None")</f>
        <v>battery level critical low</v>
      </c>
      <c r="U1956" s="81">
        <f>DATEVALUE(LEFT(F1956,10))</f>
        <v>45013</v>
      </c>
    </row>
    <row r="1957" spans="1:21">
      <c r="A1957" s="56" t="s">
        <v>7781</v>
      </c>
      <c r="B1957" s="56" t="s">
        <v>228</v>
      </c>
      <c r="C1957" s="56" t="s">
        <v>7782</v>
      </c>
      <c r="D1957" s="56" t="s">
        <v>37</v>
      </c>
      <c r="E1957" s="56" t="s">
        <v>2939</v>
      </c>
      <c r="F1957" s="56" t="s">
        <v>7783</v>
      </c>
      <c r="G1957" s="56">
        <v>206</v>
      </c>
      <c r="H1957" s="56">
        <v>60</v>
      </c>
      <c r="I1957" s="56">
        <v>0.29126213592233008</v>
      </c>
      <c r="J1957" s="56" t="s">
        <v>7784</v>
      </c>
      <c r="K1957" s="56" t="s">
        <v>6828</v>
      </c>
      <c r="L1957" s="56" t="s">
        <v>2932</v>
      </c>
      <c r="M1957" s="56" t="str">
        <f>HYPERLINK("https://dribble.octin.io/?mode=Single+log&amp;log_id=29bd7196-882c-4702-9a47-140371f5f3c6","URL")</f>
        <v>URL</v>
      </c>
      <c r="N1957" s="56" t="s">
        <v>3444</v>
      </c>
      <c r="O1957" t="str">
        <f>_xlfn.XLOOKUP(N1957,'Error-codes'!$C$2:$C$130,'Error-codes'!$B$2:$B$130, "None")</f>
        <v>collision detected in operational state for the 4th time in a row</v>
      </c>
      <c r="U1957" s="81">
        <f>DATEVALUE(LEFT(F1957,10))</f>
        <v>45012</v>
      </c>
    </row>
    <row r="1958" spans="1:21">
      <c r="A1958" s="56" t="s">
        <v>7785</v>
      </c>
      <c r="B1958" s="56" t="s">
        <v>228</v>
      </c>
      <c r="C1958" s="56" t="s">
        <v>7782</v>
      </c>
      <c r="D1958" s="56" t="s">
        <v>37</v>
      </c>
      <c r="E1958" s="56" t="s">
        <v>2939</v>
      </c>
      <c r="F1958" s="56" t="s">
        <v>7786</v>
      </c>
      <c r="G1958" s="56">
        <v>206</v>
      </c>
      <c r="H1958" s="56">
        <v>67</v>
      </c>
      <c r="I1958" s="56">
        <v>0.32524271844660196</v>
      </c>
      <c r="J1958" s="56" t="s">
        <v>4652</v>
      </c>
      <c r="K1958" s="56" t="s">
        <v>6828</v>
      </c>
      <c r="L1958" s="56" t="s">
        <v>2932</v>
      </c>
      <c r="M1958" s="56" t="str">
        <f>HYPERLINK("https://dribble.octin.io/?mode=Single+log&amp;log_id=8c031f56-3d39-4c91-a30a-2a1712ad0a97","URL")</f>
        <v>URL</v>
      </c>
      <c r="N1958" s="56" t="s">
        <v>3472</v>
      </c>
      <c r="O1958" t="str">
        <f>_xlfn.XLOOKUP(N1958,'Error-codes'!$C$2:$C$130,'Error-codes'!$B$2:$B$130, "None")</f>
        <v>Excessive slip detected</v>
      </c>
      <c r="U1958" s="81">
        <f>DATEVALUE(LEFT(F1958,10))</f>
        <v>45013</v>
      </c>
    </row>
    <row r="1959" spans="1:21">
      <c r="A1959" s="56" t="s">
        <v>7787</v>
      </c>
      <c r="B1959" s="56" t="s">
        <v>228</v>
      </c>
      <c r="C1959" s="56" t="s">
        <v>7782</v>
      </c>
      <c r="D1959" s="56" t="s">
        <v>37</v>
      </c>
      <c r="E1959" s="56" t="s">
        <v>2939</v>
      </c>
      <c r="F1959" s="56" t="s">
        <v>7788</v>
      </c>
      <c r="G1959" s="56">
        <v>206</v>
      </c>
      <c r="H1959" s="56">
        <v>75</v>
      </c>
      <c r="I1959" s="56">
        <v>0.36407766990291263</v>
      </c>
      <c r="J1959" s="56" t="s">
        <v>7789</v>
      </c>
      <c r="K1959" s="56" t="s">
        <v>6828</v>
      </c>
      <c r="L1959" s="56" t="s">
        <v>2932</v>
      </c>
      <c r="M1959" s="56" t="str">
        <f>HYPERLINK("https://dribble.octin.io/?mode=Single+log&amp;log_id=3bff5e1b-6234-4bf4-9a31-3b5a2a57eb13","URL")</f>
        <v>URL</v>
      </c>
      <c r="N1959" s="56" t="s">
        <v>3472</v>
      </c>
      <c r="O1959" t="str">
        <f>_xlfn.XLOOKUP(N1959,'Error-codes'!$C$2:$C$130,'Error-codes'!$B$2:$B$130, "None")</f>
        <v>Excessive slip detected</v>
      </c>
      <c r="U1959" s="81">
        <f>DATEVALUE(LEFT(F1959,10))</f>
        <v>45013</v>
      </c>
    </row>
    <row r="1960" spans="1:21">
      <c r="A1960" s="56" t="s">
        <v>7790</v>
      </c>
      <c r="B1960" s="56" t="s">
        <v>228</v>
      </c>
      <c r="C1960" s="56" t="s">
        <v>7782</v>
      </c>
      <c r="D1960" s="56" t="s">
        <v>37</v>
      </c>
      <c r="E1960" s="56" t="s">
        <v>2939</v>
      </c>
      <c r="F1960" s="56" t="s">
        <v>7791</v>
      </c>
      <c r="G1960" s="56">
        <v>206</v>
      </c>
      <c r="H1960" s="56">
        <v>87</v>
      </c>
      <c r="I1960" s="56">
        <v>0.42233009708737862</v>
      </c>
      <c r="J1960" s="56" t="s">
        <v>7792</v>
      </c>
      <c r="K1960" s="56" t="s">
        <v>6828</v>
      </c>
      <c r="L1960" s="56" t="s">
        <v>2932</v>
      </c>
      <c r="M1960" s="56" t="str">
        <f>HYPERLINK("https://dribble.octin.io/?mode=Single+log&amp;log_id=c0fe1872-fe49-4e9d-8c49-85227fb68421","URL")</f>
        <v>URL</v>
      </c>
      <c r="N1960" s="56" t="s">
        <v>3466</v>
      </c>
      <c r="O1960" t="str">
        <f>_xlfn.XLOOKUP(N1960,'Error-codes'!$C$2:$C$130,'Error-codes'!$B$2:$B$130, "None")</f>
        <v>vision error</v>
      </c>
      <c r="U1960" s="81">
        <f>DATEVALUE(LEFT(F1960,10))</f>
        <v>45013</v>
      </c>
    </row>
    <row r="1961" spans="1:21">
      <c r="A1961" s="56" t="s">
        <v>7793</v>
      </c>
      <c r="B1961" s="56" t="s">
        <v>228</v>
      </c>
      <c r="C1961" s="56" t="s">
        <v>7782</v>
      </c>
      <c r="D1961" s="56" t="s">
        <v>37</v>
      </c>
      <c r="E1961" s="56" t="s">
        <v>4398</v>
      </c>
      <c r="F1961" s="56" t="s">
        <v>7794</v>
      </c>
      <c r="G1961" s="56">
        <v>206</v>
      </c>
      <c r="H1961" s="56">
        <v>89</v>
      </c>
      <c r="I1961" s="56">
        <v>0.43203883495145629</v>
      </c>
      <c r="J1961" s="56" t="s">
        <v>7795</v>
      </c>
      <c r="K1961" s="56" t="s">
        <v>6828</v>
      </c>
      <c r="L1961" s="56" t="s">
        <v>2932</v>
      </c>
      <c r="M1961" s="56" t="str">
        <f>HYPERLINK("https://dribble.octin.io/?mode=Single+log&amp;log_id=06ea4c31-2b68-4f4b-8a22-ab604e843241","URL")</f>
        <v>URL</v>
      </c>
      <c r="N1961" s="56" t="s">
        <v>3466</v>
      </c>
      <c r="O1961" t="str">
        <f>_xlfn.XLOOKUP(N1961,'Error-codes'!$C$2:$C$130,'Error-codes'!$B$2:$B$130, "None")</f>
        <v>vision error</v>
      </c>
      <c r="U1961" s="81">
        <f>DATEVALUE(LEFT(F1961,10))</f>
        <v>45013</v>
      </c>
    </row>
    <row r="1962" spans="1:21">
      <c r="A1962" s="56" t="s">
        <v>7796</v>
      </c>
      <c r="B1962" s="56" t="s">
        <v>228</v>
      </c>
      <c r="C1962" s="56" t="s">
        <v>7797</v>
      </c>
      <c r="D1962" s="56" t="s">
        <v>388</v>
      </c>
      <c r="E1962" s="56" t="s">
        <v>2939</v>
      </c>
      <c r="F1962" s="56" t="s">
        <v>7798</v>
      </c>
      <c r="G1962" s="56">
        <v>103</v>
      </c>
      <c r="H1962" s="56">
        <v>4</v>
      </c>
      <c r="I1962" s="56">
        <v>3.8834951456310676E-2</v>
      </c>
      <c r="J1962" s="56" t="s">
        <v>7799</v>
      </c>
      <c r="K1962" s="56" t="s">
        <v>2171</v>
      </c>
      <c r="L1962" s="56" t="s">
        <v>2948</v>
      </c>
      <c r="M1962" s="56" t="str">
        <f>HYPERLINK("https://dribble.octin.io/?mode=Single+log&amp;log_id=bba7316a-d22e-4071-9c0b-20a6c6cf9d80","URL")</f>
        <v>URL</v>
      </c>
      <c r="N1962" s="56" t="s">
        <v>3472</v>
      </c>
      <c r="O1962" t="str">
        <f>_xlfn.XLOOKUP(N1962,'Error-codes'!$C$2:$C$130,'Error-codes'!$B$2:$B$130, "None")</f>
        <v>Excessive slip detected</v>
      </c>
      <c r="U1962" s="81">
        <f>DATEVALUE(LEFT(F1962,10))</f>
        <v>45011</v>
      </c>
    </row>
    <row r="1963" spans="1:21">
      <c r="B1963" s="56" t="s">
        <v>228</v>
      </c>
      <c r="C1963" s="56" t="s">
        <v>7797</v>
      </c>
      <c r="D1963" s="56" t="s">
        <v>388</v>
      </c>
      <c r="F1963" s="56" t="s">
        <v>7800</v>
      </c>
      <c r="G1963" s="56">
        <v>103</v>
      </c>
      <c r="H1963" s="56">
        <v>102</v>
      </c>
      <c r="I1963" s="56">
        <v>0.99029126213592233</v>
      </c>
      <c r="K1963" s="56" t="s">
        <v>2171</v>
      </c>
      <c r="L1963" s="56" t="s">
        <v>2948</v>
      </c>
      <c r="O1963">
        <f>_xlfn.XLOOKUP(N1963,'Error-codes'!$C$2:$C$130,'Error-codes'!$B$2:$B$130, "None")</f>
        <v>0</v>
      </c>
      <c r="U1963" s="81">
        <f>DATEVALUE(LEFT(F1963,10))</f>
        <v>45012</v>
      </c>
    </row>
    <row r="1964" spans="1:21">
      <c r="A1964" s="56"/>
      <c r="B1964" s="56" t="s">
        <v>228</v>
      </c>
      <c r="C1964" s="56" t="s">
        <v>7801</v>
      </c>
      <c r="D1964" s="56" t="s">
        <v>22</v>
      </c>
      <c r="E1964" s="56" t="s">
        <v>2939</v>
      </c>
      <c r="F1964" s="56" t="s">
        <v>7802</v>
      </c>
      <c r="G1964" s="56">
        <v>204</v>
      </c>
      <c r="H1964" s="56">
        <v>55</v>
      </c>
      <c r="I1964" s="56">
        <v>0.26960784313725489</v>
      </c>
      <c r="J1964" s="56" t="s">
        <v>3089</v>
      </c>
      <c r="K1964" s="56" t="s">
        <v>6828</v>
      </c>
      <c r="L1964" s="56" t="s">
        <v>2932</v>
      </c>
      <c r="N1964" s="56" t="s">
        <v>3472</v>
      </c>
      <c r="O1964" t="str">
        <f>_xlfn.XLOOKUP(N1964,'Error-codes'!$C$2:$C$130,'Error-codes'!$B$2:$B$130, "None")</f>
        <v>Excessive slip detected</v>
      </c>
      <c r="U1964" s="81">
        <f>DATEVALUE(LEFT(F1964,10))</f>
        <v>45010</v>
      </c>
    </row>
    <row r="1965" spans="1:21">
      <c r="A1965" s="56" t="s">
        <v>7803</v>
      </c>
      <c r="B1965" s="56" t="s">
        <v>228</v>
      </c>
      <c r="C1965" s="56" t="s">
        <v>7801</v>
      </c>
      <c r="D1965" s="56" t="s">
        <v>22</v>
      </c>
      <c r="E1965" s="56" t="s">
        <v>2939</v>
      </c>
      <c r="F1965" s="56" t="s">
        <v>7804</v>
      </c>
      <c r="G1965" s="56">
        <v>204</v>
      </c>
      <c r="H1965" s="56">
        <v>60</v>
      </c>
      <c r="I1965" s="56">
        <v>0.29411764705882354</v>
      </c>
      <c r="J1965" s="56" t="s">
        <v>7784</v>
      </c>
      <c r="K1965" s="56" t="s">
        <v>6828</v>
      </c>
      <c r="L1965" s="56" t="s">
        <v>2932</v>
      </c>
      <c r="M1965" s="56" t="str">
        <f>HYPERLINK("https://dribble.octin.io/?mode=Single+log&amp;log_id=043486d4-0aa6-45cc-8475-2e6ff871e49f","URL")</f>
        <v>URL</v>
      </c>
      <c r="N1965" s="56" t="s">
        <v>3472</v>
      </c>
      <c r="O1965" t="str">
        <f>_xlfn.XLOOKUP(N1965,'Error-codes'!$C$2:$C$130,'Error-codes'!$B$2:$B$130, "None")</f>
        <v>Excessive slip detected</v>
      </c>
      <c r="U1965" s="81">
        <f>DATEVALUE(LEFT(F1965,10))</f>
        <v>45010</v>
      </c>
    </row>
    <row r="1966" spans="1:21">
      <c r="A1966" s="56" t="s">
        <v>7805</v>
      </c>
      <c r="B1966" s="56" t="s">
        <v>228</v>
      </c>
      <c r="C1966" s="56" t="s">
        <v>7801</v>
      </c>
      <c r="D1966" s="56" t="s">
        <v>22</v>
      </c>
      <c r="E1966" s="56" t="s">
        <v>2939</v>
      </c>
      <c r="F1966" s="56" t="s">
        <v>7806</v>
      </c>
      <c r="G1966" s="56">
        <v>204</v>
      </c>
      <c r="H1966" s="56">
        <v>67</v>
      </c>
      <c r="I1966" s="56">
        <v>0.32843137254901961</v>
      </c>
      <c r="J1966" s="56" t="s">
        <v>4652</v>
      </c>
      <c r="K1966" s="56" t="s">
        <v>6828</v>
      </c>
      <c r="L1966" s="56" t="s">
        <v>2932</v>
      </c>
      <c r="M1966" s="56" t="str">
        <f>HYPERLINK("https://dribble.octin.io/?mode=Single+log&amp;log_id=ee3384a1-9b72-4a0d-83f1-9eea5ad084ee","URL")</f>
        <v>URL</v>
      </c>
      <c r="N1966" s="56" t="s">
        <v>2933</v>
      </c>
      <c r="O1966" t="str">
        <f>_xlfn.XLOOKUP(N1966,'Error-codes'!$C$2:$C$130,'Error-codes'!$B$2:$B$130, "None")</f>
        <v>inductive sensor error</v>
      </c>
      <c r="U1966" s="81">
        <f>DATEVALUE(LEFT(F1966,10))</f>
        <v>45010</v>
      </c>
    </row>
    <row r="1967" spans="1:21">
      <c r="B1967" s="56" t="s">
        <v>228</v>
      </c>
      <c r="C1967" s="56" t="s">
        <v>7807</v>
      </c>
      <c r="D1967" s="56" t="s">
        <v>22</v>
      </c>
      <c r="F1967" s="56" t="s">
        <v>7808</v>
      </c>
      <c r="G1967" s="56">
        <v>202</v>
      </c>
      <c r="H1967" s="56">
        <v>1</v>
      </c>
      <c r="I1967" s="56">
        <v>4.9504950495049506E-3</v>
      </c>
      <c r="K1967" s="56" t="s">
        <v>6828</v>
      </c>
      <c r="L1967" s="56" t="s">
        <v>2932</v>
      </c>
      <c r="O1967">
        <f>_xlfn.XLOOKUP(N1967,'Error-codes'!$C$2:$C$130,'Error-codes'!$B$2:$B$130, "None")</f>
        <v>0</v>
      </c>
      <c r="U1967" s="81">
        <f>DATEVALUE(LEFT(F1967,10))</f>
        <v>45009</v>
      </c>
    </row>
    <row r="1968" spans="1:21">
      <c r="A1968" s="56" t="s">
        <v>7809</v>
      </c>
      <c r="B1968" s="56" t="s">
        <v>228</v>
      </c>
      <c r="C1968" s="56" t="s">
        <v>7810</v>
      </c>
      <c r="D1968" s="56" t="s">
        <v>388</v>
      </c>
      <c r="E1968" s="56" t="s">
        <v>2939</v>
      </c>
      <c r="F1968" s="56" t="s">
        <v>7811</v>
      </c>
      <c r="G1968" s="56">
        <v>206</v>
      </c>
      <c r="H1968" s="56">
        <v>159</v>
      </c>
      <c r="I1968" s="56">
        <v>0.77184466019417475</v>
      </c>
      <c r="J1968" s="56" t="s">
        <v>7812</v>
      </c>
      <c r="K1968" s="56" t="s">
        <v>6828</v>
      </c>
      <c r="L1968" s="56" t="s">
        <v>2932</v>
      </c>
      <c r="M1968" s="56" t="str">
        <f>HYPERLINK("https://dribble.octin.io/?mode=Single+log&amp;log_id=480a8d67-f257-46cf-a0c0-2a77bc1b03e3","URL")</f>
        <v>URL</v>
      </c>
      <c r="N1968" s="56" t="s">
        <v>2933</v>
      </c>
      <c r="O1968" t="str">
        <f>_xlfn.XLOOKUP(N1968,'Error-codes'!$C$2:$C$130,'Error-codes'!$B$2:$B$130, "None")</f>
        <v>inductive sensor error</v>
      </c>
      <c r="U1968" s="81">
        <f>DATEVALUE(LEFT(F1968,10))</f>
        <v>45009</v>
      </c>
    </row>
    <row r="1969" spans="1:21">
      <c r="A1969" s="56" t="s">
        <v>7813</v>
      </c>
      <c r="B1969" s="56" t="s">
        <v>228</v>
      </c>
      <c r="C1969" s="56" t="s">
        <v>7810</v>
      </c>
      <c r="D1969" s="56" t="s">
        <v>388</v>
      </c>
      <c r="E1969" s="56" t="s">
        <v>2939</v>
      </c>
      <c r="F1969" s="56" t="s">
        <v>7814</v>
      </c>
      <c r="G1969" s="56">
        <v>206</v>
      </c>
      <c r="H1969" s="56">
        <v>166</v>
      </c>
      <c r="I1969" s="56">
        <v>0.80582524271844658</v>
      </c>
      <c r="J1969" s="56" t="s">
        <v>7815</v>
      </c>
      <c r="K1969" s="56" t="s">
        <v>6828</v>
      </c>
      <c r="L1969" s="56" t="s">
        <v>2932</v>
      </c>
      <c r="M1969" s="56" t="str">
        <f>HYPERLINK("https://dribble.octin.io/?mode=Single+log&amp;log_id=bd63b3cc-220d-480b-8045-034256860c96","URL")</f>
        <v>URL</v>
      </c>
      <c r="N1969" s="56" t="s">
        <v>2933</v>
      </c>
      <c r="O1969" t="str">
        <f>_xlfn.XLOOKUP(N1969,'Error-codes'!$C$2:$C$130,'Error-codes'!$B$2:$B$130, "None")</f>
        <v>inductive sensor error</v>
      </c>
      <c r="U1969" s="81">
        <f>DATEVALUE(LEFT(F1969,10))</f>
        <v>45009</v>
      </c>
    </row>
    <row r="1970" spans="1:21">
      <c r="A1970" s="56" t="s">
        <v>7816</v>
      </c>
      <c r="B1970" s="56" t="s">
        <v>228</v>
      </c>
      <c r="C1970" s="56" t="s">
        <v>7810</v>
      </c>
      <c r="D1970" s="56" t="s">
        <v>388</v>
      </c>
      <c r="E1970" s="56" t="s">
        <v>2939</v>
      </c>
      <c r="F1970" s="56" t="s">
        <v>7817</v>
      </c>
      <c r="G1970" s="56">
        <v>206</v>
      </c>
      <c r="H1970" s="56">
        <v>168</v>
      </c>
      <c r="I1970" s="56">
        <v>0.81553398058252424</v>
      </c>
      <c r="J1970" s="56" t="s">
        <v>7818</v>
      </c>
      <c r="K1970" s="56" t="s">
        <v>6828</v>
      </c>
      <c r="L1970" s="56" t="s">
        <v>2932</v>
      </c>
      <c r="M1970" s="56" t="str">
        <f>HYPERLINK("https://dribble.octin.io/?mode=Single+log&amp;log_id=14279cc8-d796-4f82-9923-9d3619755192","URL")</f>
        <v>URL</v>
      </c>
      <c r="N1970" s="56" t="s">
        <v>2933</v>
      </c>
      <c r="O1970" t="str">
        <f>_xlfn.XLOOKUP(N1970,'Error-codes'!$C$2:$C$130,'Error-codes'!$B$2:$B$130, "None")</f>
        <v>inductive sensor error</v>
      </c>
      <c r="U1970" s="81">
        <f>DATEVALUE(LEFT(F1970,10))</f>
        <v>45009</v>
      </c>
    </row>
    <row r="1971" spans="1:21">
      <c r="A1971" s="56"/>
      <c r="B1971" s="56" t="s">
        <v>228</v>
      </c>
      <c r="C1971" s="56" t="s">
        <v>7810</v>
      </c>
      <c r="D1971" s="56" t="s">
        <v>388</v>
      </c>
      <c r="E1971" s="56" t="s">
        <v>2939</v>
      </c>
      <c r="F1971" s="56" t="s">
        <v>7819</v>
      </c>
      <c r="G1971" s="56">
        <v>206</v>
      </c>
      <c r="H1971" s="56">
        <v>192</v>
      </c>
      <c r="I1971" s="56">
        <v>0.93203883495145634</v>
      </c>
      <c r="J1971" s="56" t="s">
        <v>7746</v>
      </c>
      <c r="K1971" s="56" t="s">
        <v>6828</v>
      </c>
      <c r="L1971" s="56" t="s">
        <v>2932</v>
      </c>
      <c r="N1971" s="56" t="s">
        <v>3472</v>
      </c>
      <c r="O1971" t="str">
        <f>_xlfn.XLOOKUP(N1971,'Error-codes'!$C$2:$C$130,'Error-codes'!$B$2:$B$130, "None")</f>
        <v>Excessive slip detected</v>
      </c>
      <c r="U1971" s="81">
        <f>DATEVALUE(LEFT(F1971,10))</f>
        <v>45009</v>
      </c>
    </row>
    <row r="1972" spans="1:21">
      <c r="B1972" s="56" t="s">
        <v>228</v>
      </c>
      <c r="C1972" s="56" t="s">
        <v>7810</v>
      </c>
      <c r="D1972" s="56" t="s">
        <v>388</v>
      </c>
      <c r="F1972" s="56" t="s">
        <v>7819</v>
      </c>
      <c r="G1972" s="56">
        <v>206</v>
      </c>
      <c r="H1972" s="56">
        <v>202</v>
      </c>
      <c r="I1972" s="56">
        <v>0.98058252427184467</v>
      </c>
      <c r="K1972" s="56" t="s">
        <v>6828</v>
      </c>
      <c r="L1972" s="56" t="s">
        <v>2932</v>
      </c>
      <c r="O1972">
        <f>_xlfn.XLOOKUP(N1972,'Error-codes'!$C$2:$C$130,'Error-codes'!$B$2:$B$130, "None")</f>
        <v>0</v>
      </c>
      <c r="U1972" s="81">
        <f>DATEVALUE(LEFT(F1972,10))</f>
        <v>45009</v>
      </c>
    </row>
    <row r="1973" spans="1:21">
      <c r="A1973" s="56" t="s">
        <v>7820</v>
      </c>
      <c r="B1973" s="56" t="s">
        <v>228</v>
      </c>
      <c r="C1973" s="56" t="s">
        <v>7821</v>
      </c>
      <c r="D1973" s="56" t="s">
        <v>37</v>
      </c>
      <c r="E1973" s="56" t="s">
        <v>2939</v>
      </c>
      <c r="F1973" s="56" t="s">
        <v>7822</v>
      </c>
      <c r="G1973" s="56">
        <v>203</v>
      </c>
      <c r="H1973" s="56">
        <v>66</v>
      </c>
      <c r="I1973" s="56">
        <v>0.3251231527093596</v>
      </c>
      <c r="J1973" s="56" t="s">
        <v>4652</v>
      </c>
      <c r="K1973" s="56" t="s">
        <v>6828</v>
      </c>
      <c r="L1973" s="56" t="s">
        <v>2932</v>
      </c>
      <c r="M1973" s="56" t="str">
        <f>HYPERLINK("https://dribble.octin.io/?mode=Single+log&amp;log_id=a6b695a6-88f8-4953-8833-1b4a125a58f2","URL")</f>
        <v>URL</v>
      </c>
      <c r="N1973" s="56" t="s">
        <v>3472</v>
      </c>
      <c r="O1973" t="str">
        <f>_xlfn.XLOOKUP(N1973,'Error-codes'!$C$2:$C$130,'Error-codes'!$B$2:$B$130, "None")</f>
        <v>Excessive slip detected</v>
      </c>
      <c r="U1973" s="81">
        <f>DATEVALUE(LEFT(F1973,10))</f>
        <v>45006</v>
      </c>
    </row>
    <row r="1974" spans="1:21">
      <c r="A1974" s="56" t="s">
        <v>7823</v>
      </c>
      <c r="B1974" s="56" t="s">
        <v>228</v>
      </c>
      <c r="C1974" s="56" t="s">
        <v>7821</v>
      </c>
      <c r="D1974" s="56" t="s">
        <v>37</v>
      </c>
      <c r="E1974" s="56" t="s">
        <v>3265</v>
      </c>
      <c r="F1974" s="56" t="s">
        <v>7824</v>
      </c>
      <c r="G1974" s="56">
        <v>203</v>
      </c>
      <c r="H1974" s="56">
        <v>81</v>
      </c>
      <c r="I1974" s="56">
        <v>0.39901477832512317</v>
      </c>
      <c r="J1974" s="56" t="s">
        <v>7825</v>
      </c>
      <c r="K1974" s="56" t="s">
        <v>6828</v>
      </c>
      <c r="L1974" s="56" t="s">
        <v>2932</v>
      </c>
      <c r="M1974" s="56" t="str">
        <f>HYPERLINK("https://dribble.octin.io/?mode=Single+log&amp;log_id=c875ad08-94b0-4ed5-b03e-a6633bf7a45f","URL")</f>
        <v>URL</v>
      </c>
      <c r="N1974" s="56" t="s">
        <v>2933</v>
      </c>
      <c r="O1974" t="str">
        <f>_xlfn.XLOOKUP(N1974,'Error-codes'!$C$2:$C$130,'Error-codes'!$B$2:$B$130, "None")</f>
        <v>inductive sensor error</v>
      </c>
      <c r="U1974" s="81">
        <f>DATEVALUE(LEFT(F1974,10))</f>
        <v>45007</v>
      </c>
    </row>
    <row r="1975" spans="1:21">
      <c r="A1975" s="56" t="s">
        <v>7826</v>
      </c>
      <c r="B1975" s="56" t="s">
        <v>228</v>
      </c>
      <c r="C1975" s="56" t="s">
        <v>7827</v>
      </c>
      <c r="D1975" s="56" t="s">
        <v>37</v>
      </c>
      <c r="E1975" s="56" t="s">
        <v>2939</v>
      </c>
      <c r="F1975" s="56" t="s">
        <v>7828</v>
      </c>
      <c r="G1975" s="56">
        <v>202</v>
      </c>
      <c r="H1975" s="56">
        <v>65</v>
      </c>
      <c r="I1975" s="56">
        <v>0.32178217821782179</v>
      </c>
      <c r="J1975" s="56" t="s">
        <v>4652</v>
      </c>
      <c r="K1975" s="56" t="s">
        <v>6828</v>
      </c>
      <c r="L1975" s="56" t="s">
        <v>2932</v>
      </c>
      <c r="M1975" s="56" t="str">
        <f>HYPERLINK("https://dribble.octin.io/?mode=Single+log&amp;log_id=1994adb1-ebd2-4f18-8352-47a7303ef7db","URL")</f>
        <v>URL</v>
      </c>
      <c r="N1975" s="56" t="s">
        <v>3472</v>
      </c>
      <c r="O1975" t="str">
        <f>_xlfn.XLOOKUP(N1975,'Error-codes'!$C$2:$C$130,'Error-codes'!$B$2:$B$130, "None")</f>
        <v>Excessive slip detected</v>
      </c>
      <c r="U1975" s="81">
        <f>DATEVALUE(LEFT(F1975,10))</f>
        <v>45006</v>
      </c>
    </row>
    <row r="1976" spans="1:21">
      <c r="A1976" s="56" t="s">
        <v>7829</v>
      </c>
      <c r="B1976" s="56" t="s">
        <v>228</v>
      </c>
      <c r="C1976" s="56" t="s">
        <v>7827</v>
      </c>
      <c r="D1976" s="56" t="s">
        <v>37</v>
      </c>
      <c r="E1976" s="56" t="s">
        <v>7033</v>
      </c>
      <c r="F1976" s="56" t="s">
        <v>7830</v>
      </c>
      <c r="G1976" s="56">
        <v>202</v>
      </c>
      <c r="H1976" s="56">
        <v>101</v>
      </c>
      <c r="I1976" s="56">
        <v>0.5</v>
      </c>
      <c r="J1976" s="56" t="s">
        <v>7035</v>
      </c>
      <c r="K1976" s="56" t="s">
        <v>6828</v>
      </c>
      <c r="L1976" s="56" t="s">
        <v>2932</v>
      </c>
      <c r="M1976" s="56" t="str">
        <f>HYPERLINK("https://dribble.octin.io/?mode=Single+log&amp;log_id=eb3ea2ae-486d-40c3-9af0-c910b1f6694b","URL")</f>
        <v>URL</v>
      </c>
      <c r="N1976" s="56" t="s">
        <v>3462</v>
      </c>
      <c r="O1976" t="str">
        <f>_xlfn.XLOOKUP(N1976,'Error-codes'!$C$2:$C$130,'Error-codes'!$B$2:$B$130, "None")</f>
        <v xml:space="preserve">Vehicle HAL: motor drive: ID CONTROL ISSUE	</v>
      </c>
      <c r="U1976" s="81">
        <f>DATEVALUE(LEFT(F1976,10))</f>
        <v>45006</v>
      </c>
    </row>
    <row r="1977" spans="1:21">
      <c r="A1977" s="56" t="s">
        <v>7831</v>
      </c>
      <c r="B1977" s="56" t="s">
        <v>3202</v>
      </c>
      <c r="C1977" s="56" t="s">
        <v>7832</v>
      </c>
      <c r="D1977" s="56" t="s">
        <v>388</v>
      </c>
      <c r="E1977" s="56" t="s">
        <v>2939</v>
      </c>
      <c r="F1977" s="56" t="s">
        <v>7833</v>
      </c>
      <c r="G1977" s="56">
        <v>37</v>
      </c>
      <c r="H1977" s="56">
        <v>4</v>
      </c>
      <c r="I1977" s="56">
        <v>0.10810810810810811</v>
      </c>
      <c r="J1977" s="56" t="s">
        <v>3353</v>
      </c>
      <c r="K1977" s="56" t="s">
        <v>3207</v>
      </c>
      <c r="L1977" s="56" t="s">
        <v>5214</v>
      </c>
      <c r="M1977" s="56" t="str">
        <f>HYPERLINK("https://dribble.octin.io/?mode=Single+log&amp;log_id=a5ff5bf9-20af-4d5e-a1e5-2bb239b5d93c","URL")</f>
        <v>URL</v>
      </c>
      <c r="N1977" s="56" t="s">
        <v>3472</v>
      </c>
      <c r="O1977" t="str">
        <f>_xlfn.XLOOKUP(N1977,'Error-codes'!$C$2:$C$130,'Error-codes'!$B$2:$B$130, "None")</f>
        <v>Excessive slip detected</v>
      </c>
      <c r="U1977" s="81">
        <f>DATEVALUE(LEFT(F1977,10))</f>
        <v>45012</v>
      </c>
    </row>
    <row r="1978" spans="1:21">
      <c r="A1978" s="56" t="s">
        <v>7834</v>
      </c>
      <c r="B1978" s="56" t="s">
        <v>3202</v>
      </c>
      <c r="C1978" s="56" t="s">
        <v>7832</v>
      </c>
      <c r="D1978" s="56" t="s">
        <v>388</v>
      </c>
      <c r="E1978" s="56" t="s">
        <v>2939</v>
      </c>
      <c r="F1978" s="56" t="s">
        <v>7835</v>
      </c>
      <c r="G1978" s="56">
        <v>37</v>
      </c>
      <c r="H1978" s="56">
        <v>11</v>
      </c>
      <c r="I1978" s="56">
        <v>0.29729729729729731</v>
      </c>
      <c r="J1978" s="56" t="s">
        <v>3350</v>
      </c>
      <c r="K1978" s="56" t="s">
        <v>3207</v>
      </c>
      <c r="L1978" s="56" t="s">
        <v>5214</v>
      </c>
      <c r="M1978" s="56" t="str">
        <f>HYPERLINK("https://dribble.octin.io/?mode=Single+log&amp;log_id=e9f92ee1-8a61-49cf-9238-34cfc5ba2737","URL")</f>
        <v>URL</v>
      </c>
      <c r="N1978" s="56" t="s">
        <v>3472</v>
      </c>
      <c r="O1978" t="str">
        <f>_xlfn.XLOOKUP(N1978,'Error-codes'!$C$2:$C$130,'Error-codes'!$B$2:$B$130, "None")</f>
        <v>Excessive slip detected</v>
      </c>
      <c r="U1978" s="81">
        <f>DATEVALUE(LEFT(F1978,10))</f>
        <v>45012</v>
      </c>
    </row>
    <row r="1979" spans="1:21">
      <c r="A1979" s="56" t="s">
        <v>7836</v>
      </c>
      <c r="B1979" s="56" t="s">
        <v>3202</v>
      </c>
      <c r="C1979" s="56" t="s">
        <v>7832</v>
      </c>
      <c r="D1979" s="56" t="s">
        <v>388</v>
      </c>
      <c r="E1979" s="56" t="s">
        <v>2939</v>
      </c>
      <c r="F1979" s="56" t="s">
        <v>7837</v>
      </c>
      <c r="G1979" s="56">
        <v>37</v>
      </c>
      <c r="H1979" s="56">
        <v>19</v>
      </c>
      <c r="I1979" s="56">
        <v>0.51351351351351349</v>
      </c>
      <c r="J1979" s="56" t="s">
        <v>7838</v>
      </c>
      <c r="K1979" s="56" t="s">
        <v>3207</v>
      </c>
      <c r="L1979" s="56" t="s">
        <v>5214</v>
      </c>
      <c r="M1979" s="56" t="str">
        <f>HYPERLINK("https://dribble.octin.io/?mode=Single+log&amp;log_id=433ff9fa-dbac-4656-af84-46797aae0dfa","URL")</f>
        <v>URL</v>
      </c>
      <c r="N1979" s="56" t="s">
        <v>2933</v>
      </c>
      <c r="O1979" t="str">
        <f>_xlfn.XLOOKUP(N1979,'Error-codes'!$C$2:$C$130,'Error-codes'!$B$2:$B$130, "None")</f>
        <v>inductive sensor error</v>
      </c>
      <c r="U1979" s="81">
        <f>DATEVALUE(LEFT(F1979,10))</f>
        <v>45012</v>
      </c>
    </row>
    <row r="1980" spans="1:21">
      <c r="B1980" s="56" t="s">
        <v>3202</v>
      </c>
      <c r="C1980" s="56" t="s">
        <v>7832</v>
      </c>
      <c r="D1980" s="56" t="s">
        <v>388</v>
      </c>
      <c r="F1980" s="56" t="s">
        <v>7839</v>
      </c>
      <c r="G1980" s="56">
        <v>37</v>
      </c>
      <c r="H1980" s="56">
        <v>34</v>
      </c>
      <c r="I1980" s="56">
        <v>0.91891891891891897</v>
      </c>
      <c r="K1980" s="56" t="s">
        <v>3207</v>
      </c>
      <c r="L1980" s="56" t="s">
        <v>5214</v>
      </c>
      <c r="O1980">
        <f>_xlfn.XLOOKUP(N1980,'Error-codes'!$C$2:$C$130,'Error-codes'!$B$2:$B$130, "None")</f>
        <v>0</v>
      </c>
      <c r="U1980" s="81">
        <f>DATEVALUE(LEFT(F1980,10))</f>
        <v>45012</v>
      </c>
    </row>
    <row r="1981" spans="1:21">
      <c r="A1981" s="56"/>
      <c r="B1981" s="56" t="s">
        <v>3202</v>
      </c>
      <c r="C1981" s="56" t="s">
        <v>7840</v>
      </c>
      <c r="D1981" s="56"/>
      <c r="E1981" s="56" t="s">
        <v>2939</v>
      </c>
      <c r="F1981" s="56" t="s">
        <v>7841</v>
      </c>
      <c r="G1981" s="56">
        <v>43</v>
      </c>
      <c r="H1981" s="56">
        <v>1</v>
      </c>
      <c r="I1981" s="56">
        <v>2.3255813953488372E-2</v>
      </c>
      <c r="J1981" s="56" t="s">
        <v>3229</v>
      </c>
      <c r="K1981" s="56" t="s">
        <v>3207</v>
      </c>
      <c r="L1981" s="56" t="s">
        <v>3208</v>
      </c>
      <c r="N1981" s="56" t="s">
        <v>2933</v>
      </c>
      <c r="O1981" t="str">
        <f>_xlfn.XLOOKUP(N1981,'Error-codes'!$C$2:$C$130,'Error-codes'!$B$2:$B$130, "None")</f>
        <v>inductive sensor error</v>
      </c>
      <c r="U1981" s="81">
        <f>DATEVALUE(LEFT(F1981,10))</f>
        <v>45009</v>
      </c>
    </row>
    <row r="1982" spans="1:21">
      <c r="A1982" s="56"/>
      <c r="B1982" s="56" t="s">
        <v>3202</v>
      </c>
      <c r="C1982" s="56" t="s">
        <v>7840</v>
      </c>
      <c r="D1982" s="56"/>
      <c r="E1982" s="56"/>
      <c r="F1982" s="56" t="s">
        <v>7842</v>
      </c>
      <c r="G1982" s="56">
        <v>43</v>
      </c>
      <c r="H1982" s="56">
        <v>42</v>
      </c>
      <c r="I1982" s="56">
        <v>0.97674418604651159</v>
      </c>
      <c r="J1982" s="56" t="s">
        <v>3233</v>
      </c>
      <c r="K1982" s="56" t="s">
        <v>3207</v>
      </c>
      <c r="L1982" s="56" t="s">
        <v>3208</v>
      </c>
      <c r="N1982" s="56" t="s">
        <v>2933</v>
      </c>
      <c r="O1982" t="str">
        <f>_xlfn.XLOOKUP(N1982,'Error-codes'!$C$2:$C$130,'Error-codes'!$B$2:$B$130, "None")</f>
        <v>inductive sensor error</v>
      </c>
      <c r="U1982" s="81">
        <f>DATEVALUE(LEFT(F1982,10))</f>
        <v>45009</v>
      </c>
    </row>
    <row r="1983" spans="1:21">
      <c r="A1983" s="56" t="s">
        <v>7843</v>
      </c>
      <c r="B1983" s="56" t="s">
        <v>3202</v>
      </c>
      <c r="C1983" s="56" t="s">
        <v>7844</v>
      </c>
      <c r="D1983" s="56" t="s">
        <v>37</v>
      </c>
      <c r="E1983" s="56" t="s">
        <v>2939</v>
      </c>
      <c r="F1983" s="56" t="s">
        <v>7845</v>
      </c>
      <c r="G1983" s="56">
        <v>37</v>
      </c>
      <c r="H1983" s="56">
        <v>4</v>
      </c>
      <c r="I1983" s="56">
        <v>0.10810810810810811</v>
      </c>
      <c r="J1983" s="56" t="s">
        <v>3353</v>
      </c>
      <c r="K1983" s="56" t="s">
        <v>3207</v>
      </c>
      <c r="L1983" s="56" t="s">
        <v>5214</v>
      </c>
      <c r="M1983" s="56" t="str">
        <f>HYPERLINK("https://dribble.octin.io/?mode=Single+log&amp;log_id=f220a1c0-6784-4dea-957c-e75bdc8633da","URL")</f>
        <v>URL</v>
      </c>
      <c r="N1983" s="56" t="s">
        <v>3472</v>
      </c>
      <c r="O1983" t="str">
        <f>_xlfn.XLOOKUP(N1983,'Error-codes'!$C$2:$C$130,'Error-codes'!$B$2:$B$130, "None")</f>
        <v>Excessive slip detected</v>
      </c>
      <c r="U1983" s="81">
        <f>DATEVALUE(LEFT(F1983,10))</f>
        <v>45005</v>
      </c>
    </row>
    <row r="1984" spans="1:21">
      <c r="A1984" s="56" t="s">
        <v>7846</v>
      </c>
      <c r="B1984" s="56" t="s">
        <v>3202</v>
      </c>
      <c r="C1984" s="56" t="s">
        <v>7844</v>
      </c>
      <c r="D1984" s="56" t="s">
        <v>37</v>
      </c>
      <c r="E1984" s="56" t="s">
        <v>4774</v>
      </c>
      <c r="F1984" s="56" t="s">
        <v>7847</v>
      </c>
      <c r="G1984" s="56">
        <v>37</v>
      </c>
      <c r="H1984" s="56">
        <v>25</v>
      </c>
      <c r="I1984" s="56">
        <v>0.67567567567567566</v>
      </c>
      <c r="J1984" s="56" t="s">
        <v>3341</v>
      </c>
      <c r="K1984" s="56" t="s">
        <v>3207</v>
      </c>
      <c r="L1984" s="56" t="s">
        <v>5214</v>
      </c>
      <c r="M1984" s="56" t="str">
        <f>HYPERLINK("https://dribble.octin.io/?mode=Single+log&amp;log_id=88711984-8559-4df2-84a1-20cb3546a0de","URL")</f>
        <v>URL</v>
      </c>
      <c r="N1984" s="56" t="s">
        <v>3450</v>
      </c>
      <c r="O1984" t="str">
        <f>_xlfn.XLOOKUP(N1984,'Error-codes'!$C$2:$C$130,'Error-codes'!$B$2:$B$130, "None")</f>
        <v>xtheta sensor error</v>
      </c>
      <c r="U1984" s="81">
        <f>DATEVALUE(LEFT(F1984,10))</f>
        <v>45005</v>
      </c>
    </row>
    <row r="1985" spans="1:21">
      <c r="B1985" s="56" t="s">
        <v>3293</v>
      </c>
      <c r="C1985" s="56" t="s">
        <v>7848</v>
      </c>
      <c r="D1985" s="56" t="s">
        <v>388</v>
      </c>
      <c r="F1985" s="56" t="s">
        <v>7849</v>
      </c>
      <c r="G1985" s="56">
        <v>11</v>
      </c>
      <c r="H1985" s="56">
        <v>11</v>
      </c>
      <c r="I1985" s="56">
        <v>1</v>
      </c>
      <c r="K1985" s="56" t="s">
        <v>3207</v>
      </c>
      <c r="L1985" s="56" t="s">
        <v>6099</v>
      </c>
      <c r="O1985">
        <f>_xlfn.XLOOKUP(N1985,'Error-codes'!$C$2:$C$130,'Error-codes'!$B$2:$B$130, "None")</f>
        <v>0</v>
      </c>
      <c r="U1985" s="81">
        <f>DATEVALUE(LEFT(F1985,10))</f>
        <v>45013</v>
      </c>
    </row>
    <row r="1986" spans="1:21">
      <c r="B1986" s="56" t="s">
        <v>3293</v>
      </c>
      <c r="C1986" s="56" t="s">
        <v>7848</v>
      </c>
      <c r="D1986" s="56" t="s">
        <v>388</v>
      </c>
      <c r="F1986" s="56" t="s">
        <v>7849</v>
      </c>
      <c r="G1986" s="56">
        <v>11</v>
      </c>
      <c r="H1986" s="56">
        <v>11</v>
      </c>
      <c r="I1986" s="56">
        <v>1</v>
      </c>
      <c r="K1986" s="56" t="s">
        <v>3207</v>
      </c>
      <c r="L1986" s="56" t="s">
        <v>6099</v>
      </c>
      <c r="O1986">
        <f>_xlfn.XLOOKUP(N1986,'Error-codes'!$C$2:$C$130,'Error-codes'!$B$2:$B$130, "None")</f>
        <v>0</v>
      </c>
      <c r="U1986" s="81">
        <f>DATEVALUE(LEFT(F1986,10))</f>
        <v>45013</v>
      </c>
    </row>
    <row r="1987" spans="1:21">
      <c r="B1987" s="56" t="s">
        <v>3293</v>
      </c>
      <c r="C1987" s="56" t="s">
        <v>7850</v>
      </c>
      <c r="D1987" s="56" t="s">
        <v>22</v>
      </c>
      <c r="F1987" s="56" t="s">
        <v>7851</v>
      </c>
      <c r="G1987" s="56">
        <v>10</v>
      </c>
      <c r="H1987" s="56">
        <v>0</v>
      </c>
      <c r="I1987" s="56">
        <v>0</v>
      </c>
      <c r="K1987" s="56" t="s">
        <v>3207</v>
      </c>
      <c r="L1987" s="56" t="s">
        <v>6099</v>
      </c>
      <c r="O1987">
        <f>_xlfn.XLOOKUP(N1987,'Error-codes'!$C$2:$C$130,'Error-codes'!$B$2:$B$130, "None")</f>
        <v>0</v>
      </c>
      <c r="U1987" s="81">
        <f>DATEVALUE(LEFT(F1987,10))</f>
        <v>45013</v>
      </c>
    </row>
    <row r="1988" spans="1:21">
      <c r="B1988" s="56" t="s">
        <v>3293</v>
      </c>
      <c r="C1988" s="56" t="s">
        <v>7852</v>
      </c>
      <c r="D1988" s="56" t="s">
        <v>388</v>
      </c>
      <c r="F1988" s="56" t="s">
        <v>7853</v>
      </c>
      <c r="G1988" s="56">
        <v>11</v>
      </c>
      <c r="H1988" s="56">
        <v>11</v>
      </c>
      <c r="I1988" s="56">
        <v>1</v>
      </c>
      <c r="K1988" s="56" t="s">
        <v>3207</v>
      </c>
      <c r="L1988" s="56" t="s">
        <v>6110</v>
      </c>
      <c r="O1988">
        <f>_xlfn.XLOOKUP(N1988,'Error-codes'!$C$2:$C$130,'Error-codes'!$B$2:$B$130, "None")</f>
        <v>0</v>
      </c>
      <c r="U1988" s="81">
        <f>DATEVALUE(LEFT(F1988,10))</f>
        <v>45012</v>
      </c>
    </row>
    <row r="1989" spans="1:21">
      <c r="B1989" s="56" t="s">
        <v>3293</v>
      </c>
      <c r="C1989" s="56" t="s">
        <v>7852</v>
      </c>
      <c r="D1989" s="56" t="s">
        <v>388</v>
      </c>
      <c r="F1989" s="56" t="s">
        <v>7853</v>
      </c>
      <c r="G1989" s="56">
        <v>11</v>
      </c>
      <c r="H1989" s="56">
        <v>11</v>
      </c>
      <c r="I1989" s="56">
        <v>1</v>
      </c>
      <c r="K1989" s="56" t="s">
        <v>3207</v>
      </c>
      <c r="L1989" s="56" t="s">
        <v>6110</v>
      </c>
      <c r="O1989">
        <f>_xlfn.XLOOKUP(N1989,'Error-codes'!$C$2:$C$130,'Error-codes'!$B$2:$B$130, "None")</f>
        <v>0</v>
      </c>
      <c r="U1989" s="81">
        <f>DATEVALUE(LEFT(F1989,10))</f>
        <v>45012</v>
      </c>
    </row>
    <row r="1990" spans="1:21">
      <c r="A1990" s="56" t="s">
        <v>7854</v>
      </c>
      <c r="B1990" s="56" t="s">
        <v>3293</v>
      </c>
      <c r="C1990" s="56" t="s">
        <v>7855</v>
      </c>
      <c r="D1990" s="56" t="s">
        <v>37</v>
      </c>
      <c r="E1990" s="56" t="s">
        <v>4253</v>
      </c>
      <c r="F1990" s="56" t="s">
        <v>7856</v>
      </c>
      <c r="G1990" s="56">
        <v>11</v>
      </c>
      <c r="H1990" s="56">
        <v>2</v>
      </c>
      <c r="I1990" s="56">
        <v>0.18181818181818182</v>
      </c>
      <c r="J1990" s="56" t="s">
        <v>5246</v>
      </c>
      <c r="K1990" s="56" t="s">
        <v>3207</v>
      </c>
      <c r="L1990" s="56" t="s">
        <v>6099</v>
      </c>
      <c r="M1990" s="56" t="str">
        <f>HYPERLINK("https://dribble.octin.io/?mode=Single+log&amp;log_id=c0893b93-ff53-4fda-ac22-46fd21d7a4d8","URL")</f>
        <v>URL</v>
      </c>
      <c r="N1990" s="56" t="s">
        <v>3460</v>
      </c>
      <c r="O1990" t="str">
        <f>_xlfn.XLOOKUP(N1990,'Error-codes'!$C$2:$C$130,'Error-codes'!$B$2:$B$130, "None")</f>
        <v>motor drive: DRV8353 FAULT</v>
      </c>
      <c r="U1990" s="81">
        <f>DATEVALUE(LEFT(F1990,10))</f>
        <v>45011</v>
      </c>
    </row>
    <row r="1991" spans="1:21">
      <c r="A1991" s="56" t="s">
        <v>7857</v>
      </c>
      <c r="B1991" s="56" t="s">
        <v>3293</v>
      </c>
      <c r="C1991" s="56" t="s">
        <v>7858</v>
      </c>
      <c r="D1991" s="56" t="s">
        <v>388</v>
      </c>
      <c r="E1991" s="56" t="s">
        <v>2939</v>
      </c>
      <c r="F1991" s="56" t="s">
        <v>7859</v>
      </c>
      <c r="G1991" s="56">
        <v>11</v>
      </c>
      <c r="H1991" s="56">
        <v>7</v>
      </c>
      <c r="I1991" s="56">
        <v>0.63636363636363635</v>
      </c>
      <c r="J1991" s="56" t="s">
        <v>5521</v>
      </c>
      <c r="K1991" s="56" t="s">
        <v>3207</v>
      </c>
      <c r="L1991" s="56" t="s">
        <v>6099</v>
      </c>
      <c r="M1991" s="56" t="str">
        <f>HYPERLINK("https://dribble.octin.io/?mode=Single+log&amp;log_id=dce343ef-d7e8-4321-a80d-b2140609a8f6","URL")</f>
        <v>URL</v>
      </c>
      <c r="N1991" s="56" t="s">
        <v>3446</v>
      </c>
      <c r="O1991" t="str">
        <f>_xlfn.XLOOKUP(N1991,'Error-codes'!$C$2:$C$130,'Error-codes'!$B$2:$B$130, "None")</f>
        <v>end of lane wall sensor error</v>
      </c>
      <c r="U1991" s="81">
        <f>DATEVALUE(LEFT(F1991,10))</f>
        <v>45009</v>
      </c>
    </row>
    <row r="1992" spans="1:21">
      <c r="B1992" s="56" t="s">
        <v>3293</v>
      </c>
      <c r="C1992" s="56" t="s">
        <v>7858</v>
      </c>
      <c r="D1992" s="56" t="s">
        <v>388</v>
      </c>
      <c r="F1992" s="56" t="s">
        <v>7860</v>
      </c>
      <c r="G1992" s="56">
        <v>11</v>
      </c>
      <c r="H1992" s="56">
        <v>10</v>
      </c>
      <c r="I1992" s="56">
        <v>0.90909090909090906</v>
      </c>
      <c r="K1992" s="56" t="s">
        <v>3207</v>
      </c>
      <c r="L1992" s="56" t="s">
        <v>6099</v>
      </c>
      <c r="O1992">
        <f>_xlfn.XLOOKUP(N1992,'Error-codes'!$C$2:$C$130,'Error-codes'!$B$2:$B$130, "None")</f>
        <v>0</v>
      </c>
      <c r="U1992" s="81">
        <f>DATEVALUE(LEFT(F1992,10))</f>
        <v>45009</v>
      </c>
    </row>
    <row r="1993" spans="1:21">
      <c r="A1993" s="56" t="s">
        <v>7861</v>
      </c>
      <c r="B1993" s="56" t="s">
        <v>3293</v>
      </c>
      <c r="C1993" s="56" t="s">
        <v>7862</v>
      </c>
      <c r="D1993" s="56" t="s">
        <v>388</v>
      </c>
      <c r="E1993" s="56" t="s">
        <v>2939</v>
      </c>
      <c r="F1993" s="56" t="s">
        <v>7863</v>
      </c>
      <c r="G1993" s="56">
        <v>22</v>
      </c>
      <c r="H1993" s="56">
        <v>14</v>
      </c>
      <c r="I1993" s="56">
        <v>0.63636363636363635</v>
      </c>
      <c r="J1993" s="56" t="s">
        <v>7024</v>
      </c>
      <c r="K1993" s="56" t="s">
        <v>3207</v>
      </c>
      <c r="L1993" s="56" t="s">
        <v>3297</v>
      </c>
      <c r="M1993" s="56" t="str">
        <f>HYPERLINK("https://dribble.octin.io/?mode=Single+log&amp;log_id=a1c6f1da-9ba0-4d5b-b669-95d1cce23155","URL")</f>
        <v>URL</v>
      </c>
      <c r="N1993" s="56" t="s">
        <v>3446</v>
      </c>
      <c r="O1993" t="str">
        <f>_xlfn.XLOOKUP(N1993,'Error-codes'!$C$2:$C$130,'Error-codes'!$B$2:$B$130, "None")</f>
        <v>end of lane wall sensor error</v>
      </c>
      <c r="U1993" s="81">
        <f>DATEVALUE(LEFT(F1993,10))</f>
        <v>45008</v>
      </c>
    </row>
    <row r="1994" spans="1:21">
      <c r="A1994" s="56" t="s">
        <v>7864</v>
      </c>
      <c r="B1994" s="56" t="s">
        <v>3293</v>
      </c>
      <c r="C1994" s="56" t="s">
        <v>7862</v>
      </c>
      <c r="D1994" s="56" t="s">
        <v>388</v>
      </c>
      <c r="E1994" s="56" t="s">
        <v>2939</v>
      </c>
      <c r="F1994" s="56" t="s">
        <v>7865</v>
      </c>
      <c r="G1994" s="56">
        <v>22</v>
      </c>
      <c r="H1994" s="56">
        <v>17</v>
      </c>
      <c r="I1994" s="56">
        <v>0.77272727272727271</v>
      </c>
      <c r="J1994" s="56" t="s">
        <v>5218</v>
      </c>
      <c r="K1994" s="56" t="s">
        <v>3207</v>
      </c>
      <c r="L1994" s="56" t="s">
        <v>3297</v>
      </c>
      <c r="M1994" s="56" t="str">
        <f>HYPERLINK("https://dribble.octin.io/?mode=Single+log&amp;log_id=f797e9e3-ea04-4258-a2c9-1d8a6560cb6f","URL")</f>
        <v>URL</v>
      </c>
      <c r="N1994" s="56" t="s">
        <v>3446</v>
      </c>
      <c r="O1994" t="str">
        <f>_xlfn.XLOOKUP(N1994,'Error-codes'!$C$2:$C$130,'Error-codes'!$B$2:$B$130, "None")</f>
        <v>end of lane wall sensor error</v>
      </c>
      <c r="U1994" s="81">
        <f>DATEVALUE(LEFT(F1994,10))</f>
        <v>45008</v>
      </c>
    </row>
    <row r="1995" spans="1:21">
      <c r="B1995" s="56" t="s">
        <v>3293</v>
      </c>
      <c r="C1995" s="56" t="s">
        <v>7862</v>
      </c>
      <c r="D1995" s="56" t="s">
        <v>388</v>
      </c>
      <c r="F1995" s="56" t="s">
        <v>7866</v>
      </c>
      <c r="G1995" s="56">
        <v>22</v>
      </c>
      <c r="H1995" s="56">
        <v>20</v>
      </c>
      <c r="I1995" s="56">
        <v>0.90909090909090906</v>
      </c>
      <c r="K1995" s="56" t="s">
        <v>3207</v>
      </c>
      <c r="L1995" s="56" t="s">
        <v>3297</v>
      </c>
      <c r="O1995">
        <f>_xlfn.XLOOKUP(N1995,'Error-codes'!$C$2:$C$130,'Error-codes'!$B$2:$B$130, "None")</f>
        <v>0</v>
      </c>
      <c r="U1995" s="81">
        <f>DATEVALUE(LEFT(F1995,10))</f>
        <v>45008</v>
      </c>
    </row>
    <row r="1996" spans="1:21">
      <c r="B1996" s="56" t="s">
        <v>3293</v>
      </c>
      <c r="C1996" s="56" t="s">
        <v>7867</v>
      </c>
      <c r="D1996" s="56" t="s">
        <v>388</v>
      </c>
      <c r="F1996" s="56" t="s">
        <v>7868</v>
      </c>
      <c r="G1996" s="56">
        <v>11</v>
      </c>
      <c r="H1996" s="56">
        <v>11</v>
      </c>
      <c r="I1996" s="56">
        <v>1</v>
      </c>
      <c r="K1996" s="56" t="s">
        <v>3207</v>
      </c>
      <c r="L1996" s="56" t="s">
        <v>6110</v>
      </c>
      <c r="O1996">
        <f>_xlfn.XLOOKUP(N1996,'Error-codes'!$C$2:$C$130,'Error-codes'!$B$2:$B$130, "None")</f>
        <v>0</v>
      </c>
      <c r="U1996" s="81">
        <f>DATEVALUE(LEFT(F1996,10))</f>
        <v>45007</v>
      </c>
    </row>
    <row r="1997" spans="1:21">
      <c r="B1997" s="56" t="s">
        <v>3293</v>
      </c>
      <c r="C1997" s="56" t="s">
        <v>7867</v>
      </c>
      <c r="D1997" s="56" t="s">
        <v>388</v>
      </c>
      <c r="F1997" s="56" t="s">
        <v>7868</v>
      </c>
      <c r="G1997" s="56">
        <v>11</v>
      </c>
      <c r="H1997" s="56">
        <v>11</v>
      </c>
      <c r="I1997" s="56">
        <v>1</v>
      </c>
      <c r="K1997" s="56" t="s">
        <v>3207</v>
      </c>
      <c r="L1997" s="56" t="s">
        <v>6110</v>
      </c>
      <c r="O1997">
        <f>_xlfn.XLOOKUP(N1997,'Error-codes'!$C$2:$C$130,'Error-codes'!$B$2:$B$130, "None")</f>
        <v>0</v>
      </c>
      <c r="U1997" s="81">
        <f>DATEVALUE(LEFT(F1997,10))</f>
        <v>45007</v>
      </c>
    </row>
    <row r="1998" spans="1:21">
      <c r="B1998" s="56" t="s">
        <v>3293</v>
      </c>
      <c r="C1998" s="56" t="s">
        <v>7869</v>
      </c>
      <c r="D1998" s="56" t="s">
        <v>388</v>
      </c>
      <c r="F1998" s="56" t="s">
        <v>7870</v>
      </c>
      <c r="G1998" s="56">
        <v>11</v>
      </c>
      <c r="H1998" s="56">
        <v>11</v>
      </c>
      <c r="I1998" s="56">
        <v>1</v>
      </c>
      <c r="K1998" s="56" t="s">
        <v>3207</v>
      </c>
      <c r="L1998" s="56" t="s">
        <v>6099</v>
      </c>
      <c r="O1998">
        <f>_xlfn.XLOOKUP(N1998,'Error-codes'!$C$2:$C$130,'Error-codes'!$B$2:$B$130, "None")</f>
        <v>0</v>
      </c>
      <c r="U1998" s="81">
        <f>DATEVALUE(LEFT(F1998,10))</f>
        <v>45006</v>
      </c>
    </row>
    <row r="1999" spans="1:21">
      <c r="B1999" s="56" t="s">
        <v>3293</v>
      </c>
      <c r="C1999" s="56" t="s">
        <v>7869</v>
      </c>
      <c r="D1999" s="56" t="s">
        <v>388</v>
      </c>
      <c r="F1999" s="56" t="s">
        <v>7870</v>
      </c>
      <c r="G1999" s="56">
        <v>11</v>
      </c>
      <c r="H1999" s="56">
        <v>11</v>
      </c>
      <c r="I1999" s="56">
        <v>1</v>
      </c>
      <c r="K1999" s="56" t="s">
        <v>3207</v>
      </c>
      <c r="L1999" s="56" t="s">
        <v>6099</v>
      </c>
      <c r="O1999">
        <f>_xlfn.XLOOKUP(N1999,'Error-codes'!$C$2:$C$130,'Error-codes'!$B$2:$B$130, "None")</f>
        <v>0</v>
      </c>
      <c r="U1999" s="81">
        <f>DATEVALUE(LEFT(F1999,10))</f>
        <v>45006</v>
      </c>
    </row>
    <row r="2000" spans="1:21">
      <c r="A2000" s="56" t="s">
        <v>7871</v>
      </c>
      <c r="B2000" s="56" t="s">
        <v>3293</v>
      </c>
      <c r="C2000" s="56" t="s">
        <v>7872</v>
      </c>
      <c r="D2000" s="56"/>
      <c r="E2000" s="56" t="s">
        <v>2939</v>
      </c>
      <c r="F2000" s="56" t="s">
        <v>7873</v>
      </c>
      <c r="G2000" s="56">
        <v>20</v>
      </c>
      <c r="H2000" s="56">
        <v>4</v>
      </c>
      <c r="I2000" s="56">
        <v>0.2</v>
      </c>
      <c r="J2000" s="56" t="s">
        <v>5491</v>
      </c>
      <c r="K2000" s="56" t="s">
        <v>3207</v>
      </c>
      <c r="L2000" s="56" t="s">
        <v>5286</v>
      </c>
      <c r="M2000" s="56" t="str">
        <f>HYPERLINK("https://dribble.octin.io/?mode=Single+log&amp;log_id=c4c5f9f1-0a95-4a1a-83bc-44ee0df007b0","URL")</f>
        <v>URL</v>
      </c>
      <c r="N2000" s="56" t="s">
        <v>3446</v>
      </c>
      <c r="O2000" t="str">
        <f>_xlfn.XLOOKUP(N2000,'Error-codes'!$C$2:$C$130,'Error-codes'!$B$2:$B$130, "None")</f>
        <v>end of lane wall sensor error</v>
      </c>
      <c r="U2000" s="81">
        <f>DATEVALUE(LEFT(F2000,10))</f>
        <v>45005</v>
      </c>
    </row>
    <row r="2001" spans="1:21">
      <c r="A2001" s="56" t="s">
        <v>7874</v>
      </c>
      <c r="B2001" s="56" t="s">
        <v>3293</v>
      </c>
      <c r="C2001" s="56" t="s">
        <v>7872</v>
      </c>
      <c r="D2001" s="56"/>
      <c r="E2001" s="56"/>
      <c r="F2001" s="56" t="s">
        <v>7875</v>
      </c>
      <c r="G2001" s="56">
        <v>20</v>
      </c>
      <c r="H2001" s="56">
        <v>19</v>
      </c>
      <c r="I2001" s="56">
        <v>0.95</v>
      </c>
      <c r="J2001" s="56" t="s">
        <v>5343</v>
      </c>
      <c r="K2001" s="56" t="s">
        <v>3207</v>
      </c>
      <c r="L2001" s="56" t="s">
        <v>5286</v>
      </c>
      <c r="M2001" s="56" t="str">
        <f>HYPERLINK("https://dribble.octin.io/?mode=Single+log&amp;log_id=7bacd616-2284-41ec-a137-5478c8bcdc2e","URL")</f>
        <v>URL</v>
      </c>
      <c r="N2001" s="56" t="s">
        <v>2933</v>
      </c>
      <c r="O2001" t="str">
        <f>_xlfn.XLOOKUP(N2001,'Error-codes'!$C$2:$C$130,'Error-codes'!$B$2:$B$130, "None")</f>
        <v>inductive sensor error</v>
      </c>
      <c r="U2001" s="81">
        <f>DATEVALUE(LEFT(F2001,10))</f>
        <v>45005</v>
      </c>
    </row>
    <row r="2002" spans="1:21">
      <c r="A2002" s="56"/>
      <c r="B2002" s="56" t="s">
        <v>3771</v>
      </c>
      <c r="C2002" s="56" t="s">
        <v>7876</v>
      </c>
      <c r="D2002" s="56" t="s">
        <v>37</v>
      </c>
      <c r="E2002" s="56" t="s">
        <v>4564</v>
      </c>
      <c r="F2002" s="56" t="s">
        <v>7877</v>
      </c>
      <c r="G2002" s="56">
        <v>152</v>
      </c>
      <c r="H2002" s="56">
        <v>28</v>
      </c>
      <c r="I2002" s="56">
        <v>0.18421052631578946</v>
      </c>
      <c r="J2002" s="56" t="s">
        <v>5011</v>
      </c>
      <c r="K2002" s="56" t="s">
        <v>3207</v>
      </c>
      <c r="L2002" s="56" t="s">
        <v>3775</v>
      </c>
      <c r="N2002" s="56" t="s">
        <v>5798</v>
      </c>
      <c r="O2002" t="str">
        <f>_xlfn.XLOOKUP(N2002,'Error-codes'!$C$2:$C$130,'Error-codes'!$B$2:$B$130, "None")</f>
        <v>None</v>
      </c>
      <c r="U2002" s="81">
        <f>DATEVALUE(LEFT(F2002,10))</f>
        <v>45011</v>
      </c>
    </row>
    <row r="2003" spans="1:21">
      <c r="B2003" s="56" t="s">
        <v>3771</v>
      </c>
      <c r="C2003" s="56" t="s">
        <v>7878</v>
      </c>
      <c r="D2003" s="56" t="s">
        <v>388</v>
      </c>
      <c r="F2003" s="56" t="s">
        <v>7879</v>
      </c>
      <c r="G2003" s="56">
        <v>125</v>
      </c>
      <c r="H2003" s="56">
        <v>125</v>
      </c>
      <c r="I2003" s="56">
        <v>1</v>
      </c>
      <c r="K2003" s="56" t="s">
        <v>3207</v>
      </c>
      <c r="L2003" s="56" t="s">
        <v>3775</v>
      </c>
      <c r="O2003">
        <f>_xlfn.XLOOKUP(N2003,'Error-codes'!$C$2:$C$130,'Error-codes'!$B$2:$B$130, "None")</f>
        <v>0</v>
      </c>
      <c r="U2003" s="81">
        <f>DATEVALUE(LEFT(F2003,10))</f>
        <v>45012</v>
      </c>
    </row>
    <row r="2004" spans="1:21">
      <c r="B2004" s="56" t="s">
        <v>3771</v>
      </c>
      <c r="C2004" s="56" t="s">
        <v>7878</v>
      </c>
      <c r="D2004" s="56" t="s">
        <v>388</v>
      </c>
      <c r="F2004" s="56" t="s">
        <v>7879</v>
      </c>
      <c r="G2004" s="56">
        <v>125</v>
      </c>
      <c r="H2004" s="56">
        <v>125</v>
      </c>
      <c r="I2004" s="56">
        <v>1</v>
      </c>
      <c r="K2004" s="56" t="s">
        <v>3207</v>
      </c>
      <c r="L2004" s="56" t="s">
        <v>3775</v>
      </c>
      <c r="O2004">
        <f>_xlfn.XLOOKUP(N2004,'Error-codes'!$C$2:$C$130,'Error-codes'!$B$2:$B$130, "None")</f>
        <v>0</v>
      </c>
      <c r="U2004" s="81">
        <f>DATEVALUE(LEFT(F2004,10))</f>
        <v>45012</v>
      </c>
    </row>
    <row r="2005" spans="1:21">
      <c r="B2005" s="56" t="s">
        <v>5394</v>
      </c>
      <c r="C2005" s="56" t="s">
        <v>7880</v>
      </c>
      <c r="D2005" s="56" t="s">
        <v>388</v>
      </c>
      <c r="F2005" s="56" t="s">
        <v>7881</v>
      </c>
      <c r="G2005" s="56">
        <v>120</v>
      </c>
      <c r="H2005" s="56">
        <v>120</v>
      </c>
      <c r="I2005" s="56">
        <v>1</v>
      </c>
      <c r="K2005" s="56" t="s">
        <v>1893</v>
      </c>
      <c r="L2005" s="56" t="s">
        <v>6059</v>
      </c>
      <c r="O2005">
        <f>_xlfn.XLOOKUP(N2005,'Error-codes'!$C$2:$C$130,'Error-codes'!$B$2:$B$130, "None")</f>
        <v>0</v>
      </c>
      <c r="U2005" s="81">
        <f>DATEVALUE(LEFT(F2005,10))</f>
        <v>45014</v>
      </c>
    </row>
    <row r="2006" spans="1:21">
      <c r="B2006" s="56" t="s">
        <v>5394</v>
      </c>
      <c r="C2006" s="56" t="s">
        <v>7880</v>
      </c>
      <c r="D2006" s="56" t="s">
        <v>388</v>
      </c>
      <c r="F2006" s="56" t="s">
        <v>7881</v>
      </c>
      <c r="G2006" s="56">
        <v>120</v>
      </c>
      <c r="H2006" s="56">
        <v>120</v>
      </c>
      <c r="I2006" s="56">
        <v>1</v>
      </c>
      <c r="K2006" s="56" t="s">
        <v>1893</v>
      </c>
      <c r="L2006" s="56" t="s">
        <v>6059</v>
      </c>
      <c r="O2006">
        <f>_xlfn.XLOOKUP(N2006,'Error-codes'!$C$2:$C$130,'Error-codes'!$B$2:$B$130, "None")</f>
        <v>0</v>
      </c>
      <c r="U2006" s="81">
        <f>DATEVALUE(LEFT(F2006,10))</f>
        <v>45014</v>
      </c>
    </row>
    <row r="2007" spans="1:21">
      <c r="A2007" s="56"/>
      <c r="B2007" s="56" t="s">
        <v>5394</v>
      </c>
      <c r="C2007" s="56" t="s">
        <v>7882</v>
      </c>
      <c r="D2007" s="56" t="s">
        <v>37</v>
      </c>
      <c r="E2007" s="56" t="s">
        <v>2939</v>
      </c>
      <c r="F2007" s="56" t="s">
        <v>7883</v>
      </c>
      <c r="G2007" s="56">
        <v>129</v>
      </c>
      <c r="H2007" s="56">
        <v>47</v>
      </c>
      <c r="I2007" s="56">
        <v>0.36434108527131781</v>
      </c>
      <c r="J2007" s="56" t="s">
        <v>7884</v>
      </c>
      <c r="K2007" s="56" t="s">
        <v>1893</v>
      </c>
      <c r="L2007" s="56" t="s">
        <v>6059</v>
      </c>
      <c r="N2007" s="56" t="s">
        <v>3474</v>
      </c>
      <c r="O2007" t="str">
        <f>_xlfn.XLOOKUP(N2007,'Error-codes'!$C$2:$C$130,'Error-codes'!$B$2:$B$130, "None")</f>
        <v>unexpected uv lamp state switch</v>
      </c>
      <c r="U2007" s="81">
        <f>DATEVALUE(LEFT(F2007,10))</f>
        <v>45010</v>
      </c>
    </row>
    <row r="2008" spans="1:21">
      <c r="A2008" s="56"/>
      <c r="B2008" s="56" t="s">
        <v>5394</v>
      </c>
      <c r="C2008" s="56" t="s">
        <v>7882</v>
      </c>
      <c r="D2008" s="56" t="s">
        <v>37</v>
      </c>
      <c r="E2008" s="56" t="s">
        <v>2939</v>
      </c>
      <c r="F2008" s="56" t="s">
        <v>7885</v>
      </c>
      <c r="G2008" s="56">
        <v>129</v>
      </c>
      <c r="H2008" s="56">
        <v>49</v>
      </c>
      <c r="I2008" s="56">
        <v>0.37984496124031009</v>
      </c>
      <c r="J2008" s="56" t="s">
        <v>7886</v>
      </c>
      <c r="K2008" s="56" t="s">
        <v>1893</v>
      </c>
      <c r="L2008" s="56" t="s">
        <v>6059</v>
      </c>
      <c r="N2008" s="56" t="s">
        <v>3476</v>
      </c>
      <c r="O2008" t="str">
        <f>_xlfn.XLOOKUP(N2008,'Error-codes'!$C$2:$C$130,'Error-codes'!$B$2:$B$130, "None")</f>
        <v>failed to switch uv lamp state</v>
      </c>
      <c r="U2008" s="81">
        <f>DATEVALUE(LEFT(F2008,10))</f>
        <v>45010</v>
      </c>
    </row>
    <row r="2009" spans="1:21">
      <c r="A2009" s="56"/>
      <c r="B2009" s="56" t="s">
        <v>5394</v>
      </c>
      <c r="C2009" s="56" t="s">
        <v>7882</v>
      </c>
      <c r="D2009" s="56" t="s">
        <v>37</v>
      </c>
      <c r="E2009" s="56" t="s">
        <v>2939</v>
      </c>
      <c r="F2009" s="56" t="s">
        <v>7887</v>
      </c>
      <c r="G2009" s="56">
        <v>129</v>
      </c>
      <c r="H2009" s="56">
        <v>51</v>
      </c>
      <c r="I2009" s="56">
        <v>0.39534883720930231</v>
      </c>
      <c r="J2009" s="56" t="s">
        <v>7888</v>
      </c>
      <c r="K2009" s="56" t="s">
        <v>1893</v>
      </c>
      <c r="L2009" s="56" t="s">
        <v>6059</v>
      </c>
      <c r="N2009" s="56" t="s">
        <v>3476</v>
      </c>
      <c r="O2009" t="str">
        <f>_xlfn.XLOOKUP(N2009,'Error-codes'!$C$2:$C$130,'Error-codes'!$B$2:$B$130, "None")</f>
        <v>failed to switch uv lamp state</v>
      </c>
      <c r="U2009" s="81">
        <f>DATEVALUE(LEFT(F2009,10))</f>
        <v>45010</v>
      </c>
    </row>
    <row r="2010" spans="1:21">
      <c r="A2010" s="56"/>
      <c r="B2010" s="56" t="s">
        <v>5394</v>
      </c>
      <c r="C2010" s="56" t="s">
        <v>7882</v>
      </c>
      <c r="D2010" s="56" t="s">
        <v>37</v>
      </c>
      <c r="E2010" s="56" t="s">
        <v>2939</v>
      </c>
      <c r="F2010" s="56" t="s">
        <v>7889</v>
      </c>
      <c r="G2010" s="56">
        <v>129</v>
      </c>
      <c r="H2010" s="56">
        <v>53</v>
      </c>
      <c r="I2010" s="56">
        <v>0.41085271317829458</v>
      </c>
      <c r="J2010" s="56" t="s">
        <v>7890</v>
      </c>
      <c r="K2010" s="56" t="s">
        <v>1893</v>
      </c>
      <c r="L2010" s="56" t="s">
        <v>6059</v>
      </c>
      <c r="N2010" s="56" t="s">
        <v>3476</v>
      </c>
      <c r="O2010" t="str">
        <f>_xlfn.XLOOKUP(N2010,'Error-codes'!$C$2:$C$130,'Error-codes'!$B$2:$B$130, "None")</f>
        <v>failed to switch uv lamp state</v>
      </c>
      <c r="U2010" s="81">
        <f>DATEVALUE(LEFT(F2010,10))</f>
        <v>45010</v>
      </c>
    </row>
    <row r="2011" spans="1:21">
      <c r="A2011" s="56"/>
      <c r="B2011" s="56" t="s">
        <v>5394</v>
      </c>
      <c r="C2011" s="56" t="s">
        <v>7882</v>
      </c>
      <c r="D2011" s="56" t="s">
        <v>37</v>
      </c>
      <c r="E2011" s="56" t="s">
        <v>2939</v>
      </c>
      <c r="F2011" s="56" t="s">
        <v>7891</v>
      </c>
      <c r="G2011" s="56">
        <v>129</v>
      </c>
      <c r="H2011" s="56">
        <v>55</v>
      </c>
      <c r="I2011" s="56">
        <v>0.4263565891472868</v>
      </c>
      <c r="J2011" s="56" t="s">
        <v>6599</v>
      </c>
      <c r="K2011" s="56" t="s">
        <v>1893</v>
      </c>
      <c r="L2011" s="56" t="s">
        <v>6059</v>
      </c>
      <c r="N2011" s="56" t="s">
        <v>3476</v>
      </c>
      <c r="O2011" t="str">
        <f>_xlfn.XLOOKUP(N2011,'Error-codes'!$C$2:$C$130,'Error-codes'!$B$2:$B$130, "None")</f>
        <v>failed to switch uv lamp state</v>
      </c>
      <c r="U2011" s="81">
        <f>DATEVALUE(LEFT(F2011,10))</f>
        <v>45010</v>
      </c>
    </row>
    <row r="2012" spans="1:21">
      <c r="A2012" s="56"/>
      <c r="B2012" s="56" t="s">
        <v>5394</v>
      </c>
      <c r="C2012" s="56" t="s">
        <v>7882</v>
      </c>
      <c r="D2012" s="56" t="s">
        <v>37</v>
      </c>
      <c r="E2012" s="56" t="s">
        <v>2939</v>
      </c>
      <c r="F2012" s="56" t="s">
        <v>7892</v>
      </c>
      <c r="G2012" s="56">
        <v>129</v>
      </c>
      <c r="H2012" s="56">
        <v>57</v>
      </c>
      <c r="I2012" s="56">
        <v>0.44186046511627908</v>
      </c>
      <c r="J2012" s="56" t="s">
        <v>7893</v>
      </c>
      <c r="K2012" s="56" t="s">
        <v>1893</v>
      </c>
      <c r="L2012" s="56" t="s">
        <v>6059</v>
      </c>
      <c r="N2012" s="56" t="s">
        <v>3476</v>
      </c>
      <c r="O2012" t="str">
        <f>_xlfn.XLOOKUP(N2012,'Error-codes'!$C$2:$C$130,'Error-codes'!$B$2:$B$130, "None")</f>
        <v>failed to switch uv lamp state</v>
      </c>
      <c r="U2012" s="81">
        <f>DATEVALUE(LEFT(F2012,10))</f>
        <v>45010</v>
      </c>
    </row>
    <row r="2013" spans="1:21">
      <c r="A2013" s="56"/>
      <c r="B2013" s="56" t="s">
        <v>5394</v>
      </c>
      <c r="C2013" s="56" t="s">
        <v>7882</v>
      </c>
      <c r="D2013" s="56" t="s">
        <v>37</v>
      </c>
      <c r="E2013" s="56" t="s">
        <v>2939</v>
      </c>
      <c r="F2013" s="56" t="s">
        <v>7894</v>
      </c>
      <c r="G2013" s="56">
        <v>129</v>
      </c>
      <c r="H2013" s="56">
        <v>59</v>
      </c>
      <c r="I2013" s="56">
        <v>0.4573643410852713</v>
      </c>
      <c r="J2013" s="56" t="s">
        <v>7895</v>
      </c>
      <c r="K2013" s="56" t="s">
        <v>1893</v>
      </c>
      <c r="L2013" s="56" t="s">
        <v>6059</v>
      </c>
      <c r="N2013" s="56" t="s">
        <v>3476</v>
      </c>
      <c r="O2013" t="str">
        <f>_xlfn.XLOOKUP(N2013,'Error-codes'!$C$2:$C$130,'Error-codes'!$B$2:$B$130, "None")</f>
        <v>failed to switch uv lamp state</v>
      </c>
      <c r="U2013" s="81">
        <f>DATEVALUE(LEFT(F2013,10))</f>
        <v>45010</v>
      </c>
    </row>
    <row r="2014" spans="1:21">
      <c r="A2014" s="56"/>
      <c r="B2014" s="56" t="s">
        <v>5394</v>
      </c>
      <c r="C2014" s="56" t="s">
        <v>7882</v>
      </c>
      <c r="D2014" s="56" t="s">
        <v>37</v>
      </c>
      <c r="E2014" s="56" t="s">
        <v>2939</v>
      </c>
      <c r="F2014" s="56" t="s">
        <v>7896</v>
      </c>
      <c r="G2014" s="56">
        <v>129</v>
      </c>
      <c r="H2014" s="56">
        <v>61</v>
      </c>
      <c r="I2014" s="56">
        <v>0.47286821705426357</v>
      </c>
      <c r="J2014" s="56" t="s">
        <v>7897</v>
      </c>
      <c r="K2014" s="56" t="s">
        <v>1893</v>
      </c>
      <c r="L2014" s="56" t="s">
        <v>6059</v>
      </c>
      <c r="N2014" s="56" t="s">
        <v>3476</v>
      </c>
      <c r="O2014" t="str">
        <f>_xlfn.XLOOKUP(N2014,'Error-codes'!$C$2:$C$130,'Error-codes'!$B$2:$B$130, "None")</f>
        <v>failed to switch uv lamp state</v>
      </c>
      <c r="U2014" s="81">
        <f>DATEVALUE(LEFT(F2014,10))</f>
        <v>45010</v>
      </c>
    </row>
    <row r="2015" spans="1:21">
      <c r="A2015" s="56"/>
      <c r="B2015" s="56" t="s">
        <v>5394</v>
      </c>
      <c r="C2015" s="56" t="s">
        <v>7882</v>
      </c>
      <c r="D2015" s="56" t="s">
        <v>37</v>
      </c>
      <c r="E2015" s="56" t="s">
        <v>2939</v>
      </c>
      <c r="F2015" s="56" t="s">
        <v>7898</v>
      </c>
      <c r="G2015" s="56">
        <v>129</v>
      </c>
      <c r="H2015" s="56">
        <v>63</v>
      </c>
      <c r="I2015" s="56">
        <v>0.48837209302325579</v>
      </c>
      <c r="J2015" s="56" t="s">
        <v>7899</v>
      </c>
      <c r="K2015" s="56" t="s">
        <v>1893</v>
      </c>
      <c r="L2015" s="56" t="s">
        <v>6059</v>
      </c>
      <c r="N2015" s="56" t="s">
        <v>3476</v>
      </c>
      <c r="O2015" t="str">
        <f>_xlfn.XLOOKUP(N2015,'Error-codes'!$C$2:$C$130,'Error-codes'!$B$2:$B$130, "None")</f>
        <v>failed to switch uv lamp state</v>
      </c>
      <c r="U2015" s="81">
        <f>DATEVALUE(LEFT(F2015,10))</f>
        <v>45010</v>
      </c>
    </row>
    <row r="2016" spans="1:21">
      <c r="A2016" s="56"/>
      <c r="B2016" s="56" t="s">
        <v>5394</v>
      </c>
      <c r="C2016" s="56" t="s">
        <v>7882</v>
      </c>
      <c r="D2016" s="56" t="s">
        <v>37</v>
      </c>
      <c r="E2016" s="56" t="s">
        <v>4592</v>
      </c>
      <c r="F2016" s="56" t="s">
        <v>7900</v>
      </c>
      <c r="G2016" s="56">
        <v>129</v>
      </c>
      <c r="H2016" s="56">
        <v>65</v>
      </c>
      <c r="I2016" s="56">
        <v>0.50387596899224807</v>
      </c>
      <c r="J2016" s="56" t="s">
        <v>7901</v>
      </c>
      <c r="K2016" s="56" t="s">
        <v>1893</v>
      </c>
      <c r="L2016" s="56" t="s">
        <v>6059</v>
      </c>
      <c r="N2016" s="56" t="s">
        <v>3476</v>
      </c>
      <c r="O2016" t="str">
        <f>_xlfn.XLOOKUP(N2016,'Error-codes'!$C$2:$C$130,'Error-codes'!$B$2:$B$130, "None")</f>
        <v>failed to switch uv lamp state</v>
      </c>
      <c r="U2016" s="81">
        <f>DATEVALUE(LEFT(F2016,10))</f>
        <v>45010</v>
      </c>
    </row>
    <row r="2017" spans="1:21">
      <c r="A2017" s="56"/>
      <c r="B2017" s="56" t="s">
        <v>5394</v>
      </c>
      <c r="C2017" s="56" t="s">
        <v>7902</v>
      </c>
      <c r="D2017" s="56" t="s">
        <v>388</v>
      </c>
      <c r="E2017" s="56" t="s">
        <v>2939</v>
      </c>
      <c r="F2017" s="56" t="s">
        <v>7903</v>
      </c>
      <c r="G2017" s="56">
        <v>121</v>
      </c>
      <c r="H2017" s="56">
        <v>108</v>
      </c>
      <c r="I2017" s="56">
        <v>0.8925619834710744</v>
      </c>
      <c r="J2017" s="56" t="s">
        <v>7904</v>
      </c>
      <c r="K2017" s="56" t="s">
        <v>1873</v>
      </c>
      <c r="L2017" s="56" t="s">
        <v>6059</v>
      </c>
      <c r="N2017" s="56" t="s">
        <v>3466</v>
      </c>
      <c r="O2017" t="str">
        <f>_xlfn.XLOOKUP(N2017,'Error-codes'!$C$2:$C$130,'Error-codes'!$B$2:$B$130, "None")</f>
        <v>vision error</v>
      </c>
      <c r="U2017" s="81">
        <f>DATEVALUE(LEFT(F2017,10))</f>
        <v>45010</v>
      </c>
    </row>
    <row r="2018" spans="1:21">
      <c r="B2018" s="56" t="s">
        <v>5394</v>
      </c>
      <c r="C2018" s="56" t="s">
        <v>7902</v>
      </c>
      <c r="D2018" s="56" t="s">
        <v>388</v>
      </c>
      <c r="F2018" s="56" t="s">
        <v>7905</v>
      </c>
      <c r="G2018" s="56">
        <v>121</v>
      </c>
      <c r="H2018" s="56">
        <v>120</v>
      </c>
      <c r="I2018" s="56">
        <v>0.99173553719008267</v>
      </c>
      <c r="K2018" s="56" t="s">
        <v>1873</v>
      </c>
      <c r="L2018" s="56" t="s">
        <v>6059</v>
      </c>
      <c r="O2018">
        <f>_xlfn.XLOOKUP(N2018,'Error-codes'!$C$2:$C$130,'Error-codes'!$B$2:$B$130, "None")</f>
        <v>0</v>
      </c>
      <c r="U2018" s="81">
        <f>DATEVALUE(LEFT(F2018,10))</f>
        <v>45010</v>
      </c>
    </row>
    <row r="2019" spans="1:21">
      <c r="B2019" s="56" t="s">
        <v>5394</v>
      </c>
      <c r="C2019" s="56" t="s">
        <v>7906</v>
      </c>
      <c r="D2019" s="56" t="s">
        <v>388</v>
      </c>
      <c r="F2019" s="56" t="s">
        <v>7907</v>
      </c>
      <c r="G2019" s="56">
        <v>68</v>
      </c>
      <c r="H2019" s="56">
        <v>68</v>
      </c>
      <c r="I2019" s="56">
        <v>1</v>
      </c>
      <c r="K2019" s="56" t="s">
        <v>1893</v>
      </c>
      <c r="L2019" s="56" t="s">
        <v>6059</v>
      </c>
      <c r="O2019">
        <f>_xlfn.XLOOKUP(N2019,'Error-codes'!$C$2:$C$130,'Error-codes'!$B$2:$B$130, "None")</f>
        <v>0</v>
      </c>
      <c r="U2019" s="81">
        <f>DATEVALUE(LEFT(F2019,10))</f>
        <v>45009</v>
      </c>
    </row>
    <row r="2020" spans="1:21">
      <c r="B2020" s="56" t="s">
        <v>5394</v>
      </c>
      <c r="C2020" s="56" t="s">
        <v>7906</v>
      </c>
      <c r="D2020" s="56" t="s">
        <v>388</v>
      </c>
      <c r="F2020" s="56" t="s">
        <v>7907</v>
      </c>
      <c r="G2020" s="56">
        <v>68</v>
      </c>
      <c r="H2020" s="56">
        <v>68</v>
      </c>
      <c r="I2020" s="56">
        <v>1</v>
      </c>
      <c r="K2020" s="56" t="s">
        <v>1893</v>
      </c>
      <c r="L2020" s="56" t="s">
        <v>6059</v>
      </c>
      <c r="O2020">
        <f>_xlfn.XLOOKUP(N2020,'Error-codes'!$C$2:$C$130,'Error-codes'!$B$2:$B$130, "None")</f>
        <v>0</v>
      </c>
      <c r="U2020" s="81">
        <f>DATEVALUE(LEFT(F2020,10))</f>
        <v>45009</v>
      </c>
    </row>
    <row r="2021" spans="1:21">
      <c r="A2021" s="56"/>
      <c r="B2021" s="56" t="s">
        <v>5394</v>
      </c>
      <c r="C2021" s="56" t="s">
        <v>7908</v>
      </c>
      <c r="D2021" s="56" t="s">
        <v>37</v>
      </c>
      <c r="E2021" s="56" t="s">
        <v>4351</v>
      </c>
      <c r="F2021" s="56" t="s">
        <v>7909</v>
      </c>
      <c r="G2021" s="56">
        <v>120</v>
      </c>
      <c r="H2021" s="56">
        <v>53</v>
      </c>
      <c r="I2021" s="56">
        <v>0.44166666666666665</v>
      </c>
      <c r="J2021" s="56" t="s">
        <v>7895</v>
      </c>
      <c r="K2021" s="56" t="s">
        <v>1893</v>
      </c>
      <c r="L2021" s="56" t="s">
        <v>6059</v>
      </c>
      <c r="N2021" s="56" t="s">
        <v>3472</v>
      </c>
      <c r="O2021" t="str">
        <f>_xlfn.XLOOKUP(N2021,'Error-codes'!$C$2:$C$130,'Error-codes'!$B$2:$B$130, "None")</f>
        <v>Excessive slip detected</v>
      </c>
      <c r="U2021" s="81">
        <f>DATEVALUE(LEFT(F2021,10))</f>
        <v>45008</v>
      </c>
    </row>
    <row r="2022" spans="1:21">
      <c r="A2022" s="56" t="s">
        <v>7910</v>
      </c>
      <c r="B2022" s="56" t="s">
        <v>5394</v>
      </c>
      <c r="C2022" s="56" t="s">
        <v>7911</v>
      </c>
      <c r="D2022" s="56" t="s">
        <v>388</v>
      </c>
      <c r="E2022" s="56" t="s">
        <v>2939</v>
      </c>
      <c r="F2022" s="56" t="s">
        <v>7912</v>
      </c>
      <c r="G2022" s="56">
        <v>121</v>
      </c>
      <c r="H2022" s="56">
        <v>87</v>
      </c>
      <c r="I2022" s="56">
        <v>0.71900826446280997</v>
      </c>
      <c r="J2022" s="56" t="s">
        <v>7913</v>
      </c>
      <c r="K2022" s="56" t="s">
        <v>1873</v>
      </c>
      <c r="L2022" s="56" t="s">
        <v>6059</v>
      </c>
      <c r="M2022" s="56" t="str">
        <f>HYPERLINK("https://dribble.octin.io/?mode=Single+log&amp;log_id=4722ecbb-5336-4983-9972-6872f7ea45aa","URL")</f>
        <v>URL</v>
      </c>
      <c r="N2022" s="56" t="s">
        <v>2933</v>
      </c>
      <c r="O2022" t="str">
        <f>_xlfn.XLOOKUP(N2022,'Error-codes'!$C$2:$C$130,'Error-codes'!$B$2:$B$130, "None")</f>
        <v>inductive sensor error</v>
      </c>
      <c r="U2022" s="81">
        <f>DATEVALUE(LEFT(F2022,10))</f>
        <v>45008</v>
      </c>
    </row>
    <row r="2023" spans="1:21">
      <c r="B2023" s="56" t="s">
        <v>5394</v>
      </c>
      <c r="C2023" s="56" t="s">
        <v>7911</v>
      </c>
      <c r="D2023" s="56" t="s">
        <v>388</v>
      </c>
      <c r="F2023" s="56" t="s">
        <v>7914</v>
      </c>
      <c r="G2023" s="56">
        <v>121</v>
      </c>
      <c r="H2023" s="56">
        <v>120</v>
      </c>
      <c r="I2023" s="56">
        <v>0.99173553719008267</v>
      </c>
      <c r="K2023" s="56" t="s">
        <v>1873</v>
      </c>
      <c r="L2023" s="56" t="s">
        <v>6059</v>
      </c>
      <c r="O2023">
        <f>_xlfn.XLOOKUP(N2023,'Error-codes'!$C$2:$C$130,'Error-codes'!$B$2:$B$130, "None")</f>
        <v>0</v>
      </c>
      <c r="U2023" s="81">
        <f>DATEVALUE(LEFT(F2023,10))</f>
        <v>45008</v>
      </c>
    </row>
    <row r="2024" spans="1:21">
      <c r="A2024" s="56" t="s">
        <v>7915</v>
      </c>
      <c r="B2024" s="56" t="s">
        <v>5394</v>
      </c>
      <c r="C2024" s="56" t="s">
        <v>7916</v>
      </c>
      <c r="D2024" s="56" t="s">
        <v>37</v>
      </c>
      <c r="E2024" s="56" t="s">
        <v>3288</v>
      </c>
      <c r="F2024" s="56" t="s">
        <v>7917</v>
      </c>
      <c r="G2024" s="56">
        <v>86</v>
      </c>
      <c r="H2024" s="56">
        <v>16</v>
      </c>
      <c r="I2024" s="56">
        <v>0.18604651162790697</v>
      </c>
      <c r="J2024" s="56" t="s">
        <v>6792</v>
      </c>
      <c r="K2024" s="56" t="s">
        <v>1873</v>
      </c>
      <c r="L2024" s="56" t="s">
        <v>6059</v>
      </c>
      <c r="M2024" s="56" t="str">
        <f>HYPERLINK("https://dribble.octin.io/?mode=Single+log&amp;log_id=217fbf34-f0b5-4bed-bad9-8f722e15aefc","URL")</f>
        <v>URL</v>
      </c>
      <c r="N2024" s="56" t="s">
        <v>3446</v>
      </c>
      <c r="O2024" t="str">
        <f>_xlfn.XLOOKUP(N2024,'Error-codes'!$C$2:$C$130,'Error-codes'!$B$2:$B$130, "None")</f>
        <v>end of lane wall sensor error</v>
      </c>
      <c r="U2024" s="81">
        <f>DATEVALUE(LEFT(F2024,10))</f>
        <v>45006</v>
      </c>
    </row>
    <row r="2025" spans="1:21">
      <c r="A2025" s="56" t="s">
        <v>7918</v>
      </c>
      <c r="B2025" s="56" t="s">
        <v>5394</v>
      </c>
      <c r="C2025" s="56" t="s">
        <v>7919</v>
      </c>
      <c r="D2025" s="56" t="s">
        <v>37</v>
      </c>
      <c r="E2025" s="56" t="s">
        <v>4774</v>
      </c>
      <c r="F2025" s="56" t="s">
        <v>7920</v>
      </c>
      <c r="G2025" s="56">
        <v>87</v>
      </c>
      <c r="H2025" s="56">
        <v>2</v>
      </c>
      <c r="I2025" s="56">
        <v>2.2988505747126436E-2</v>
      </c>
      <c r="J2025" s="56" t="s">
        <v>7921</v>
      </c>
      <c r="K2025" s="56" t="s">
        <v>1873</v>
      </c>
      <c r="L2025" s="56" t="s">
        <v>6059</v>
      </c>
      <c r="M2025" s="56" t="str">
        <f>HYPERLINK("https://dribble.octin.io/?mode=Single+log&amp;log_id=f8ddfa04-94bf-4933-8f40-ad78db4cf999","URL")</f>
        <v>URL</v>
      </c>
      <c r="N2025" s="56" t="s">
        <v>3450</v>
      </c>
      <c r="O2025" t="str">
        <f>_xlfn.XLOOKUP(N2025,'Error-codes'!$C$2:$C$130,'Error-codes'!$B$2:$B$130, "None")</f>
        <v>xtheta sensor error</v>
      </c>
      <c r="U2025" s="81">
        <f>DATEVALUE(LEFT(F2025,10))</f>
        <v>45006</v>
      </c>
    </row>
    <row r="2026" spans="1:21">
      <c r="A2026" s="56" t="s">
        <v>7922</v>
      </c>
      <c r="B2026" s="56" t="s">
        <v>5394</v>
      </c>
      <c r="C2026" s="56" t="s">
        <v>7923</v>
      </c>
      <c r="D2026" s="56" t="s">
        <v>37</v>
      </c>
      <c r="E2026" s="56" t="s">
        <v>4774</v>
      </c>
      <c r="F2026" s="56" t="s">
        <v>7924</v>
      </c>
      <c r="G2026" s="56">
        <v>120</v>
      </c>
      <c r="H2026" s="56">
        <v>34</v>
      </c>
      <c r="I2026" s="56">
        <v>0.28333333333333333</v>
      </c>
      <c r="J2026" s="56" t="s">
        <v>7925</v>
      </c>
      <c r="K2026" s="56" t="s">
        <v>1873</v>
      </c>
      <c r="L2026" s="56" t="s">
        <v>6059</v>
      </c>
      <c r="M2026" s="56" t="str">
        <f>HYPERLINK("https://dribble.octin.io/?mode=Single+log&amp;log_id=195b44df-9551-4bde-84a3-714456e3744c","URL")</f>
        <v>URL</v>
      </c>
      <c r="N2026" s="56" t="s">
        <v>3450</v>
      </c>
      <c r="O2026" t="str">
        <f>_xlfn.XLOOKUP(N2026,'Error-codes'!$C$2:$C$130,'Error-codes'!$B$2:$B$130, "None")</f>
        <v>xtheta sensor error</v>
      </c>
      <c r="U2026" s="81">
        <f>DATEVALUE(LEFT(F2026,10))</f>
        <v>45006</v>
      </c>
    </row>
    <row r="2027" spans="1:21">
      <c r="B2027" s="56" t="s">
        <v>5394</v>
      </c>
      <c r="C2027" s="56" t="s">
        <v>7926</v>
      </c>
      <c r="D2027" s="56" t="s">
        <v>388</v>
      </c>
      <c r="F2027" s="56" t="s">
        <v>7927</v>
      </c>
      <c r="G2027" s="56">
        <v>120</v>
      </c>
      <c r="H2027" s="56">
        <v>120</v>
      </c>
      <c r="I2027" s="56">
        <v>1</v>
      </c>
      <c r="K2027" s="56" t="s">
        <v>1893</v>
      </c>
      <c r="L2027" s="56" t="s">
        <v>6059</v>
      </c>
      <c r="O2027">
        <f>_xlfn.XLOOKUP(N2027,'Error-codes'!$C$2:$C$130,'Error-codes'!$B$2:$B$130, "None")</f>
        <v>0</v>
      </c>
      <c r="U2027" s="81">
        <f>DATEVALUE(LEFT(F2027,10))</f>
        <v>45006</v>
      </c>
    </row>
    <row r="2028" spans="1:21">
      <c r="B2028" s="56" t="s">
        <v>5394</v>
      </c>
      <c r="C2028" s="56" t="s">
        <v>7926</v>
      </c>
      <c r="D2028" s="56" t="s">
        <v>388</v>
      </c>
      <c r="F2028" s="56" t="s">
        <v>7927</v>
      </c>
      <c r="G2028" s="56">
        <v>120</v>
      </c>
      <c r="H2028" s="56">
        <v>120</v>
      </c>
      <c r="I2028" s="56">
        <v>1</v>
      </c>
      <c r="K2028" s="56" t="s">
        <v>1893</v>
      </c>
      <c r="L2028" s="56" t="s">
        <v>6059</v>
      </c>
      <c r="O2028">
        <f>_xlfn.XLOOKUP(N2028,'Error-codes'!$C$2:$C$130,'Error-codes'!$B$2:$B$130, "None")</f>
        <v>0</v>
      </c>
      <c r="U2028" s="81">
        <f>DATEVALUE(LEFT(F2028,10))</f>
        <v>45006</v>
      </c>
    </row>
    <row r="2029" spans="1:21">
      <c r="B2029" s="56" t="s">
        <v>5394</v>
      </c>
      <c r="C2029" s="56" t="s">
        <v>7928</v>
      </c>
      <c r="D2029" s="56" t="s">
        <v>22</v>
      </c>
      <c r="F2029" s="56" t="s">
        <v>7929</v>
      </c>
      <c r="G2029" s="56">
        <v>119</v>
      </c>
      <c r="H2029" s="56">
        <v>3</v>
      </c>
      <c r="I2029" s="56">
        <v>2.5210084033613446E-2</v>
      </c>
      <c r="K2029" s="56" t="s">
        <v>1873</v>
      </c>
      <c r="L2029" s="56" t="s">
        <v>6059</v>
      </c>
      <c r="O2029">
        <f>_xlfn.XLOOKUP(N2029,'Error-codes'!$C$2:$C$130,'Error-codes'!$B$2:$B$130, "None")</f>
        <v>0</v>
      </c>
      <c r="U2029" s="81">
        <f>DATEVALUE(LEFT(F2029,10))</f>
        <v>45005</v>
      </c>
    </row>
    <row r="2030" spans="1:21">
      <c r="B2030" s="56" t="s">
        <v>5394</v>
      </c>
      <c r="C2030" s="56" t="s">
        <v>7930</v>
      </c>
      <c r="D2030" s="56" t="s">
        <v>4149</v>
      </c>
      <c r="F2030" s="56" t="s">
        <v>7931</v>
      </c>
      <c r="G2030" s="56">
        <v>2</v>
      </c>
      <c r="H2030" s="56">
        <v>2</v>
      </c>
      <c r="I2030" s="56">
        <v>1</v>
      </c>
      <c r="K2030" s="56" t="s">
        <v>1873</v>
      </c>
      <c r="L2030" s="56" t="s">
        <v>6059</v>
      </c>
      <c r="O2030">
        <f>_xlfn.XLOOKUP(N2030,'Error-codes'!$C$2:$C$130,'Error-codes'!$B$2:$B$130, "None")</f>
        <v>0</v>
      </c>
      <c r="U2030" s="81">
        <f>DATEVALUE(LEFT(F2030,10))</f>
        <v>45005</v>
      </c>
    </row>
    <row r="2031" spans="1:21">
      <c r="A2031" s="56" t="s">
        <v>7932</v>
      </c>
      <c r="B2031" s="56" t="s">
        <v>3263</v>
      </c>
      <c r="C2031" s="56" t="s">
        <v>7933</v>
      </c>
      <c r="D2031" s="56" t="s">
        <v>37</v>
      </c>
      <c r="E2031" s="56" t="s">
        <v>7934</v>
      </c>
      <c r="F2031" s="56" t="s">
        <v>7935</v>
      </c>
      <c r="G2031" s="56">
        <v>82</v>
      </c>
      <c r="H2031" s="56">
        <v>6</v>
      </c>
      <c r="I2031" s="56">
        <v>7.3170731707317069E-2</v>
      </c>
      <c r="J2031" s="56" t="s">
        <v>7936</v>
      </c>
      <c r="K2031" s="56" t="s">
        <v>3280</v>
      </c>
      <c r="L2031" s="56" t="s">
        <v>3269</v>
      </c>
      <c r="M2031" s="56" t="str">
        <f>HYPERLINK("https://dribble.octin.io/?mode=Single+log&amp;log_id=3eba749b-c040-4355-93da-4c8de532e1d7","URL")</f>
        <v>URL</v>
      </c>
      <c r="N2031" s="56" t="s">
        <v>2933</v>
      </c>
      <c r="O2031" t="str">
        <f>_xlfn.XLOOKUP(N2031,'Error-codes'!$C$2:$C$130,'Error-codes'!$B$2:$B$130, "None")</f>
        <v>inductive sensor error</v>
      </c>
      <c r="U2031" s="81">
        <f>DATEVALUE(LEFT(F2031,10))</f>
        <v>45014</v>
      </c>
    </row>
    <row r="2032" spans="1:21">
      <c r="A2032" s="56" t="s">
        <v>7937</v>
      </c>
      <c r="B2032" s="56" t="s">
        <v>3263</v>
      </c>
      <c r="C2032" s="56" t="s">
        <v>7938</v>
      </c>
      <c r="D2032" s="56" t="s">
        <v>37</v>
      </c>
      <c r="E2032" s="56" t="s">
        <v>4650</v>
      </c>
      <c r="F2032" s="56" t="s">
        <v>7939</v>
      </c>
      <c r="G2032" s="56">
        <v>80</v>
      </c>
      <c r="H2032" s="56">
        <v>28</v>
      </c>
      <c r="I2032" s="56">
        <v>0.35</v>
      </c>
      <c r="J2032" s="56" t="s">
        <v>7940</v>
      </c>
      <c r="K2032" s="56" t="s">
        <v>3268</v>
      </c>
      <c r="L2032" s="56" t="s">
        <v>3269</v>
      </c>
      <c r="M2032" s="56" t="str">
        <f>HYPERLINK("https://dribble.octin.io/?mode=Single+log&amp;log_id=22316612-9243-4a17-97e4-ea684e0de833","URL")</f>
        <v>URL</v>
      </c>
      <c r="N2032" s="56" t="s">
        <v>3440</v>
      </c>
      <c r="O2032" t="str">
        <f>_xlfn.XLOOKUP(N2032,'Error-codes'!$C$2:$C$130,'Error-codes'!$B$2:$B$130, "None")</f>
        <v>Trajectory generation timeout</v>
      </c>
      <c r="U2032" s="81">
        <f>DATEVALUE(LEFT(F2032,10))</f>
        <v>45013</v>
      </c>
    </row>
    <row r="2033" spans="1:21">
      <c r="A2033" s="56" t="s">
        <v>7941</v>
      </c>
      <c r="B2033" s="56" t="s">
        <v>3263</v>
      </c>
      <c r="C2033" s="56" t="s">
        <v>7942</v>
      </c>
      <c r="D2033" s="56" t="s">
        <v>37</v>
      </c>
      <c r="E2033" s="56" t="s">
        <v>3253</v>
      </c>
      <c r="F2033" s="56" t="s">
        <v>7943</v>
      </c>
      <c r="G2033" s="56">
        <v>81</v>
      </c>
      <c r="H2033" s="56">
        <v>1</v>
      </c>
      <c r="I2033" s="56">
        <v>1.2345679012345678E-2</v>
      </c>
      <c r="J2033" s="56" t="s">
        <v>7944</v>
      </c>
      <c r="K2033" s="56" t="s">
        <v>3268</v>
      </c>
      <c r="L2033" s="56" t="s">
        <v>3269</v>
      </c>
      <c r="M2033" s="56" t="str">
        <f>HYPERLINK("https://dribble.octin.io/?mode=Single+log&amp;log_id=e5141467-ff7d-4543-b99a-897cf1b2fdb0","URL")</f>
        <v>URL</v>
      </c>
      <c r="N2033" s="56" t="s">
        <v>3454</v>
      </c>
      <c r="O2033" t="str">
        <f>_xlfn.XLOOKUP(N2033,'Error-codes'!$C$2:$C$130,'Error-codes'!$B$2:$B$130, "None")</f>
        <v>Veh low level FSM: safety was triggered</v>
      </c>
      <c r="U2033" s="81">
        <f>DATEVALUE(LEFT(F2033,10))</f>
        <v>45012</v>
      </c>
    </row>
    <row r="2034" spans="1:21">
      <c r="B2034" s="56" t="s">
        <v>3263</v>
      </c>
      <c r="C2034" s="56" t="s">
        <v>7945</v>
      </c>
      <c r="D2034" s="56" t="s">
        <v>388</v>
      </c>
      <c r="F2034" s="56" t="s">
        <v>7946</v>
      </c>
      <c r="G2034" s="56">
        <v>82</v>
      </c>
      <c r="H2034" s="56">
        <v>82</v>
      </c>
      <c r="I2034" s="56">
        <v>1</v>
      </c>
      <c r="K2034" s="56" t="s">
        <v>3280</v>
      </c>
      <c r="L2034" s="56" t="s">
        <v>3269</v>
      </c>
      <c r="O2034">
        <f>_xlfn.XLOOKUP(N2034,'Error-codes'!$C$2:$C$130,'Error-codes'!$B$2:$B$130, "None")</f>
        <v>0</v>
      </c>
      <c r="U2034" s="81">
        <f>DATEVALUE(LEFT(F2034,10))</f>
        <v>45012</v>
      </c>
    </row>
    <row r="2035" spans="1:21">
      <c r="B2035" s="56" t="s">
        <v>3263</v>
      </c>
      <c r="C2035" s="56" t="s">
        <v>7945</v>
      </c>
      <c r="D2035" s="56" t="s">
        <v>388</v>
      </c>
      <c r="F2035" s="56" t="s">
        <v>7946</v>
      </c>
      <c r="G2035" s="56">
        <v>82</v>
      </c>
      <c r="H2035" s="56">
        <v>82</v>
      </c>
      <c r="I2035" s="56">
        <v>1</v>
      </c>
      <c r="K2035" s="56" t="s">
        <v>3280</v>
      </c>
      <c r="L2035" s="56" t="s">
        <v>3269</v>
      </c>
      <c r="O2035">
        <f>_xlfn.XLOOKUP(N2035,'Error-codes'!$C$2:$C$130,'Error-codes'!$B$2:$B$130, "None")</f>
        <v>0</v>
      </c>
      <c r="U2035" s="81">
        <f>DATEVALUE(LEFT(F2035,10))</f>
        <v>45012</v>
      </c>
    </row>
    <row r="2036" spans="1:21">
      <c r="B2036" s="56" t="s">
        <v>3263</v>
      </c>
      <c r="C2036" s="56" t="s">
        <v>7947</v>
      </c>
      <c r="D2036" s="56" t="s">
        <v>388</v>
      </c>
      <c r="F2036" s="56" t="s">
        <v>7948</v>
      </c>
      <c r="G2036" s="56">
        <v>81</v>
      </c>
      <c r="H2036" s="56">
        <v>81</v>
      </c>
      <c r="I2036" s="56">
        <v>1</v>
      </c>
      <c r="K2036" s="56" t="s">
        <v>3268</v>
      </c>
      <c r="L2036" s="56" t="s">
        <v>3269</v>
      </c>
      <c r="O2036">
        <f>_xlfn.XLOOKUP(N2036,'Error-codes'!$C$2:$C$130,'Error-codes'!$B$2:$B$130, "None")</f>
        <v>0</v>
      </c>
      <c r="U2036" s="81">
        <f>DATEVALUE(LEFT(F2036,10))</f>
        <v>45010</v>
      </c>
    </row>
    <row r="2037" spans="1:21">
      <c r="B2037" s="56" t="s">
        <v>3263</v>
      </c>
      <c r="C2037" s="56" t="s">
        <v>7947</v>
      </c>
      <c r="D2037" s="56" t="s">
        <v>388</v>
      </c>
      <c r="F2037" s="56" t="s">
        <v>7948</v>
      </c>
      <c r="G2037" s="56">
        <v>81</v>
      </c>
      <c r="H2037" s="56">
        <v>81</v>
      </c>
      <c r="I2037" s="56">
        <v>1</v>
      </c>
      <c r="K2037" s="56" t="s">
        <v>3268</v>
      </c>
      <c r="L2037" s="56" t="s">
        <v>3269</v>
      </c>
      <c r="O2037">
        <f>_xlfn.XLOOKUP(N2037,'Error-codes'!$C$2:$C$130,'Error-codes'!$B$2:$B$130, "None")</f>
        <v>0</v>
      </c>
      <c r="U2037" s="81">
        <f>DATEVALUE(LEFT(F2037,10))</f>
        <v>45010</v>
      </c>
    </row>
    <row r="2038" spans="1:21">
      <c r="B2038" s="56" t="s">
        <v>3263</v>
      </c>
      <c r="C2038" s="56" t="s">
        <v>7949</v>
      </c>
      <c r="D2038" s="56" t="s">
        <v>388</v>
      </c>
      <c r="F2038" s="56" t="s">
        <v>7950</v>
      </c>
      <c r="G2038" s="56">
        <v>82</v>
      </c>
      <c r="H2038" s="56">
        <v>82</v>
      </c>
      <c r="I2038" s="56">
        <v>1</v>
      </c>
      <c r="K2038" s="56" t="s">
        <v>3280</v>
      </c>
      <c r="L2038" s="56" t="s">
        <v>3269</v>
      </c>
      <c r="O2038">
        <f>_xlfn.XLOOKUP(N2038,'Error-codes'!$C$2:$C$130,'Error-codes'!$B$2:$B$130, "None")</f>
        <v>0</v>
      </c>
      <c r="U2038" s="81">
        <f>DATEVALUE(LEFT(F2038,10))</f>
        <v>45009</v>
      </c>
    </row>
    <row r="2039" spans="1:21">
      <c r="B2039" s="56" t="s">
        <v>3263</v>
      </c>
      <c r="C2039" s="56" t="s">
        <v>7949</v>
      </c>
      <c r="D2039" s="56" t="s">
        <v>388</v>
      </c>
      <c r="F2039" s="56" t="s">
        <v>7950</v>
      </c>
      <c r="G2039" s="56">
        <v>82</v>
      </c>
      <c r="H2039" s="56">
        <v>82</v>
      </c>
      <c r="I2039" s="56">
        <v>1</v>
      </c>
      <c r="K2039" s="56" t="s">
        <v>3280</v>
      </c>
      <c r="L2039" s="56" t="s">
        <v>3269</v>
      </c>
      <c r="O2039">
        <f>_xlfn.XLOOKUP(N2039,'Error-codes'!$C$2:$C$130,'Error-codes'!$B$2:$B$130, "None")</f>
        <v>0</v>
      </c>
      <c r="U2039" s="81">
        <f>DATEVALUE(LEFT(F2039,10))</f>
        <v>45009</v>
      </c>
    </row>
    <row r="2040" spans="1:21">
      <c r="B2040" s="56" t="s">
        <v>3263</v>
      </c>
      <c r="C2040" s="56" t="s">
        <v>7951</v>
      </c>
      <c r="D2040" s="56" t="s">
        <v>388</v>
      </c>
      <c r="F2040" s="56" t="s">
        <v>7952</v>
      </c>
      <c r="G2040" s="56">
        <v>81</v>
      </c>
      <c r="H2040" s="56">
        <v>81</v>
      </c>
      <c r="I2040" s="56">
        <v>1</v>
      </c>
      <c r="K2040" s="56" t="s">
        <v>3268</v>
      </c>
      <c r="L2040" s="56" t="s">
        <v>3269</v>
      </c>
      <c r="O2040">
        <f>_xlfn.XLOOKUP(N2040,'Error-codes'!$C$2:$C$130,'Error-codes'!$B$2:$B$130, "None")</f>
        <v>0</v>
      </c>
      <c r="U2040" s="81">
        <f>DATEVALUE(LEFT(F2040,10))</f>
        <v>45008</v>
      </c>
    </row>
    <row r="2041" spans="1:21">
      <c r="B2041" s="56" t="s">
        <v>3263</v>
      </c>
      <c r="C2041" s="56" t="s">
        <v>7951</v>
      </c>
      <c r="D2041" s="56" t="s">
        <v>388</v>
      </c>
      <c r="F2041" s="56" t="s">
        <v>7952</v>
      </c>
      <c r="G2041" s="56">
        <v>81</v>
      </c>
      <c r="H2041" s="56">
        <v>81</v>
      </c>
      <c r="I2041" s="56">
        <v>1</v>
      </c>
      <c r="K2041" s="56" t="s">
        <v>3268</v>
      </c>
      <c r="L2041" s="56" t="s">
        <v>3269</v>
      </c>
      <c r="O2041">
        <f>_xlfn.XLOOKUP(N2041,'Error-codes'!$C$2:$C$130,'Error-codes'!$B$2:$B$130, "None")</f>
        <v>0</v>
      </c>
      <c r="U2041" s="81">
        <f>DATEVALUE(LEFT(F2041,10))</f>
        <v>45008</v>
      </c>
    </row>
    <row r="2042" spans="1:21">
      <c r="B2042" s="56" t="s">
        <v>3263</v>
      </c>
      <c r="C2042" s="56" t="s">
        <v>7953</v>
      </c>
      <c r="D2042" s="56" t="s">
        <v>388</v>
      </c>
      <c r="F2042" s="56" t="s">
        <v>7954</v>
      </c>
      <c r="G2042" s="56">
        <v>82</v>
      </c>
      <c r="H2042" s="56">
        <v>82</v>
      </c>
      <c r="I2042" s="56">
        <v>1</v>
      </c>
      <c r="K2042" s="56" t="s">
        <v>3280</v>
      </c>
      <c r="L2042" s="56" t="s">
        <v>3269</v>
      </c>
      <c r="O2042">
        <f>_xlfn.XLOOKUP(N2042,'Error-codes'!$C$2:$C$130,'Error-codes'!$B$2:$B$130, "None")</f>
        <v>0</v>
      </c>
      <c r="U2042" s="81">
        <f>DATEVALUE(LEFT(F2042,10))</f>
        <v>45007</v>
      </c>
    </row>
    <row r="2043" spans="1:21">
      <c r="B2043" s="56" t="s">
        <v>3263</v>
      </c>
      <c r="C2043" s="56" t="s">
        <v>7953</v>
      </c>
      <c r="D2043" s="56" t="s">
        <v>388</v>
      </c>
      <c r="F2043" s="56" t="s">
        <v>7954</v>
      </c>
      <c r="G2043" s="56">
        <v>82</v>
      </c>
      <c r="H2043" s="56">
        <v>82</v>
      </c>
      <c r="I2043" s="56">
        <v>1</v>
      </c>
      <c r="K2043" s="56" t="s">
        <v>3280</v>
      </c>
      <c r="L2043" s="56" t="s">
        <v>3269</v>
      </c>
      <c r="O2043">
        <f>_xlfn.XLOOKUP(N2043,'Error-codes'!$C$2:$C$130,'Error-codes'!$B$2:$B$130, "None")</f>
        <v>0</v>
      </c>
      <c r="U2043" s="81">
        <f>DATEVALUE(LEFT(F2043,10))</f>
        <v>45007</v>
      </c>
    </row>
    <row r="2044" spans="1:21">
      <c r="A2044" s="56" t="s">
        <v>7955</v>
      </c>
      <c r="B2044" s="56" t="s">
        <v>295</v>
      </c>
      <c r="C2044" s="56" t="s">
        <v>7956</v>
      </c>
      <c r="D2044" s="56"/>
      <c r="E2044" s="56" t="s">
        <v>2939</v>
      </c>
      <c r="F2044" s="56" t="s">
        <v>7957</v>
      </c>
      <c r="G2044" s="56">
        <v>214</v>
      </c>
      <c r="H2044" s="56">
        <v>71</v>
      </c>
      <c r="I2044" s="56">
        <v>0.33177570093457942</v>
      </c>
      <c r="J2044" s="56" t="s">
        <v>3845</v>
      </c>
      <c r="K2044" s="56" t="s">
        <v>1893</v>
      </c>
      <c r="L2044" s="56" t="s">
        <v>2942</v>
      </c>
      <c r="M2044" s="56" t="str">
        <f>HYPERLINK("https://dribble.octin.io/?mode=Single+log&amp;log_id=9aa7154c-b4c2-4080-908f-5d5a279ad377","URL")</f>
        <v>URL</v>
      </c>
      <c r="N2044" s="56" t="s">
        <v>2933</v>
      </c>
      <c r="O2044" t="str">
        <f>_xlfn.XLOOKUP(N2044,'Error-codes'!$C$2:$C$130,'Error-codes'!$B$2:$B$130, "None")</f>
        <v>inductive sensor error</v>
      </c>
      <c r="U2044" s="81">
        <f>DATEVALUE(LEFT(F2044,10))</f>
        <v>45014</v>
      </c>
    </row>
    <row r="2045" spans="1:21">
      <c r="A2045" s="56"/>
      <c r="B2045" s="56" t="s">
        <v>29</v>
      </c>
      <c r="C2045" s="56" t="s">
        <v>7958</v>
      </c>
      <c r="D2045" s="56" t="s">
        <v>37</v>
      </c>
      <c r="E2045" s="56" t="s">
        <v>2939</v>
      </c>
      <c r="F2045" s="56" t="s">
        <v>7959</v>
      </c>
      <c r="G2045" s="56">
        <v>148</v>
      </c>
      <c r="H2045" s="56">
        <v>3</v>
      </c>
      <c r="I2045" s="56">
        <v>2.0270270270270271E-2</v>
      </c>
      <c r="J2045" s="56" t="s">
        <v>1929</v>
      </c>
      <c r="K2045" s="56" t="s">
        <v>1893</v>
      </c>
      <c r="L2045" s="56" t="s">
        <v>3162</v>
      </c>
      <c r="N2045" s="56" t="s">
        <v>3448</v>
      </c>
      <c r="O2045" t="str">
        <f>_xlfn.XLOOKUP(N2045,'Error-codes'!$C$2:$C$130,'Error-codes'!$B$2:$B$130, "None")</f>
        <v>end of lane open sensor error</v>
      </c>
      <c r="U2045" s="81">
        <f>DATEVALUE(LEFT(F2045,10))</f>
        <v>45014</v>
      </c>
    </row>
    <row r="2046" spans="1:21">
      <c r="A2046" s="56"/>
      <c r="B2046" s="56" t="s">
        <v>29</v>
      </c>
      <c r="C2046" s="56" t="s">
        <v>7958</v>
      </c>
      <c r="D2046" s="56" t="s">
        <v>37</v>
      </c>
      <c r="E2046" s="56" t="s">
        <v>2939</v>
      </c>
      <c r="F2046" s="56" t="s">
        <v>7960</v>
      </c>
      <c r="G2046" s="56">
        <v>148</v>
      </c>
      <c r="H2046" s="56">
        <v>4</v>
      </c>
      <c r="I2046" s="56">
        <v>2.7027027027027029E-2</v>
      </c>
      <c r="J2046" s="56" t="s">
        <v>7961</v>
      </c>
      <c r="K2046" s="56" t="s">
        <v>1893</v>
      </c>
      <c r="L2046" s="56" t="s">
        <v>3162</v>
      </c>
      <c r="N2046" s="56" t="s">
        <v>3448</v>
      </c>
      <c r="O2046" t="str">
        <f>_xlfn.XLOOKUP(N2046,'Error-codes'!$C$2:$C$130,'Error-codes'!$B$2:$B$130, "None")</f>
        <v>end of lane open sensor error</v>
      </c>
      <c r="U2046" s="81">
        <f>DATEVALUE(LEFT(F2046,10))</f>
        <v>45014</v>
      </c>
    </row>
    <row r="2047" spans="1:21">
      <c r="A2047" s="56"/>
      <c r="B2047" s="56" t="s">
        <v>29</v>
      </c>
      <c r="C2047" s="56" t="s">
        <v>7958</v>
      </c>
      <c r="D2047" s="56" t="s">
        <v>37</v>
      </c>
      <c r="E2047" s="56" t="s">
        <v>2939</v>
      </c>
      <c r="F2047" s="56" t="s">
        <v>7962</v>
      </c>
      <c r="G2047" s="56">
        <v>148</v>
      </c>
      <c r="H2047" s="56">
        <v>5</v>
      </c>
      <c r="I2047" s="56">
        <v>3.3783783783783786E-2</v>
      </c>
      <c r="J2047" s="56" t="s">
        <v>7225</v>
      </c>
      <c r="K2047" s="56" t="s">
        <v>1893</v>
      </c>
      <c r="L2047" s="56" t="s">
        <v>3162</v>
      </c>
      <c r="N2047" s="56" t="s">
        <v>3448</v>
      </c>
      <c r="O2047" t="str">
        <f>_xlfn.XLOOKUP(N2047,'Error-codes'!$C$2:$C$130,'Error-codes'!$B$2:$B$130, "None")</f>
        <v>end of lane open sensor error</v>
      </c>
      <c r="U2047" s="81">
        <f>DATEVALUE(LEFT(F2047,10))</f>
        <v>45014</v>
      </c>
    </row>
    <row r="2048" spans="1:21">
      <c r="A2048" s="56"/>
      <c r="B2048" s="56" t="s">
        <v>29</v>
      </c>
      <c r="C2048" s="56" t="s">
        <v>7958</v>
      </c>
      <c r="D2048" s="56" t="s">
        <v>37</v>
      </c>
      <c r="E2048" s="56" t="s">
        <v>2939</v>
      </c>
      <c r="F2048" s="56" t="s">
        <v>7963</v>
      </c>
      <c r="G2048" s="56">
        <v>148</v>
      </c>
      <c r="H2048" s="56">
        <v>7</v>
      </c>
      <c r="I2048" s="56">
        <v>4.72972972972973E-2</v>
      </c>
      <c r="J2048" s="56" t="s">
        <v>7964</v>
      </c>
      <c r="K2048" s="56" t="s">
        <v>1893</v>
      </c>
      <c r="L2048" s="56" t="s">
        <v>3162</v>
      </c>
      <c r="N2048" s="56" t="s">
        <v>3448</v>
      </c>
      <c r="O2048" t="str">
        <f>_xlfn.XLOOKUP(N2048,'Error-codes'!$C$2:$C$130,'Error-codes'!$B$2:$B$130, "None")</f>
        <v>end of lane open sensor error</v>
      </c>
      <c r="U2048" s="81">
        <f>DATEVALUE(LEFT(F2048,10))</f>
        <v>45014</v>
      </c>
    </row>
    <row r="2049" spans="1:21">
      <c r="A2049" s="56"/>
      <c r="B2049" s="56" t="s">
        <v>29</v>
      </c>
      <c r="C2049" s="56" t="s">
        <v>7958</v>
      </c>
      <c r="D2049" s="56" t="s">
        <v>37</v>
      </c>
      <c r="E2049" s="56" t="s">
        <v>2939</v>
      </c>
      <c r="F2049" s="56" t="s">
        <v>7965</v>
      </c>
      <c r="G2049" s="56">
        <v>148</v>
      </c>
      <c r="H2049" s="56">
        <v>8</v>
      </c>
      <c r="I2049" s="56">
        <v>5.4054054054054057E-2</v>
      </c>
      <c r="J2049" s="56" t="s">
        <v>115</v>
      </c>
      <c r="K2049" s="56" t="s">
        <v>1893</v>
      </c>
      <c r="L2049" s="56" t="s">
        <v>3162</v>
      </c>
      <c r="N2049" s="56" t="s">
        <v>3448</v>
      </c>
      <c r="O2049" t="str">
        <f>_xlfn.XLOOKUP(N2049,'Error-codes'!$C$2:$C$130,'Error-codes'!$B$2:$B$130, "None")</f>
        <v>end of lane open sensor error</v>
      </c>
      <c r="U2049" s="81">
        <f>DATEVALUE(LEFT(F2049,10))</f>
        <v>45014</v>
      </c>
    </row>
    <row r="2050" spans="1:21">
      <c r="A2050" s="56"/>
      <c r="B2050" s="56" t="s">
        <v>29</v>
      </c>
      <c r="C2050" s="56" t="s">
        <v>7958</v>
      </c>
      <c r="D2050" s="56" t="s">
        <v>37</v>
      </c>
      <c r="E2050" s="56" t="s">
        <v>2939</v>
      </c>
      <c r="F2050" s="56" t="s">
        <v>7966</v>
      </c>
      <c r="G2050" s="56">
        <v>148</v>
      </c>
      <c r="H2050" s="56">
        <v>10</v>
      </c>
      <c r="I2050" s="56">
        <v>6.7567567567567571E-2</v>
      </c>
      <c r="J2050" s="56" t="s">
        <v>7967</v>
      </c>
      <c r="K2050" s="56" t="s">
        <v>1893</v>
      </c>
      <c r="L2050" s="56" t="s">
        <v>3162</v>
      </c>
      <c r="N2050" s="56" t="s">
        <v>3448</v>
      </c>
      <c r="O2050" t="str">
        <f>_xlfn.XLOOKUP(N2050,'Error-codes'!$C$2:$C$130,'Error-codes'!$B$2:$B$130, "None")</f>
        <v>end of lane open sensor error</v>
      </c>
      <c r="U2050" s="81">
        <f>DATEVALUE(LEFT(F2050,10))</f>
        <v>45014</v>
      </c>
    </row>
    <row r="2051" spans="1:21">
      <c r="A2051" s="56"/>
      <c r="B2051" s="56" t="s">
        <v>29</v>
      </c>
      <c r="C2051" s="56" t="s">
        <v>7958</v>
      </c>
      <c r="D2051" s="56" t="s">
        <v>37</v>
      </c>
      <c r="E2051" s="56" t="s">
        <v>2939</v>
      </c>
      <c r="F2051" s="56" t="s">
        <v>7968</v>
      </c>
      <c r="G2051" s="56">
        <v>148</v>
      </c>
      <c r="H2051" s="56">
        <v>11</v>
      </c>
      <c r="I2051" s="56">
        <v>7.4324324324324328E-2</v>
      </c>
      <c r="J2051" s="56" t="s">
        <v>1555</v>
      </c>
      <c r="K2051" s="56" t="s">
        <v>1893</v>
      </c>
      <c r="L2051" s="56" t="s">
        <v>3162</v>
      </c>
      <c r="N2051" s="56" t="s">
        <v>3448</v>
      </c>
      <c r="O2051" t="str">
        <f>_xlfn.XLOOKUP(N2051,'Error-codes'!$C$2:$C$130,'Error-codes'!$B$2:$B$130, "None")</f>
        <v>end of lane open sensor error</v>
      </c>
      <c r="U2051" s="81">
        <f>DATEVALUE(LEFT(F2051,10))</f>
        <v>45014</v>
      </c>
    </row>
    <row r="2052" spans="1:21">
      <c r="A2052" s="56"/>
      <c r="B2052" s="56" t="s">
        <v>29</v>
      </c>
      <c r="C2052" s="56" t="s">
        <v>7958</v>
      </c>
      <c r="D2052" s="56" t="s">
        <v>37</v>
      </c>
      <c r="E2052" s="56" t="s">
        <v>2939</v>
      </c>
      <c r="F2052" s="56" t="s">
        <v>7969</v>
      </c>
      <c r="G2052" s="56">
        <v>148</v>
      </c>
      <c r="H2052" s="56">
        <v>12</v>
      </c>
      <c r="I2052" s="56">
        <v>8.1081081081081086E-2</v>
      </c>
      <c r="J2052" s="56" t="s">
        <v>7970</v>
      </c>
      <c r="K2052" s="56" t="s">
        <v>1893</v>
      </c>
      <c r="L2052" s="56" t="s">
        <v>3162</v>
      </c>
      <c r="N2052" s="56" t="s">
        <v>3448</v>
      </c>
      <c r="O2052" t="str">
        <f>_xlfn.XLOOKUP(N2052,'Error-codes'!$C$2:$C$130,'Error-codes'!$B$2:$B$130, "None")</f>
        <v>end of lane open sensor error</v>
      </c>
      <c r="U2052" s="81">
        <f>DATEVALUE(LEFT(F2052,10))</f>
        <v>45014</v>
      </c>
    </row>
    <row r="2053" spans="1:21">
      <c r="A2053" s="56"/>
      <c r="B2053" s="56" t="s">
        <v>29</v>
      </c>
      <c r="C2053" s="56" t="s">
        <v>7958</v>
      </c>
      <c r="D2053" s="56" t="s">
        <v>37</v>
      </c>
      <c r="E2053" s="56" t="s">
        <v>2939</v>
      </c>
      <c r="F2053" s="56" t="s">
        <v>7971</v>
      </c>
      <c r="G2053" s="56">
        <v>148</v>
      </c>
      <c r="H2053" s="56">
        <v>13</v>
      </c>
      <c r="I2053" s="56">
        <v>8.7837837837837843E-2</v>
      </c>
      <c r="J2053" s="56" t="s">
        <v>7972</v>
      </c>
      <c r="K2053" s="56" t="s">
        <v>1893</v>
      </c>
      <c r="L2053" s="56" t="s">
        <v>3162</v>
      </c>
      <c r="N2053" s="56" t="s">
        <v>3448</v>
      </c>
      <c r="O2053" t="str">
        <f>_xlfn.XLOOKUP(N2053,'Error-codes'!$C$2:$C$130,'Error-codes'!$B$2:$B$130, "None")</f>
        <v>end of lane open sensor error</v>
      </c>
      <c r="U2053" s="81">
        <f>DATEVALUE(LEFT(F2053,10))</f>
        <v>45014</v>
      </c>
    </row>
    <row r="2054" spans="1:21">
      <c r="A2054" s="56"/>
      <c r="B2054" s="56" t="s">
        <v>29</v>
      </c>
      <c r="C2054" s="56" t="s">
        <v>7958</v>
      </c>
      <c r="D2054" s="56" t="s">
        <v>37</v>
      </c>
      <c r="E2054" s="56" t="s">
        <v>2939</v>
      </c>
      <c r="F2054" s="56" t="s">
        <v>7973</v>
      </c>
      <c r="G2054" s="56">
        <v>148</v>
      </c>
      <c r="H2054" s="56">
        <v>14</v>
      </c>
      <c r="I2054" s="56">
        <v>9.45945945945946E-2</v>
      </c>
      <c r="J2054" s="56" t="s">
        <v>335</v>
      </c>
      <c r="K2054" s="56" t="s">
        <v>1893</v>
      </c>
      <c r="L2054" s="56" t="s">
        <v>3162</v>
      </c>
      <c r="N2054" s="56" t="s">
        <v>3448</v>
      </c>
      <c r="O2054" t="str">
        <f>_xlfn.XLOOKUP(N2054,'Error-codes'!$C$2:$C$130,'Error-codes'!$B$2:$B$130, "None")</f>
        <v>end of lane open sensor error</v>
      </c>
      <c r="U2054" s="81">
        <f>DATEVALUE(LEFT(F2054,10))</f>
        <v>45014</v>
      </c>
    </row>
    <row r="2055" spans="1:21">
      <c r="A2055" s="56"/>
      <c r="B2055" s="56" t="s">
        <v>29</v>
      </c>
      <c r="C2055" s="56" t="s">
        <v>7958</v>
      </c>
      <c r="D2055" s="56" t="s">
        <v>37</v>
      </c>
      <c r="E2055" s="56" t="s">
        <v>2939</v>
      </c>
      <c r="F2055" s="56" t="s">
        <v>7974</v>
      </c>
      <c r="G2055" s="56">
        <v>148</v>
      </c>
      <c r="H2055" s="56">
        <v>17</v>
      </c>
      <c r="I2055" s="56">
        <v>0.11486486486486487</v>
      </c>
      <c r="J2055" s="56" t="s">
        <v>1540</v>
      </c>
      <c r="K2055" s="56" t="s">
        <v>1893</v>
      </c>
      <c r="L2055" s="56" t="s">
        <v>3162</v>
      </c>
      <c r="N2055" s="56" t="s">
        <v>3448</v>
      </c>
      <c r="O2055" t="str">
        <f>_xlfn.XLOOKUP(N2055,'Error-codes'!$C$2:$C$130,'Error-codes'!$B$2:$B$130, "None")</f>
        <v>end of lane open sensor error</v>
      </c>
      <c r="U2055" s="81">
        <f>DATEVALUE(LEFT(F2055,10))</f>
        <v>45014</v>
      </c>
    </row>
    <row r="2056" spans="1:21">
      <c r="A2056" s="56"/>
      <c r="B2056" s="56" t="s">
        <v>29</v>
      </c>
      <c r="C2056" s="56" t="s">
        <v>7958</v>
      </c>
      <c r="D2056" s="56" t="s">
        <v>37</v>
      </c>
      <c r="E2056" s="56" t="s">
        <v>2939</v>
      </c>
      <c r="F2056" s="56" t="s">
        <v>7975</v>
      </c>
      <c r="G2056" s="56">
        <v>148</v>
      </c>
      <c r="H2056" s="56">
        <v>18</v>
      </c>
      <c r="I2056" s="56">
        <v>0.12162162162162163</v>
      </c>
      <c r="J2056" s="56" t="s">
        <v>340</v>
      </c>
      <c r="K2056" s="56" t="s">
        <v>1893</v>
      </c>
      <c r="L2056" s="56" t="s">
        <v>3162</v>
      </c>
      <c r="N2056" s="56" t="s">
        <v>3448</v>
      </c>
      <c r="O2056" t="str">
        <f>_xlfn.XLOOKUP(N2056,'Error-codes'!$C$2:$C$130,'Error-codes'!$B$2:$B$130, "None")</f>
        <v>end of lane open sensor error</v>
      </c>
      <c r="U2056" s="81">
        <f>DATEVALUE(LEFT(F2056,10))</f>
        <v>45014</v>
      </c>
    </row>
    <row r="2057" spans="1:21">
      <c r="A2057" s="56"/>
      <c r="B2057" s="56" t="s">
        <v>29</v>
      </c>
      <c r="C2057" s="56" t="s">
        <v>7958</v>
      </c>
      <c r="D2057" s="56" t="s">
        <v>37</v>
      </c>
      <c r="E2057" s="56" t="s">
        <v>2939</v>
      </c>
      <c r="F2057" s="56" t="s">
        <v>7976</v>
      </c>
      <c r="G2057" s="56">
        <v>148</v>
      </c>
      <c r="H2057" s="56">
        <v>19</v>
      </c>
      <c r="I2057" s="56">
        <v>0.12837837837837837</v>
      </c>
      <c r="J2057" s="56" t="s">
        <v>122</v>
      </c>
      <c r="K2057" s="56" t="s">
        <v>1893</v>
      </c>
      <c r="L2057" s="56" t="s">
        <v>3162</v>
      </c>
      <c r="N2057" s="56" t="s">
        <v>3448</v>
      </c>
      <c r="O2057" t="str">
        <f>_xlfn.XLOOKUP(N2057,'Error-codes'!$C$2:$C$130,'Error-codes'!$B$2:$B$130, "None")</f>
        <v>end of lane open sensor error</v>
      </c>
      <c r="U2057" s="81">
        <f>DATEVALUE(LEFT(F2057,10))</f>
        <v>45014</v>
      </c>
    </row>
    <row r="2058" spans="1:21">
      <c r="A2058" s="56"/>
      <c r="B2058" s="56" t="s">
        <v>29</v>
      </c>
      <c r="C2058" s="56" t="s">
        <v>7958</v>
      </c>
      <c r="D2058" s="56" t="s">
        <v>37</v>
      </c>
      <c r="E2058" s="56" t="s">
        <v>2939</v>
      </c>
      <c r="F2058" s="56" t="s">
        <v>7977</v>
      </c>
      <c r="G2058" s="56">
        <v>148</v>
      </c>
      <c r="H2058" s="56">
        <v>20</v>
      </c>
      <c r="I2058" s="56">
        <v>0.13513513513513514</v>
      </c>
      <c r="J2058" s="56" t="s">
        <v>126</v>
      </c>
      <c r="K2058" s="56" t="s">
        <v>1893</v>
      </c>
      <c r="L2058" s="56" t="s">
        <v>3162</v>
      </c>
      <c r="N2058" s="56" t="s">
        <v>3448</v>
      </c>
      <c r="O2058" t="str">
        <f>_xlfn.XLOOKUP(N2058,'Error-codes'!$C$2:$C$130,'Error-codes'!$B$2:$B$130, "None")</f>
        <v>end of lane open sensor error</v>
      </c>
      <c r="U2058" s="81">
        <f>DATEVALUE(LEFT(F2058,10))</f>
        <v>45014</v>
      </c>
    </row>
    <row r="2059" spans="1:21">
      <c r="A2059" s="56"/>
      <c r="B2059" s="56" t="s">
        <v>29</v>
      </c>
      <c r="C2059" s="56" t="s">
        <v>7958</v>
      </c>
      <c r="D2059" s="56" t="s">
        <v>37</v>
      </c>
      <c r="E2059" s="56" t="s">
        <v>2939</v>
      </c>
      <c r="F2059" s="56" t="s">
        <v>7978</v>
      </c>
      <c r="G2059" s="56">
        <v>148</v>
      </c>
      <c r="H2059" s="56">
        <v>21</v>
      </c>
      <c r="I2059" s="56">
        <v>0.14189189189189189</v>
      </c>
      <c r="J2059" s="56" t="s">
        <v>7229</v>
      </c>
      <c r="K2059" s="56" t="s">
        <v>1893</v>
      </c>
      <c r="L2059" s="56" t="s">
        <v>3162</v>
      </c>
      <c r="N2059" s="56" t="s">
        <v>3448</v>
      </c>
      <c r="O2059" t="str">
        <f>_xlfn.XLOOKUP(N2059,'Error-codes'!$C$2:$C$130,'Error-codes'!$B$2:$B$130, "None")</f>
        <v>end of lane open sensor error</v>
      </c>
      <c r="U2059" s="81">
        <f>DATEVALUE(LEFT(F2059,10))</f>
        <v>45014</v>
      </c>
    </row>
    <row r="2060" spans="1:21">
      <c r="A2060" s="56"/>
      <c r="B2060" s="56" t="s">
        <v>29</v>
      </c>
      <c r="C2060" s="56" t="s">
        <v>7958</v>
      </c>
      <c r="D2060" s="56" t="s">
        <v>37</v>
      </c>
      <c r="E2060" s="56" t="s">
        <v>2939</v>
      </c>
      <c r="F2060" s="56" t="s">
        <v>7979</v>
      </c>
      <c r="G2060" s="56">
        <v>148</v>
      </c>
      <c r="H2060" s="56">
        <v>22</v>
      </c>
      <c r="I2060" s="56">
        <v>0.14864864864864866</v>
      </c>
      <c r="J2060" s="56" t="s">
        <v>7231</v>
      </c>
      <c r="K2060" s="56" t="s">
        <v>1893</v>
      </c>
      <c r="L2060" s="56" t="s">
        <v>3162</v>
      </c>
      <c r="N2060" s="56" t="s">
        <v>3448</v>
      </c>
      <c r="O2060" t="str">
        <f>_xlfn.XLOOKUP(N2060,'Error-codes'!$C$2:$C$130,'Error-codes'!$B$2:$B$130, "None")</f>
        <v>end of lane open sensor error</v>
      </c>
      <c r="U2060" s="81">
        <f>DATEVALUE(LEFT(F2060,10))</f>
        <v>45014</v>
      </c>
    </row>
    <row r="2061" spans="1:21">
      <c r="A2061" s="56"/>
      <c r="B2061" s="56" t="s">
        <v>29</v>
      </c>
      <c r="C2061" s="56" t="s">
        <v>7958</v>
      </c>
      <c r="D2061" s="56" t="s">
        <v>37</v>
      </c>
      <c r="E2061" s="56" t="s">
        <v>2939</v>
      </c>
      <c r="F2061" s="56" t="s">
        <v>7980</v>
      </c>
      <c r="G2061" s="56">
        <v>148</v>
      </c>
      <c r="H2061" s="56">
        <v>24</v>
      </c>
      <c r="I2061" s="56">
        <v>0.16216216216216217</v>
      </c>
      <c r="J2061" s="56" t="s">
        <v>5053</v>
      </c>
      <c r="K2061" s="56" t="s">
        <v>1893</v>
      </c>
      <c r="L2061" s="56" t="s">
        <v>3162</v>
      </c>
      <c r="N2061" s="56" t="s">
        <v>3448</v>
      </c>
      <c r="O2061" t="str">
        <f>_xlfn.XLOOKUP(N2061,'Error-codes'!$C$2:$C$130,'Error-codes'!$B$2:$B$130, "None")</f>
        <v>end of lane open sensor error</v>
      </c>
      <c r="U2061" s="81">
        <f>DATEVALUE(LEFT(F2061,10))</f>
        <v>45014</v>
      </c>
    </row>
    <row r="2062" spans="1:21">
      <c r="A2062" s="56"/>
      <c r="B2062" s="56" t="s">
        <v>29</v>
      </c>
      <c r="C2062" s="56" t="s">
        <v>7958</v>
      </c>
      <c r="D2062" s="56" t="s">
        <v>37</v>
      </c>
      <c r="E2062" s="56" t="s">
        <v>2939</v>
      </c>
      <c r="F2062" s="56" t="s">
        <v>7981</v>
      </c>
      <c r="G2062" s="56">
        <v>148</v>
      </c>
      <c r="H2062" s="56">
        <v>25</v>
      </c>
      <c r="I2062" s="56">
        <v>0.16891891891891891</v>
      </c>
      <c r="J2062" s="56" t="s">
        <v>7234</v>
      </c>
      <c r="K2062" s="56" t="s">
        <v>1893</v>
      </c>
      <c r="L2062" s="56" t="s">
        <v>3162</v>
      </c>
      <c r="N2062" s="56" t="s">
        <v>3448</v>
      </c>
      <c r="O2062" t="str">
        <f>_xlfn.XLOOKUP(N2062,'Error-codes'!$C$2:$C$130,'Error-codes'!$B$2:$B$130, "None")</f>
        <v>end of lane open sensor error</v>
      </c>
      <c r="U2062" s="81">
        <f>DATEVALUE(LEFT(F2062,10))</f>
        <v>45014</v>
      </c>
    </row>
    <row r="2063" spans="1:21">
      <c r="A2063" s="56"/>
      <c r="B2063" s="56" t="s">
        <v>29</v>
      </c>
      <c r="C2063" s="56" t="s">
        <v>7958</v>
      </c>
      <c r="D2063" s="56" t="s">
        <v>37</v>
      </c>
      <c r="E2063" s="56" t="s">
        <v>2939</v>
      </c>
      <c r="F2063" s="56" t="s">
        <v>7982</v>
      </c>
      <c r="G2063" s="56">
        <v>148</v>
      </c>
      <c r="H2063" s="56">
        <v>26</v>
      </c>
      <c r="I2063" s="56">
        <v>0.17567567567567569</v>
      </c>
      <c r="J2063" s="56" t="s">
        <v>7236</v>
      </c>
      <c r="K2063" s="56" t="s">
        <v>1893</v>
      </c>
      <c r="L2063" s="56" t="s">
        <v>3162</v>
      </c>
      <c r="N2063" s="56" t="s">
        <v>3448</v>
      </c>
      <c r="O2063" t="str">
        <f>_xlfn.XLOOKUP(N2063,'Error-codes'!$C$2:$C$130,'Error-codes'!$B$2:$B$130, "None")</f>
        <v>end of lane open sensor error</v>
      </c>
      <c r="U2063" s="81">
        <f>DATEVALUE(LEFT(F2063,10))</f>
        <v>45014</v>
      </c>
    </row>
    <row r="2064" spans="1:21">
      <c r="A2064" s="56"/>
      <c r="B2064" s="56" t="s">
        <v>29</v>
      </c>
      <c r="C2064" s="56" t="s">
        <v>7958</v>
      </c>
      <c r="D2064" s="56" t="s">
        <v>37</v>
      </c>
      <c r="E2064" s="56" t="s">
        <v>2939</v>
      </c>
      <c r="F2064" s="56" t="s">
        <v>7983</v>
      </c>
      <c r="G2064" s="56">
        <v>148</v>
      </c>
      <c r="H2064" s="56">
        <v>27</v>
      </c>
      <c r="I2064" s="56">
        <v>0.18243243243243243</v>
      </c>
      <c r="J2064" s="56" t="s">
        <v>7238</v>
      </c>
      <c r="K2064" s="56" t="s">
        <v>1893</v>
      </c>
      <c r="L2064" s="56" t="s">
        <v>3162</v>
      </c>
      <c r="N2064" s="56" t="s">
        <v>3448</v>
      </c>
      <c r="O2064" t="str">
        <f>_xlfn.XLOOKUP(N2064,'Error-codes'!$C$2:$C$130,'Error-codes'!$B$2:$B$130, "None")</f>
        <v>end of lane open sensor error</v>
      </c>
      <c r="U2064" s="81">
        <f>DATEVALUE(LEFT(F2064,10))</f>
        <v>45014</v>
      </c>
    </row>
    <row r="2065" spans="1:21">
      <c r="A2065" s="56"/>
      <c r="B2065" s="56" t="s">
        <v>29</v>
      </c>
      <c r="C2065" s="56" t="s">
        <v>7958</v>
      </c>
      <c r="D2065" s="56" t="s">
        <v>37</v>
      </c>
      <c r="E2065" s="56" t="s">
        <v>2939</v>
      </c>
      <c r="F2065" s="56" t="s">
        <v>7984</v>
      </c>
      <c r="G2065" s="56">
        <v>148</v>
      </c>
      <c r="H2065" s="56">
        <v>28</v>
      </c>
      <c r="I2065" s="56">
        <v>0.1891891891891892</v>
      </c>
      <c r="J2065" s="56" t="s">
        <v>7240</v>
      </c>
      <c r="K2065" s="56" t="s">
        <v>1893</v>
      </c>
      <c r="L2065" s="56" t="s">
        <v>3162</v>
      </c>
      <c r="N2065" s="56" t="s">
        <v>3448</v>
      </c>
      <c r="O2065" t="str">
        <f>_xlfn.XLOOKUP(N2065,'Error-codes'!$C$2:$C$130,'Error-codes'!$B$2:$B$130, "None")</f>
        <v>end of lane open sensor error</v>
      </c>
      <c r="U2065" s="81">
        <f>DATEVALUE(LEFT(F2065,10))</f>
        <v>45014</v>
      </c>
    </row>
    <row r="2066" spans="1:21">
      <c r="A2066" s="56"/>
      <c r="B2066" s="56" t="s">
        <v>29</v>
      </c>
      <c r="C2066" s="56" t="s">
        <v>7958</v>
      </c>
      <c r="D2066" s="56" t="s">
        <v>37</v>
      </c>
      <c r="E2066" s="56" t="s">
        <v>2939</v>
      </c>
      <c r="F2066" s="56" t="s">
        <v>7985</v>
      </c>
      <c r="G2066" s="56">
        <v>148</v>
      </c>
      <c r="H2066" s="56">
        <v>29</v>
      </c>
      <c r="I2066" s="56">
        <v>0.19594594594594594</v>
      </c>
      <c r="J2066" s="56" t="s">
        <v>7242</v>
      </c>
      <c r="K2066" s="56" t="s">
        <v>1893</v>
      </c>
      <c r="L2066" s="56" t="s">
        <v>3162</v>
      </c>
      <c r="N2066" s="56" t="s">
        <v>3448</v>
      </c>
      <c r="O2066" t="str">
        <f>_xlfn.XLOOKUP(N2066,'Error-codes'!$C$2:$C$130,'Error-codes'!$B$2:$B$130, "None")</f>
        <v>end of lane open sensor error</v>
      </c>
      <c r="U2066" s="81">
        <f>DATEVALUE(LEFT(F2066,10))</f>
        <v>45014</v>
      </c>
    </row>
    <row r="2067" spans="1:21">
      <c r="A2067" s="56"/>
      <c r="B2067" s="56" t="s">
        <v>29</v>
      </c>
      <c r="C2067" s="56" t="s">
        <v>7958</v>
      </c>
      <c r="D2067" s="56" t="s">
        <v>37</v>
      </c>
      <c r="E2067" s="56" t="s">
        <v>2939</v>
      </c>
      <c r="F2067" s="56" t="s">
        <v>7986</v>
      </c>
      <c r="G2067" s="56">
        <v>148</v>
      </c>
      <c r="H2067" s="56">
        <v>30</v>
      </c>
      <c r="I2067" s="56">
        <v>0.20270270270270271</v>
      </c>
      <c r="J2067" s="56" t="s">
        <v>7987</v>
      </c>
      <c r="K2067" s="56" t="s">
        <v>1893</v>
      </c>
      <c r="L2067" s="56" t="s">
        <v>3162</v>
      </c>
      <c r="N2067" s="56" t="s">
        <v>3448</v>
      </c>
      <c r="O2067" t="str">
        <f>_xlfn.XLOOKUP(N2067,'Error-codes'!$C$2:$C$130,'Error-codes'!$B$2:$B$130, "None")</f>
        <v>end of lane open sensor error</v>
      </c>
      <c r="U2067" s="81">
        <f>DATEVALUE(LEFT(F2067,10))</f>
        <v>45014</v>
      </c>
    </row>
    <row r="2068" spans="1:21">
      <c r="A2068" s="56"/>
      <c r="B2068" s="56" t="s">
        <v>29</v>
      </c>
      <c r="C2068" s="56" t="s">
        <v>7958</v>
      </c>
      <c r="D2068" s="56" t="s">
        <v>37</v>
      </c>
      <c r="E2068" s="56" t="s">
        <v>2939</v>
      </c>
      <c r="F2068" s="56" t="s">
        <v>7988</v>
      </c>
      <c r="G2068" s="56">
        <v>148</v>
      </c>
      <c r="H2068" s="56">
        <v>31</v>
      </c>
      <c r="I2068" s="56">
        <v>0.20945945945945946</v>
      </c>
      <c r="J2068" s="56" t="s">
        <v>7244</v>
      </c>
      <c r="K2068" s="56" t="s">
        <v>1893</v>
      </c>
      <c r="L2068" s="56" t="s">
        <v>3162</v>
      </c>
      <c r="N2068" s="56" t="s">
        <v>3448</v>
      </c>
      <c r="O2068" t="str">
        <f>_xlfn.XLOOKUP(N2068,'Error-codes'!$C$2:$C$130,'Error-codes'!$B$2:$B$130, "None")</f>
        <v>end of lane open sensor error</v>
      </c>
      <c r="U2068" s="81">
        <f>DATEVALUE(LEFT(F2068,10))</f>
        <v>45014</v>
      </c>
    </row>
    <row r="2069" spans="1:21">
      <c r="A2069" s="56"/>
      <c r="B2069" s="56" t="s">
        <v>29</v>
      </c>
      <c r="C2069" s="56" t="s">
        <v>7958</v>
      </c>
      <c r="D2069" s="56" t="s">
        <v>37</v>
      </c>
      <c r="E2069" s="56" t="s">
        <v>2939</v>
      </c>
      <c r="F2069" s="56" t="s">
        <v>7989</v>
      </c>
      <c r="G2069" s="56">
        <v>148</v>
      </c>
      <c r="H2069" s="56">
        <v>32</v>
      </c>
      <c r="I2069" s="56">
        <v>0.21621621621621623</v>
      </c>
      <c r="J2069" s="56" t="s">
        <v>7246</v>
      </c>
      <c r="K2069" s="56" t="s">
        <v>1893</v>
      </c>
      <c r="L2069" s="56" t="s">
        <v>3162</v>
      </c>
      <c r="N2069" s="56" t="s">
        <v>3448</v>
      </c>
      <c r="O2069" t="str">
        <f>_xlfn.XLOOKUP(N2069,'Error-codes'!$C$2:$C$130,'Error-codes'!$B$2:$B$130, "None")</f>
        <v>end of lane open sensor error</v>
      </c>
      <c r="U2069" s="81">
        <f>DATEVALUE(LEFT(F2069,10))</f>
        <v>45014</v>
      </c>
    </row>
    <row r="2070" spans="1:21">
      <c r="A2070" s="56"/>
      <c r="B2070" s="56" t="s">
        <v>29</v>
      </c>
      <c r="C2070" s="56" t="s">
        <v>7958</v>
      </c>
      <c r="D2070" s="56" t="s">
        <v>37</v>
      </c>
      <c r="E2070" s="56" t="s">
        <v>2939</v>
      </c>
      <c r="F2070" s="56" t="s">
        <v>7990</v>
      </c>
      <c r="G2070" s="56">
        <v>148</v>
      </c>
      <c r="H2070" s="56">
        <v>33</v>
      </c>
      <c r="I2070" s="56">
        <v>0.22297297297297297</v>
      </c>
      <c r="J2070" s="56" t="s">
        <v>191</v>
      </c>
      <c r="K2070" s="56" t="s">
        <v>1893</v>
      </c>
      <c r="L2070" s="56" t="s">
        <v>3162</v>
      </c>
      <c r="N2070" s="56" t="s">
        <v>3448</v>
      </c>
      <c r="O2070" t="str">
        <f>_xlfn.XLOOKUP(N2070,'Error-codes'!$C$2:$C$130,'Error-codes'!$B$2:$B$130, "None")</f>
        <v>end of lane open sensor error</v>
      </c>
      <c r="U2070" s="81">
        <f>DATEVALUE(LEFT(F2070,10))</f>
        <v>45014</v>
      </c>
    </row>
    <row r="2071" spans="1:21">
      <c r="A2071" s="56"/>
      <c r="B2071" s="56" t="s">
        <v>29</v>
      </c>
      <c r="C2071" s="56" t="s">
        <v>7958</v>
      </c>
      <c r="D2071" s="56" t="s">
        <v>37</v>
      </c>
      <c r="E2071" s="56" t="s">
        <v>2939</v>
      </c>
      <c r="F2071" s="56" t="s">
        <v>7991</v>
      </c>
      <c r="G2071" s="56">
        <v>148</v>
      </c>
      <c r="H2071" s="56">
        <v>35</v>
      </c>
      <c r="I2071" s="56">
        <v>0.23648648648648649</v>
      </c>
      <c r="J2071" s="56" t="s">
        <v>7249</v>
      </c>
      <c r="K2071" s="56" t="s">
        <v>1893</v>
      </c>
      <c r="L2071" s="56" t="s">
        <v>3162</v>
      </c>
      <c r="N2071" s="56" t="s">
        <v>3448</v>
      </c>
      <c r="O2071" t="str">
        <f>_xlfn.XLOOKUP(N2071,'Error-codes'!$C$2:$C$130,'Error-codes'!$B$2:$B$130, "None")</f>
        <v>end of lane open sensor error</v>
      </c>
      <c r="U2071" s="81">
        <f>DATEVALUE(LEFT(F2071,10))</f>
        <v>45014</v>
      </c>
    </row>
    <row r="2072" spans="1:21">
      <c r="A2072" s="56"/>
      <c r="B2072" s="56" t="s">
        <v>29</v>
      </c>
      <c r="C2072" s="56" t="s">
        <v>7958</v>
      </c>
      <c r="D2072" s="56" t="s">
        <v>37</v>
      </c>
      <c r="E2072" s="56" t="s">
        <v>2939</v>
      </c>
      <c r="F2072" s="56" t="s">
        <v>7992</v>
      </c>
      <c r="G2072" s="56">
        <v>148</v>
      </c>
      <c r="H2072" s="56">
        <v>36</v>
      </c>
      <c r="I2072" s="56">
        <v>0.24324324324324326</v>
      </c>
      <c r="J2072" s="56" t="s">
        <v>7251</v>
      </c>
      <c r="K2072" s="56" t="s">
        <v>1893</v>
      </c>
      <c r="L2072" s="56" t="s">
        <v>3162</v>
      </c>
      <c r="N2072" s="56" t="s">
        <v>3448</v>
      </c>
      <c r="O2072" t="str">
        <f>_xlfn.XLOOKUP(N2072,'Error-codes'!$C$2:$C$130,'Error-codes'!$B$2:$B$130, "None")</f>
        <v>end of lane open sensor error</v>
      </c>
      <c r="U2072" s="81">
        <f>DATEVALUE(LEFT(F2072,10))</f>
        <v>45014</v>
      </c>
    </row>
    <row r="2073" spans="1:21">
      <c r="A2073" s="56"/>
      <c r="B2073" s="56" t="s">
        <v>29</v>
      </c>
      <c r="C2073" s="56" t="s">
        <v>7958</v>
      </c>
      <c r="D2073" s="56" t="s">
        <v>37</v>
      </c>
      <c r="E2073" s="56" t="s">
        <v>2939</v>
      </c>
      <c r="F2073" s="56" t="s">
        <v>7993</v>
      </c>
      <c r="G2073" s="56">
        <v>148</v>
      </c>
      <c r="H2073" s="56">
        <v>38</v>
      </c>
      <c r="I2073" s="56">
        <v>0.25675675675675674</v>
      </c>
      <c r="J2073" s="56" t="s">
        <v>7253</v>
      </c>
      <c r="K2073" s="56" t="s">
        <v>1893</v>
      </c>
      <c r="L2073" s="56" t="s">
        <v>3162</v>
      </c>
      <c r="N2073" s="56" t="s">
        <v>3448</v>
      </c>
      <c r="O2073" t="str">
        <f>_xlfn.XLOOKUP(N2073,'Error-codes'!$C$2:$C$130,'Error-codes'!$B$2:$B$130, "None")</f>
        <v>end of lane open sensor error</v>
      </c>
      <c r="U2073" s="81">
        <f>DATEVALUE(LEFT(F2073,10))</f>
        <v>45014</v>
      </c>
    </row>
    <row r="2074" spans="1:21">
      <c r="A2074" s="56"/>
      <c r="B2074" s="56" t="s">
        <v>29</v>
      </c>
      <c r="C2074" s="56" t="s">
        <v>7958</v>
      </c>
      <c r="D2074" s="56" t="s">
        <v>37</v>
      </c>
      <c r="E2074" s="56" t="s">
        <v>2939</v>
      </c>
      <c r="F2074" s="56" t="s">
        <v>7994</v>
      </c>
      <c r="G2074" s="56">
        <v>148</v>
      </c>
      <c r="H2074" s="56">
        <v>39</v>
      </c>
      <c r="I2074" s="56">
        <v>0.26351351351351349</v>
      </c>
      <c r="J2074" s="56" t="s">
        <v>7255</v>
      </c>
      <c r="K2074" s="56" t="s">
        <v>1893</v>
      </c>
      <c r="L2074" s="56" t="s">
        <v>3162</v>
      </c>
      <c r="N2074" s="56" t="s">
        <v>3448</v>
      </c>
      <c r="O2074" t="str">
        <f>_xlfn.XLOOKUP(N2074,'Error-codes'!$C$2:$C$130,'Error-codes'!$B$2:$B$130, "None")</f>
        <v>end of lane open sensor error</v>
      </c>
      <c r="U2074" s="81">
        <f>DATEVALUE(LEFT(F2074,10))</f>
        <v>45014</v>
      </c>
    </row>
    <row r="2075" spans="1:21">
      <c r="A2075" s="56"/>
      <c r="B2075" s="56" t="s">
        <v>29</v>
      </c>
      <c r="C2075" s="56" t="s">
        <v>7958</v>
      </c>
      <c r="D2075" s="56" t="s">
        <v>37</v>
      </c>
      <c r="E2075" s="56" t="s">
        <v>2939</v>
      </c>
      <c r="F2075" s="56" t="s">
        <v>7995</v>
      </c>
      <c r="G2075" s="56">
        <v>148</v>
      </c>
      <c r="H2075" s="56">
        <v>40</v>
      </c>
      <c r="I2075" s="56">
        <v>0.27027027027027029</v>
      </c>
      <c r="J2075" s="56" t="s">
        <v>130</v>
      </c>
      <c r="K2075" s="56" t="s">
        <v>1893</v>
      </c>
      <c r="L2075" s="56" t="s">
        <v>3162</v>
      </c>
      <c r="N2075" s="56" t="s">
        <v>3448</v>
      </c>
      <c r="O2075" t="str">
        <f>_xlfn.XLOOKUP(N2075,'Error-codes'!$C$2:$C$130,'Error-codes'!$B$2:$B$130, "None")</f>
        <v>end of lane open sensor error</v>
      </c>
      <c r="U2075" s="81">
        <f>DATEVALUE(LEFT(F2075,10))</f>
        <v>45014</v>
      </c>
    </row>
    <row r="2076" spans="1:21">
      <c r="A2076" s="56"/>
      <c r="B2076" s="56" t="s">
        <v>29</v>
      </c>
      <c r="C2076" s="56" t="s">
        <v>7958</v>
      </c>
      <c r="D2076" s="56" t="s">
        <v>37</v>
      </c>
      <c r="E2076" s="56" t="s">
        <v>2939</v>
      </c>
      <c r="F2076" s="56" t="s">
        <v>7996</v>
      </c>
      <c r="G2076" s="56">
        <v>148</v>
      </c>
      <c r="H2076" s="56">
        <v>41</v>
      </c>
      <c r="I2076" s="56">
        <v>0.27702702702702703</v>
      </c>
      <c r="J2076" s="56" t="s">
        <v>4993</v>
      </c>
      <c r="K2076" s="56" t="s">
        <v>1893</v>
      </c>
      <c r="L2076" s="56" t="s">
        <v>3162</v>
      </c>
      <c r="N2076" s="56" t="s">
        <v>3444</v>
      </c>
      <c r="O2076" t="str">
        <f>_xlfn.XLOOKUP(N2076,'Error-codes'!$C$2:$C$130,'Error-codes'!$B$2:$B$130, "None")</f>
        <v>collision detected in operational state for the 4th time in a row</v>
      </c>
      <c r="U2076" s="81">
        <f>DATEVALUE(LEFT(F2076,10))</f>
        <v>45014</v>
      </c>
    </row>
    <row r="2077" spans="1:21">
      <c r="A2077" s="56"/>
      <c r="B2077" s="56" t="s">
        <v>29</v>
      </c>
      <c r="C2077" s="56" t="s">
        <v>7958</v>
      </c>
      <c r="D2077" s="56" t="s">
        <v>37</v>
      </c>
      <c r="E2077" s="56" t="s">
        <v>2939</v>
      </c>
      <c r="F2077" s="56" t="s">
        <v>7997</v>
      </c>
      <c r="G2077" s="56">
        <v>148</v>
      </c>
      <c r="H2077" s="56">
        <v>42</v>
      </c>
      <c r="I2077" s="56">
        <v>0.28378378378378377</v>
      </c>
      <c r="J2077" s="56" t="s">
        <v>7259</v>
      </c>
      <c r="K2077" s="56" t="s">
        <v>1893</v>
      </c>
      <c r="L2077" s="56" t="s">
        <v>3162</v>
      </c>
      <c r="N2077" s="56" t="s">
        <v>3448</v>
      </c>
      <c r="O2077" t="str">
        <f>_xlfn.XLOOKUP(N2077,'Error-codes'!$C$2:$C$130,'Error-codes'!$B$2:$B$130, "None")</f>
        <v>end of lane open sensor error</v>
      </c>
      <c r="U2077" s="81">
        <f>DATEVALUE(LEFT(F2077,10))</f>
        <v>45014</v>
      </c>
    </row>
    <row r="2078" spans="1:21">
      <c r="A2078" s="56"/>
      <c r="B2078" s="56" t="s">
        <v>29</v>
      </c>
      <c r="C2078" s="56" t="s">
        <v>7958</v>
      </c>
      <c r="D2078" s="56" t="s">
        <v>37</v>
      </c>
      <c r="E2078" s="56" t="s">
        <v>2939</v>
      </c>
      <c r="F2078" s="56" t="s">
        <v>7998</v>
      </c>
      <c r="G2078" s="56">
        <v>148</v>
      </c>
      <c r="H2078" s="56">
        <v>43</v>
      </c>
      <c r="I2078" s="56">
        <v>0.29054054054054052</v>
      </c>
      <c r="J2078" s="56" t="s">
        <v>1712</v>
      </c>
      <c r="K2078" s="56" t="s">
        <v>1893</v>
      </c>
      <c r="L2078" s="56" t="s">
        <v>3162</v>
      </c>
      <c r="N2078" s="56" t="s">
        <v>3448</v>
      </c>
      <c r="O2078" t="str">
        <f>_xlfn.XLOOKUP(N2078,'Error-codes'!$C$2:$C$130,'Error-codes'!$B$2:$B$130, "None")</f>
        <v>end of lane open sensor error</v>
      </c>
      <c r="U2078" s="81">
        <f>DATEVALUE(LEFT(F2078,10))</f>
        <v>45014</v>
      </c>
    </row>
    <row r="2079" spans="1:21">
      <c r="A2079" s="56"/>
      <c r="B2079" s="56" t="s">
        <v>29</v>
      </c>
      <c r="C2079" s="56" t="s">
        <v>7958</v>
      </c>
      <c r="D2079" s="56" t="s">
        <v>37</v>
      </c>
      <c r="E2079" s="56" t="s">
        <v>2939</v>
      </c>
      <c r="F2079" s="56" t="s">
        <v>7999</v>
      </c>
      <c r="G2079" s="56">
        <v>148</v>
      </c>
      <c r="H2079" s="56">
        <v>45</v>
      </c>
      <c r="I2079" s="56">
        <v>0.30405405405405406</v>
      </c>
      <c r="J2079" s="56" t="s">
        <v>135</v>
      </c>
      <c r="K2079" s="56" t="s">
        <v>1893</v>
      </c>
      <c r="L2079" s="56" t="s">
        <v>3162</v>
      </c>
      <c r="N2079" s="56" t="s">
        <v>3448</v>
      </c>
      <c r="O2079" t="str">
        <f>_xlfn.XLOOKUP(N2079,'Error-codes'!$C$2:$C$130,'Error-codes'!$B$2:$B$130, "None")</f>
        <v>end of lane open sensor error</v>
      </c>
      <c r="U2079" s="81">
        <f>DATEVALUE(LEFT(F2079,10))</f>
        <v>45014</v>
      </c>
    </row>
    <row r="2080" spans="1:21">
      <c r="A2080" s="56"/>
      <c r="B2080" s="56" t="s">
        <v>29</v>
      </c>
      <c r="C2080" s="56" t="s">
        <v>7958</v>
      </c>
      <c r="D2080" s="56" t="s">
        <v>37</v>
      </c>
      <c r="E2080" s="56" t="s">
        <v>2939</v>
      </c>
      <c r="F2080" s="56" t="s">
        <v>8000</v>
      </c>
      <c r="G2080" s="56">
        <v>148</v>
      </c>
      <c r="H2080" s="56">
        <v>46</v>
      </c>
      <c r="I2080" s="56">
        <v>0.3108108108108108</v>
      </c>
      <c r="J2080" s="56" t="s">
        <v>4957</v>
      </c>
      <c r="K2080" s="56" t="s">
        <v>1893</v>
      </c>
      <c r="L2080" s="56" t="s">
        <v>3162</v>
      </c>
      <c r="N2080" s="56" t="s">
        <v>3444</v>
      </c>
      <c r="O2080" t="str">
        <f>_xlfn.XLOOKUP(N2080,'Error-codes'!$C$2:$C$130,'Error-codes'!$B$2:$B$130, "None")</f>
        <v>collision detected in operational state for the 4th time in a row</v>
      </c>
      <c r="U2080" s="81">
        <f>DATEVALUE(LEFT(F2080,10))</f>
        <v>45014</v>
      </c>
    </row>
    <row r="2081" spans="1:21">
      <c r="A2081" s="56"/>
      <c r="B2081" s="56" t="s">
        <v>29</v>
      </c>
      <c r="C2081" s="56" t="s">
        <v>7958</v>
      </c>
      <c r="D2081" s="56" t="s">
        <v>37</v>
      </c>
      <c r="E2081" s="56" t="s">
        <v>2939</v>
      </c>
      <c r="F2081" s="56" t="s">
        <v>8001</v>
      </c>
      <c r="G2081" s="56">
        <v>148</v>
      </c>
      <c r="H2081" s="56">
        <v>47</v>
      </c>
      <c r="I2081" s="56">
        <v>0.31756756756756754</v>
      </c>
      <c r="J2081" s="56" t="s">
        <v>1560</v>
      </c>
      <c r="K2081" s="56" t="s">
        <v>1893</v>
      </c>
      <c r="L2081" s="56" t="s">
        <v>3162</v>
      </c>
      <c r="N2081" s="56" t="s">
        <v>3448</v>
      </c>
      <c r="O2081" t="str">
        <f>_xlfn.XLOOKUP(N2081,'Error-codes'!$C$2:$C$130,'Error-codes'!$B$2:$B$130, "None")</f>
        <v>end of lane open sensor error</v>
      </c>
      <c r="U2081" s="81">
        <f>DATEVALUE(LEFT(F2081,10))</f>
        <v>45014</v>
      </c>
    </row>
    <row r="2082" spans="1:21">
      <c r="A2082" s="56"/>
      <c r="B2082" s="56" t="s">
        <v>29</v>
      </c>
      <c r="C2082" s="56" t="s">
        <v>7958</v>
      </c>
      <c r="D2082" s="56" t="s">
        <v>37</v>
      </c>
      <c r="E2082" s="56" t="s">
        <v>2939</v>
      </c>
      <c r="F2082" s="56" t="s">
        <v>8002</v>
      </c>
      <c r="G2082" s="56">
        <v>148</v>
      </c>
      <c r="H2082" s="56">
        <v>48</v>
      </c>
      <c r="I2082" s="56">
        <v>0.32432432432432434</v>
      </c>
      <c r="J2082" s="56" t="s">
        <v>1592</v>
      </c>
      <c r="K2082" s="56" t="s">
        <v>1893</v>
      </c>
      <c r="L2082" s="56" t="s">
        <v>3162</v>
      </c>
      <c r="N2082" s="56" t="s">
        <v>3448</v>
      </c>
      <c r="O2082" t="str">
        <f>_xlfn.XLOOKUP(N2082,'Error-codes'!$C$2:$C$130,'Error-codes'!$B$2:$B$130, "None")</f>
        <v>end of lane open sensor error</v>
      </c>
      <c r="U2082" s="81">
        <f>DATEVALUE(LEFT(F2082,10))</f>
        <v>45014</v>
      </c>
    </row>
    <row r="2083" spans="1:21">
      <c r="A2083" s="56"/>
      <c r="B2083" s="56" t="s">
        <v>29</v>
      </c>
      <c r="C2083" s="56" t="s">
        <v>7958</v>
      </c>
      <c r="D2083" s="56" t="s">
        <v>37</v>
      </c>
      <c r="E2083" s="56" t="s">
        <v>2939</v>
      </c>
      <c r="F2083" s="56" t="s">
        <v>8003</v>
      </c>
      <c r="G2083" s="56">
        <v>148</v>
      </c>
      <c r="H2083" s="56">
        <v>49</v>
      </c>
      <c r="I2083" s="56">
        <v>0.33108108108108109</v>
      </c>
      <c r="J2083" s="56" t="s">
        <v>77</v>
      </c>
      <c r="K2083" s="56" t="s">
        <v>1893</v>
      </c>
      <c r="L2083" s="56" t="s">
        <v>3162</v>
      </c>
      <c r="N2083" s="56" t="s">
        <v>3448</v>
      </c>
      <c r="O2083" t="str">
        <f>_xlfn.XLOOKUP(N2083,'Error-codes'!$C$2:$C$130,'Error-codes'!$B$2:$B$130, "None")</f>
        <v>end of lane open sensor error</v>
      </c>
      <c r="U2083" s="81">
        <f>DATEVALUE(LEFT(F2083,10))</f>
        <v>45014</v>
      </c>
    </row>
    <row r="2084" spans="1:21">
      <c r="A2084" s="56"/>
      <c r="B2084" s="56" t="s">
        <v>29</v>
      </c>
      <c r="C2084" s="56" t="s">
        <v>7958</v>
      </c>
      <c r="D2084" s="56" t="s">
        <v>37</v>
      </c>
      <c r="E2084" s="56" t="s">
        <v>2939</v>
      </c>
      <c r="F2084" s="56" t="s">
        <v>8004</v>
      </c>
      <c r="G2084" s="56">
        <v>148</v>
      </c>
      <c r="H2084" s="56">
        <v>50</v>
      </c>
      <c r="I2084" s="56">
        <v>0.33783783783783783</v>
      </c>
      <c r="J2084" s="56" t="s">
        <v>7267</v>
      </c>
      <c r="K2084" s="56" t="s">
        <v>1893</v>
      </c>
      <c r="L2084" s="56" t="s">
        <v>3162</v>
      </c>
      <c r="N2084" s="56" t="s">
        <v>3448</v>
      </c>
      <c r="O2084" t="str">
        <f>_xlfn.XLOOKUP(N2084,'Error-codes'!$C$2:$C$130,'Error-codes'!$B$2:$B$130, "None")</f>
        <v>end of lane open sensor error</v>
      </c>
      <c r="U2084" s="81">
        <f>DATEVALUE(LEFT(F2084,10))</f>
        <v>45014</v>
      </c>
    </row>
    <row r="2085" spans="1:21">
      <c r="A2085" s="56"/>
      <c r="B2085" s="56" t="s">
        <v>29</v>
      </c>
      <c r="C2085" s="56" t="s">
        <v>7958</v>
      </c>
      <c r="D2085" s="56" t="s">
        <v>37</v>
      </c>
      <c r="E2085" s="56" t="s">
        <v>2939</v>
      </c>
      <c r="F2085" s="56" t="s">
        <v>8005</v>
      </c>
      <c r="G2085" s="56">
        <v>148</v>
      </c>
      <c r="H2085" s="56">
        <v>52</v>
      </c>
      <c r="I2085" s="56">
        <v>0.35135135135135137</v>
      </c>
      <c r="J2085" s="56" t="s">
        <v>7269</v>
      </c>
      <c r="K2085" s="56" t="s">
        <v>1893</v>
      </c>
      <c r="L2085" s="56" t="s">
        <v>3162</v>
      </c>
      <c r="N2085" s="56" t="s">
        <v>3448</v>
      </c>
      <c r="O2085" t="str">
        <f>_xlfn.XLOOKUP(N2085,'Error-codes'!$C$2:$C$130,'Error-codes'!$B$2:$B$130, "None")</f>
        <v>end of lane open sensor error</v>
      </c>
      <c r="U2085" s="81">
        <f>DATEVALUE(LEFT(F2085,10))</f>
        <v>45014</v>
      </c>
    </row>
    <row r="2086" spans="1:21">
      <c r="A2086" s="56"/>
      <c r="B2086" s="56" t="s">
        <v>29</v>
      </c>
      <c r="C2086" s="56" t="s">
        <v>7958</v>
      </c>
      <c r="D2086" s="56" t="s">
        <v>37</v>
      </c>
      <c r="E2086" s="56" t="s">
        <v>2939</v>
      </c>
      <c r="F2086" s="56" t="s">
        <v>8006</v>
      </c>
      <c r="G2086" s="56">
        <v>148</v>
      </c>
      <c r="H2086" s="56">
        <v>53</v>
      </c>
      <c r="I2086" s="56">
        <v>0.35810810810810811</v>
      </c>
      <c r="J2086" s="56" t="s">
        <v>7271</v>
      </c>
      <c r="K2086" s="56" t="s">
        <v>1893</v>
      </c>
      <c r="L2086" s="56" t="s">
        <v>3162</v>
      </c>
      <c r="N2086" s="56" t="s">
        <v>3448</v>
      </c>
      <c r="O2086" t="str">
        <f>_xlfn.XLOOKUP(N2086,'Error-codes'!$C$2:$C$130,'Error-codes'!$B$2:$B$130, "None")</f>
        <v>end of lane open sensor error</v>
      </c>
      <c r="U2086" s="81">
        <f>DATEVALUE(LEFT(F2086,10))</f>
        <v>45014</v>
      </c>
    </row>
    <row r="2087" spans="1:21">
      <c r="A2087" s="56"/>
      <c r="B2087" s="56" t="s">
        <v>29</v>
      </c>
      <c r="C2087" s="56" t="s">
        <v>7958</v>
      </c>
      <c r="D2087" s="56" t="s">
        <v>37</v>
      </c>
      <c r="E2087" s="56" t="s">
        <v>2939</v>
      </c>
      <c r="F2087" s="56" t="s">
        <v>8007</v>
      </c>
      <c r="G2087" s="56">
        <v>148</v>
      </c>
      <c r="H2087" s="56">
        <v>54</v>
      </c>
      <c r="I2087" s="56">
        <v>0.36486486486486486</v>
      </c>
      <c r="J2087" s="56" t="s">
        <v>7273</v>
      </c>
      <c r="K2087" s="56" t="s">
        <v>1893</v>
      </c>
      <c r="L2087" s="56" t="s">
        <v>3162</v>
      </c>
      <c r="N2087" s="56" t="s">
        <v>3448</v>
      </c>
      <c r="O2087" t="str">
        <f>_xlfn.XLOOKUP(N2087,'Error-codes'!$C$2:$C$130,'Error-codes'!$B$2:$B$130, "None")</f>
        <v>end of lane open sensor error</v>
      </c>
      <c r="U2087" s="81">
        <f>DATEVALUE(LEFT(F2087,10))</f>
        <v>45014</v>
      </c>
    </row>
    <row r="2088" spans="1:21">
      <c r="A2088" s="56"/>
      <c r="B2088" s="56" t="s">
        <v>29</v>
      </c>
      <c r="C2088" s="56" t="s">
        <v>7958</v>
      </c>
      <c r="D2088" s="56" t="s">
        <v>37</v>
      </c>
      <c r="E2088" s="56" t="s">
        <v>2939</v>
      </c>
      <c r="F2088" s="56" t="s">
        <v>8008</v>
      </c>
      <c r="G2088" s="56">
        <v>148</v>
      </c>
      <c r="H2088" s="56">
        <v>55</v>
      </c>
      <c r="I2088" s="56">
        <v>0.3716216216216216</v>
      </c>
      <c r="J2088" s="56" t="s">
        <v>7275</v>
      </c>
      <c r="K2088" s="56" t="s">
        <v>1893</v>
      </c>
      <c r="L2088" s="56" t="s">
        <v>3162</v>
      </c>
      <c r="N2088" s="56" t="s">
        <v>3448</v>
      </c>
      <c r="O2088" t="str">
        <f>_xlfn.XLOOKUP(N2088,'Error-codes'!$C$2:$C$130,'Error-codes'!$B$2:$B$130, "None")</f>
        <v>end of lane open sensor error</v>
      </c>
      <c r="U2088" s="81">
        <f>DATEVALUE(LEFT(F2088,10))</f>
        <v>45014</v>
      </c>
    </row>
    <row r="2089" spans="1:21">
      <c r="A2089" s="56"/>
      <c r="B2089" s="56" t="s">
        <v>29</v>
      </c>
      <c r="C2089" s="56" t="s">
        <v>7958</v>
      </c>
      <c r="D2089" s="56" t="s">
        <v>37</v>
      </c>
      <c r="E2089" s="56" t="s">
        <v>2939</v>
      </c>
      <c r="F2089" s="56" t="s">
        <v>8009</v>
      </c>
      <c r="G2089" s="56">
        <v>148</v>
      </c>
      <c r="H2089" s="56">
        <v>56</v>
      </c>
      <c r="I2089" s="56">
        <v>0.3783783783783784</v>
      </c>
      <c r="J2089" s="56" t="s">
        <v>7277</v>
      </c>
      <c r="K2089" s="56" t="s">
        <v>1893</v>
      </c>
      <c r="L2089" s="56" t="s">
        <v>3162</v>
      </c>
      <c r="N2089" s="56" t="s">
        <v>3448</v>
      </c>
      <c r="O2089" t="str">
        <f>_xlfn.XLOOKUP(N2089,'Error-codes'!$C$2:$C$130,'Error-codes'!$B$2:$B$130, "None")</f>
        <v>end of lane open sensor error</v>
      </c>
      <c r="U2089" s="81">
        <f>DATEVALUE(LEFT(F2089,10))</f>
        <v>45014</v>
      </c>
    </row>
    <row r="2090" spans="1:21">
      <c r="A2090" s="56"/>
      <c r="B2090" s="56" t="s">
        <v>29</v>
      </c>
      <c r="C2090" s="56" t="s">
        <v>7958</v>
      </c>
      <c r="D2090" s="56" t="s">
        <v>37</v>
      </c>
      <c r="E2090" s="56" t="s">
        <v>2939</v>
      </c>
      <c r="F2090" s="56" t="s">
        <v>8010</v>
      </c>
      <c r="G2090" s="56">
        <v>148</v>
      </c>
      <c r="H2090" s="56">
        <v>57</v>
      </c>
      <c r="I2090" s="56">
        <v>0.38513513513513514</v>
      </c>
      <c r="J2090" s="56" t="s">
        <v>7279</v>
      </c>
      <c r="K2090" s="56" t="s">
        <v>1893</v>
      </c>
      <c r="L2090" s="56" t="s">
        <v>3162</v>
      </c>
      <c r="N2090" s="56" t="s">
        <v>3444</v>
      </c>
      <c r="O2090" t="str">
        <f>_xlfn.XLOOKUP(N2090,'Error-codes'!$C$2:$C$130,'Error-codes'!$B$2:$B$130, "None")</f>
        <v>collision detected in operational state for the 4th time in a row</v>
      </c>
      <c r="U2090" s="81">
        <f>DATEVALUE(LEFT(F2090,10))</f>
        <v>45014</v>
      </c>
    </row>
    <row r="2091" spans="1:21">
      <c r="A2091" s="56"/>
      <c r="B2091" s="56" t="s">
        <v>29</v>
      </c>
      <c r="C2091" s="56" t="s">
        <v>7958</v>
      </c>
      <c r="D2091" s="56" t="s">
        <v>37</v>
      </c>
      <c r="E2091" s="56" t="s">
        <v>2939</v>
      </c>
      <c r="F2091" s="56" t="s">
        <v>8011</v>
      </c>
      <c r="G2091" s="56">
        <v>148</v>
      </c>
      <c r="H2091" s="56">
        <v>59</v>
      </c>
      <c r="I2091" s="56">
        <v>0.39864864864864863</v>
      </c>
      <c r="J2091" s="56" t="s">
        <v>3189</v>
      </c>
      <c r="K2091" s="56" t="s">
        <v>1893</v>
      </c>
      <c r="L2091" s="56" t="s">
        <v>3162</v>
      </c>
      <c r="N2091" s="56" t="s">
        <v>3448</v>
      </c>
      <c r="O2091" t="str">
        <f>_xlfn.XLOOKUP(N2091,'Error-codes'!$C$2:$C$130,'Error-codes'!$B$2:$B$130, "None")</f>
        <v>end of lane open sensor error</v>
      </c>
      <c r="U2091" s="81">
        <f>DATEVALUE(LEFT(F2091,10))</f>
        <v>45014</v>
      </c>
    </row>
    <row r="2092" spans="1:21">
      <c r="A2092" s="56"/>
      <c r="B2092" s="56" t="s">
        <v>29</v>
      </c>
      <c r="C2092" s="56" t="s">
        <v>7958</v>
      </c>
      <c r="D2092" s="56" t="s">
        <v>37</v>
      </c>
      <c r="E2092" s="56" t="s">
        <v>2939</v>
      </c>
      <c r="F2092" s="56" t="s">
        <v>8012</v>
      </c>
      <c r="G2092" s="56">
        <v>148</v>
      </c>
      <c r="H2092" s="56">
        <v>60</v>
      </c>
      <c r="I2092" s="56">
        <v>0.40540540540540543</v>
      </c>
      <c r="J2092" s="56" t="s">
        <v>1631</v>
      </c>
      <c r="K2092" s="56" t="s">
        <v>1893</v>
      </c>
      <c r="L2092" s="56" t="s">
        <v>3162</v>
      </c>
      <c r="N2092" s="56" t="s">
        <v>3448</v>
      </c>
      <c r="O2092" t="str">
        <f>_xlfn.XLOOKUP(N2092,'Error-codes'!$C$2:$C$130,'Error-codes'!$B$2:$B$130, "None")</f>
        <v>end of lane open sensor error</v>
      </c>
      <c r="U2092" s="81">
        <f>DATEVALUE(LEFT(F2092,10))</f>
        <v>45014</v>
      </c>
    </row>
    <row r="2093" spans="1:21">
      <c r="A2093" s="56"/>
      <c r="B2093" s="56" t="s">
        <v>29</v>
      </c>
      <c r="C2093" s="56" t="s">
        <v>7958</v>
      </c>
      <c r="D2093" s="56" t="s">
        <v>37</v>
      </c>
      <c r="E2093" s="56" t="s">
        <v>2939</v>
      </c>
      <c r="F2093" s="56" t="s">
        <v>8013</v>
      </c>
      <c r="G2093" s="56">
        <v>148</v>
      </c>
      <c r="H2093" s="56">
        <v>61</v>
      </c>
      <c r="I2093" s="56">
        <v>0.41216216216216217</v>
      </c>
      <c r="J2093" s="56" t="s">
        <v>7283</v>
      </c>
      <c r="K2093" s="56" t="s">
        <v>1893</v>
      </c>
      <c r="L2093" s="56" t="s">
        <v>3162</v>
      </c>
      <c r="N2093" s="56" t="s">
        <v>3448</v>
      </c>
      <c r="O2093" t="str">
        <f>_xlfn.XLOOKUP(N2093,'Error-codes'!$C$2:$C$130,'Error-codes'!$B$2:$B$130, "None")</f>
        <v>end of lane open sensor error</v>
      </c>
      <c r="U2093" s="81">
        <f>DATEVALUE(LEFT(F2093,10))</f>
        <v>45014</v>
      </c>
    </row>
    <row r="2094" spans="1:21">
      <c r="A2094" s="56"/>
      <c r="B2094" s="56" t="s">
        <v>29</v>
      </c>
      <c r="C2094" s="56" t="s">
        <v>7958</v>
      </c>
      <c r="D2094" s="56" t="s">
        <v>37</v>
      </c>
      <c r="E2094" s="56" t="s">
        <v>2939</v>
      </c>
      <c r="F2094" s="56" t="s">
        <v>8014</v>
      </c>
      <c r="G2094" s="56">
        <v>148</v>
      </c>
      <c r="H2094" s="56">
        <v>62</v>
      </c>
      <c r="I2094" s="56">
        <v>0.41891891891891891</v>
      </c>
      <c r="J2094" s="56" t="s">
        <v>3315</v>
      </c>
      <c r="K2094" s="56" t="s">
        <v>1893</v>
      </c>
      <c r="L2094" s="56" t="s">
        <v>3162</v>
      </c>
      <c r="N2094" s="56" t="s">
        <v>3448</v>
      </c>
      <c r="O2094" t="str">
        <f>_xlfn.XLOOKUP(N2094,'Error-codes'!$C$2:$C$130,'Error-codes'!$B$2:$B$130, "None")</f>
        <v>end of lane open sensor error</v>
      </c>
      <c r="U2094" s="81">
        <f>DATEVALUE(LEFT(F2094,10))</f>
        <v>45014</v>
      </c>
    </row>
    <row r="2095" spans="1:21">
      <c r="A2095" s="56"/>
      <c r="B2095" s="56" t="s">
        <v>29</v>
      </c>
      <c r="C2095" s="56" t="s">
        <v>7958</v>
      </c>
      <c r="D2095" s="56" t="s">
        <v>37</v>
      </c>
      <c r="E2095" s="56" t="s">
        <v>2939</v>
      </c>
      <c r="F2095" s="56" t="s">
        <v>8015</v>
      </c>
      <c r="G2095" s="56">
        <v>148</v>
      </c>
      <c r="H2095" s="56">
        <v>63</v>
      </c>
      <c r="I2095" s="56">
        <v>0.42567567567567566</v>
      </c>
      <c r="J2095" s="56" t="s">
        <v>7287</v>
      </c>
      <c r="K2095" s="56" t="s">
        <v>1893</v>
      </c>
      <c r="L2095" s="56" t="s">
        <v>3162</v>
      </c>
      <c r="N2095" s="56" t="s">
        <v>3448</v>
      </c>
      <c r="O2095" t="str">
        <f>_xlfn.XLOOKUP(N2095,'Error-codes'!$C$2:$C$130,'Error-codes'!$B$2:$B$130, "None")</f>
        <v>end of lane open sensor error</v>
      </c>
      <c r="U2095" s="81">
        <f>DATEVALUE(LEFT(F2095,10))</f>
        <v>45014</v>
      </c>
    </row>
    <row r="2096" spans="1:21">
      <c r="A2096" s="56"/>
      <c r="B2096" s="56" t="s">
        <v>29</v>
      </c>
      <c r="C2096" s="56" t="s">
        <v>7958</v>
      </c>
      <c r="D2096" s="56" t="s">
        <v>37</v>
      </c>
      <c r="E2096" s="56" t="s">
        <v>2939</v>
      </c>
      <c r="F2096" s="56" t="s">
        <v>8016</v>
      </c>
      <c r="G2096" s="56">
        <v>148</v>
      </c>
      <c r="H2096" s="56">
        <v>64</v>
      </c>
      <c r="I2096" s="56">
        <v>0.43243243243243246</v>
      </c>
      <c r="J2096" s="56" t="s">
        <v>7289</v>
      </c>
      <c r="K2096" s="56" t="s">
        <v>1893</v>
      </c>
      <c r="L2096" s="56" t="s">
        <v>3162</v>
      </c>
      <c r="N2096" s="56" t="s">
        <v>3448</v>
      </c>
      <c r="O2096" t="str">
        <f>_xlfn.XLOOKUP(N2096,'Error-codes'!$C$2:$C$130,'Error-codes'!$B$2:$B$130, "None")</f>
        <v>end of lane open sensor error</v>
      </c>
      <c r="U2096" s="81">
        <f>DATEVALUE(LEFT(F2096,10))</f>
        <v>45014</v>
      </c>
    </row>
    <row r="2097" spans="1:21">
      <c r="A2097" s="56"/>
      <c r="B2097" s="56" t="s">
        <v>29</v>
      </c>
      <c r="C2097" s="56" t="s">
        <v>7958</v>
      </c>
      <c r="D2097" s="56" t="s">
        <v>37</v>
      </c>
      <c r="E2097" s="56" t="s">
        <v>2939</v>
      </c>
      <c r="F2097" s="56" t="s">
        <v>8017</v>
      </c>
      <c r="G2097" s="56">
        <v>148</v>
      </c>
      <c r="H2097" s="56">
        <v>66</v>
      </c>
      <c r="I2097" s="56">
        <v>0.44594594594594594</v>
      </c>
      <c r="J2097" s="56" t="s">
        <v>7291</v>
      </c>
      <c r="K2097" s="56" t="s">
        <v>1893</v>
      </c>
      <c r="L2097" s="56" t="s">
        <v>3162</v>
      </c>
      <c r="N2097" s="56" t="s">
        <v>3448</v>
      </c>
      <c r="O2097" t="str">
        <f>_xlfn.XLOOKUP(N2097,'Error-codes'!$C$2:$C$130,'Error-codes'!$B$2:$B$130, "None")</f>
        <v>end of lane open sensor error</v>
      </c>
      <c r="U2097" s="81">
        <f>DATEVALUE(LEFT(F2097,10))</f>
        <v>45014</v>
      </c>
    </row>
    <row r="2098" spans="1:21">
      <c r="A2098" s="56"/>
      <c r="B2098" s="56" t="s">
        <v>29</v>
      </c>
      <c r="C2098" s="56" t="s">
        <v>7958</v>
      </c>
      <c r="D2098" s="56" t="s">
        <v>37</v>
      </c>
      <c r="E2098" s="56" t="s">
        <v>2939</v>
      </c>
      <c r="F2098" s="56" t="s">
        <v>8018</v>
      </c>
      <c r="G2098" s="56">
        <v>148</v>
      </c>
      <c r="H2098" s="56">
        <v>67</v>
      </c>
      <c r="I2098" s="56">
        <v>0.45270270270270269</v>
      </c>
      <c r="J2098" s="56" t="s">
        <v>4953</v>
      </c>
      <c r="K2098" s="56" t="s">
        <v>1893</v>
      </c>
      <c r="L2098" s="56" t="s">
        <v>3162</v>
      </c>
      <c r="N2098" s="56" t="s">
        <v>3448</v>
      </c>
      <c r="O2098" t="str">
        <f>_xlfn.XLOOKUP(N2098,'Error-codes'!$C$2:$C$130,'Error-codes'!$B$2:$B$130, "None")</f>
        <v>end of lane open sensor error</v>
      </c>
      <c r="U2098" s="81">
        <f>DATEVALUE(LEFT(F2098,10))</f>
        <v>45014</v>
      </c>
    </row>
    <row r="2099" spans="1:21">
      <c r="A2099" s="56"/>
      <c r="B2099" s="56" t="s">
        <v>29</v>
      </c>
      <c r="C2099" s="56" t="s">
        <v>7958</v>
      </c>
      <c r="D2099" s="56" t="s">
        <v>37</v>
      </c>
      <c r="E2099" s="56" t="s">
        <v>2939</v>
      </c>
      <c r="F2099" s="56" t="s">
        <v>8019</v>
      </c>
      <c r="G2099" s="56">
        <v>148</v>
      </c>
      <c r="H2099" s="56">
        <v>68</v>
      </c>
      <c r="I2099" s="56">
        <v>0.45945945945945948</v>
      </c>
      <c r="J2099" s="56" t="s">
        <v>7294</v>
      </c>
      <c r="K2099" s="56" t="s">
        <v>1893</v>
      </c>
      <c r="L2099" s="56" t="s">
        <v>3162</v>
      </c>
      <c r="N2099" s="56" t="s">
        <v>3448</v>
      </c>
      <c r="O2099" t="str">
        <f>_xlfn.XLOOKUP(N2099,'Error-codes'!$C$2:$C$130,'Error-codes'!$B$2:$B$130, "None")</f>
        <v>end of lane open sensor error</v>
      </c>
      <c r="U2099" s="81">
        <f>DATEVALUE(LEFT(F2099,10))</f>
        <v>45014</v>
      </c>
    </row>
    <row r="2100" spans="1:21">
      <c r="A2100" s="56"/>
      <c r="B2100" s="56" t="s">
        <v>29</v>
      </c>
      <c r="C2100" s="56" t="s">
        <v>7958</v>
      </c>
      <c r="D2100" s="56" t="s">
        <v>37</v>
      </c>
      <c r="E2100" s="56" t="s">
        <v>2939</v>
      </c>
      <c r="F2100" s="56" t="s">
        <v>8020</v>
      </c>
      <c r="G2100" s="56">
        <v>148</v>
      </c>
      <c r="H2100" s="56">
        <v>70</v>
      </c>
      <c r="I2100" s="56">
        <v>0.47297297297297297</v>
      </c>
      <c r="J2100" s="56" t="s">
        <v>65</v>
      </c>
      <c r="K2100" s="56" t="s">
        <v>1893</v>
      </c>
      <c r="L2100" s="56" t="s">
        <v>3162</v>
      </c>
      <c r="N2100" s="56" t="s">
        <v>3448</v>
      </c>
      <c r="O2100" t="str">
        <f>_xlfn.XLOOKUP(N2100,'Error-codes'!$C$2:$C$130,'Error-codes'!$B$2:$B$130, "None")</f>
        <v>end of lane open sensor error</v>
      </c>
      <c r="U2100" s="81">
        <f>DATEVALUE(LEFT(F2100,10))</f>
        <v>45014</v>
      </c>
    </row>
    <row r="2101" spans="1:21">
      <c r="A2101" s="56"/>
      <c r="B2101" s="56" t="s">
        <v>29</v>
      </c>
      <c r="C2101" s="56" t="s">
        <v>7958</v>
      </c>
      <c r="D2101" s="56" t="s">
        <v>37</v>
      </c>
      <c r="E2101" s="56" t="s">
        <v>2939</v>
      </c>
      <c r="F2101" s="56" t="s">
        <v>8021</v>
      </c>
      <c r="G2101" s="56">
        <v>148</v>
      </c>
      <c r="H2101" s="56">
        <v>71</v>
      </c>
      <c r="I2101" s="56">
        <v>0.47972972972972971</v>
      </c>
      <c r="J2101" s="56" t="s">
        <v>7297</v>
      </c>
      <c r="K2101" s="56" t="s">
        <v>1893</v>
      </c>
      <c r="L2101" s="56" t="s">
        <v>3162</v>
      </c>
      <c r="N2101" s="56" t="s">
        <v>3448</v>
      </c>
      <c r="O2101" t="str">
        <f>_xlfn.XLOOKUP(N2101,'Error-codes'!$C$2:$C$130,'Error-codes'!$B$2:$B$130, "None")</f>
        <v>end of lane open sensor error</v>
      </c>
      <c r="U2101" s="81">
        <f>DATEVALUE(LEFT(F2101,10))</f>
        <v>45014</v>
      </c>
    </row>
    <row r="2102" spans="1:21">
      <c r="A2102" s="56"/>
      <c r="B2102" s="56" t="s">
        <v>29</v>
      </c>
      <c r="C2102" s="56" t="s">
        <v>7958</v>
      </c>
      <c r="D2102" s="56" t="s">
        <v>37</v>
      </c>
      <c r="E2102" s="56" t="s">
        <v>2939</v>
      </c>
      <c r="F2102" s="56" t="s">
        <v>8022</v>
      </c>
      <c r="G2102" s="56">
        <v>148</v>
      </c>
      <c r="H2102" s="56">
        <v>73</v>
      </c>
      <c r="I2102" s="56">
        <v>0.49324324324324326</v>
      </c>
      <c r="J2102" s="56" t="s">
        <v>7299</v>
      </c>
      <c r="K2102" s="56" t="s">
        <v>1893</v>
      </c>
      <c r="L2102" s="56" t="s">
        <v>3162</v>
      </c>
      <c r="N2102" s="56" t="s">
        <v>3448</v>
      </c>
      <c r="O2102" t="str">
        <f>_xlfn.XLOOKUP(N2102,'Error-codes'!$C$2:$C$130,'Error-codes'!$B$2:$B$130, "None")</f>
        <v>end of lane open sensor error</v>
      </c>
      <c r="U2102" s="81">
        <f>DATEVALUE(LEFT(F2102,10))</f>
        <v>45014</v>
      </c>
    </row>
    <row r="2103" spans="1:21">
      <c r="A2103" s="56"/>
      <c r="B2103" s="56" t="s">
        <v>29</v>
      </c>
      <c r="C2103" s="56" t="s">
        <v>7958</v>
      </c>
      <c r="D2103" s="56" t="s">
        <v>37</v>
      </c>
      <c r="E2103" s="56" t="s">
        <v>2939</v>
      </c>
      <c r="F2103" s="56" t="s">
        <v>8023</v>
      </c>
      <c r="G2103" s="56">
        <v>148</v>
      </c>
      <c r="H2103" s="56">
        <v>74</v>
      </c>
      <c r="I2103" s="56">
        <v>0.5</v>
      </c>
      <c r="J2103" s="56" t="s">
        <v>7301</v>
      </c>
      <c r="K2103" s="56" t="s">
        <v>1893</v>
      </c>
      <c r="L2103" s="56" t="s">
        <v>3162</v>
      </c>
      <c r="N2103" s="56" t="s">
        <v>3448</v>
      </c>
      <c r="O2103" t="str">
        <f>_xlfn.XLOOKUP(N2103,'Error-codes'!$C$2:$C$130,'Error-codes'!$B$2:$B$130, "None")</f>
        <v>end of lane open sensor error</v>
      </c>
      <c r="U2103" s="81">
        <f>DATEVALUE(LEFT(F2103,10))</f>
        <v>45014</v>
      </c>
    </row>
    <row r="2104" spans="1:21">
      <c r="A2104" s="56"/>
      <c r="B2104" s="56" t="s">
        <v>29</v>
      </c>
      <c r="C2104" s="56" t="s">
        <v>7958</v>
      </c>
      <c r="D2104" s="56" t="s">
        <v>37</v>
      </c>
      <c r="E2104" s="56" t="s">
        <v>2939</v>
      </c>
      <c r="F2104" s="56" t="s">
        <v>8024</v>
      </c>
      <c r="G2104" s="56">
        <v>148</v>
      </c>
      <c r="H2104" s="56">
        <v>75</v>
      </c>
      <c r="I2104" s="56">
        <v>0.5067567567567568</v>
      </c>
      <c r="J2104" s="56" t="s">
        <v>3315</v>
      </c>
      <c r="K2104" s="56" t="s">
        <v>1893</v>
      </c>
      <c r="L2104" s="56" t="s">
        <v>3162</v>
      </c>
      <c r="N2104" s="56" t="s">
        <v>3448</v>
      </c>
      <c r="O2104" t="str">
        <f>_xlfn.XLOOKUP(N2104,'Error-codes'!$C$2:$C$130,'Error-codes'!$B$2:$B$130, "None")</f>
        <v>end of lane open sensor error</v>
      </c>
      <c r="U2104" s="81">
        <f>DATEVALUE(LEFT(F2104,10))</f>
        <v>45014</v>
      </c>
    </row>
    <row r="2105" spans="1:21">
      <c r="A2105" s="56"/>
      <c r="B2105" s="56" t="s">
        <v>29</v>
      </c>
      <c r="C2105" s="56" t="s">
        <v>7958</v>
      </c>
      <c r="D2105" s="56" t="s">
        <v>37</v>
      </c>
      <c r="E2105" s="56" t="s">
        <v>2939</v>
      </c>
      <c r="F2105" s="56" t="s">
        <v>8025</v>
      </c>
      <c r="G2105" s="56">
        <v>148</v>
      </c>
      <c r="H2105" s="56">
        <v>76</v>
      </c>
      <c r="I2105" s="56">
        <v>0.51351351351351349</v>
      </c>
      <c r="J2105" s="56" t="s">
        <v>7305</v>
      </c>
      <c r="K2105" s="56" t="s">
        <v>1893</v>
      </c>
      <c r="L2105" s="56" t="s">
        <v>3162</v>
      </c>
      <c r="N2105" s="56" t="s">
        <v>3448</v>
      </c>
      <c r="O2105" t="str">
        <f>_xlfn.XLOOKUP(N2105,'Error-codes'!$C$2:$C$130,'Error-codes'!$B$2:$B$130, "None")</f>
        <v>end of lane open sensor error</v>
      </c>
      <c r="U2105" s="81">
        <f>DATEVALUE(LEFT(F2105,10))</f>
        <v>45014</v>
      </c>
    </row>
    <row r="2106" spans="1:21">
      <c r="A2106" s="56"/>
      <c r="B2106" s="56" t="s">
        <v>29</v>
      </c>
      <c r="C2106" s="56" t="s">
        <v>7958</v>
      </c>
      <c r="D2106" s="56" t="s">
        <v>37</v>
      </c>
      <c r="E2106" s="56" t="s">
        <v>2939</v>
      </c>
      <c r="F2106" s="56" t="s">
        <v>8026</v>
      </c>
      <c r="G2106" s="56">
        <v>148</v>
      </c>
      <c r="H2106" s="56">
        <v>77</v>
      </c>
      <c r="I2106" s="56">
        <v>0.52027027027027029</v>
      </c>
      <c r="J2106" s="56" t="s">
        <v>7307</v>
      </c>
      <c r="K2106" s="56" t="s">
        <v>1893</v>
      </c>
      <c r="L2106" s="56" t="s">
        <v>3162</v>
      </c>
      <c r="N2106" s="56" t="s">
        <v>3448</v>
      </c>
      <c r="O2106" t="str">
        <f>_xlfn.XLOOKUP(N2106,'Error-codes'!$C$2:$C$130,'Error-codes'!$B$2:$B$130, "None")</f>
        <v>end of lane open sensor error</v>
      </c>
      <c r="U2106" s="81">
        <f>DATEVALUE(LEFT(F2106,10))</f>
        <v>45014</v>
      </c>
    </row>
    <row r="2107" spans="1:21">
      <c r="A2107" s="56"/>
      <c r="B2107" s="56" t="s">
        <v>29</v>
      </c>
      <c r="C2107" s="56" t="s">
        <v>7958</v>
      </c>
      <c r="D2107" s="56" t="s">
        <v>37</v>
      </c>
      <c r="E2107" s="56" t="s">
        <v>2939</v>
      </c>
      <c r="F2107" s="56" t="s">
        <v>8027</v>
      </c>
      <c r="G2107" s="56">
        <v>148</v>
      </c>
      <c r="H2107" s="56">
        <v>78</v>
      </c>
      <c r="I2107" s="56">
        <v>0.52702702702702697</v>
      </c>
      <c r="J2107" s="56" t="s">
        <v>84</v>
      </c>
      <c r="K2107" s="56" t="s">
        <v>1893</v>
      </c>
      <c r="L2107" s="56" t="s">
        <v>3162</v>
      </c>
      <c r="N2107" s="56" t="s">
        <v>3448</v>
      </c>
      <c r="O2107" t="str">
        <f>_xlfn.XLOOKUP(N2107,'Error-codes'!$C$2:$C$130,'Error-codes'!$B$2:$B$130, "None")</f>
        <v>end of lane open sensor error</v>
      </c>
      <c r="U2107" s="81">
        <f>DATEVALUE(LEFT(F2107,10))</f>
        <v>45014</v>
      </c>
    </row>
    <row r="2108" spans="1:21">
      <c r="A2108" s="56"/>
      <c r="B2108" s="56" t="s">
        <v>29</v>
      </c>
      <c r="C2108" s="56" t="s">
        <v>7958</v>
      </c>
      <c r="D2108" s="56" t="s">
        <v>37</v>
      </c>
      <c r="E2108" s="56" t="s">
        <v>2939</v>
      </c>
      <c r="F2108" s="56" t="s">
        <v>8028</v>
      </c>
      <c r="G2108" s="56">
        <v>148</v>
      </c>
      <c r="H2108" s="56">
        <v>80</v>
      </c>
      <c r="I2108" s="56">
        <v>0.54054054054054057</v>
      </c>
      <c r="J2108" s="56" t="s">
        <v>7310</v>
      </c>
      <c r="K2108" s="56" t="s">
        <v>1893</v>
      </c>
      <c r="L2108" s="56" t="s">
        <v>3162</v>
      </c>
      <c r="N2108" s="56" t="s">
        <v>3448</v>
      </c>
      <c r="O2108" t="str">
        <f>_xlfn.XLOOKUP(N2108,'Error-codes'!$C$2:$C$130,'Error-codes'!$B$2:$B$130, "None")</f>
        <v>end of lane open sensor error</v>
      </c>
      <c r="U2108" s="81">
        <f>DATEVALUE(LEFT(F2108,10))</f>
        <v>45014</v>
      </c>
    </row>
    <row r="2109" spans="1:21">
      <c r="A2109" s="56"/>
      <c r="B2109" s="56" t="s">
        <v>29</v>
      </c>
      <c r="C2109" s="56" t="s">
        <v>7958</v>
      </c>
      <c r="D2109" s="56" t="s">
        <v>37</v>
      </c>
      <c r="E2109" s="56" t="s">
        <v>2939</v>
      </c>
      <c r="F2109" s="56" t="s">
        <v>8029</v>
      </c>
      <c r="G2109" s="56">
        <v>148</v>
      </c>
      <c r="H2109" s="56">
        <v>81</v>
      </c>
      <c r="I2109" s="56">
        <v>0.54729729729729726</v>
      </c>
      <c r="J2109" s="56" t="s">
        <v>7312</v>
      </c>
      <c r="K2109" s="56" t="s">
        <v>1893</v>
      </c>
      <c r="L2109" s="56" t="s">
        <v>3162</v>
      </c>
      <c r="N2109" s="56" t="s">
        <v>3448</v>
      </c>
      <c r="O2109" t="str">
        <f>_xlfn.XLOOKUP(N2109,'Error-codes'!$C$2:$C$130,'Error-codes'!$B$2:$B$130, "None")</f>
        <v>end of lane open sensor error</v>
      </c>
      <c r="U2109" s="81">
        <f>DATEVALUE(LEFT(F2109,10))</f>
        <v>45014</v>
      </c>
    </row>
    <row r="2110" spans="1:21">
      <c r="A2110" s="56"/>
      <c r="B2110" s="56" t="s">
        <v>29</v>
      </c>
      <c r="C2110" s="56" t="s">
        <v>7958</v>
      </c>
      <c r="D2110" s="56" t="s">
        <v>37</v>
      </c>
      <c r="E2110" s="56" t="s">
        <v>2939</v>
      </c>
      <c r="F2110" s="56" t="s">
        <v>8030</v>
      </c>
      <c r="G2110" s="56">
        <v>148</v>
      </c>
      <c r="H2110" s="56">
        <v>82</v>
      </c>
      <c r="I2110" s="56">
        <v>0.55405405405405406</v>
      </c>
      <c r="J2110" s="56" t="s">
        <v>7314</v>
      </c>
      <c r="K2110" s="56" t="s">
        <v>1893</v>
      </c>
      <c r="L2110" s="56" t="s">
        <v>3162</v>
      </c>
      <c r="N2110" s="56" t="s">
        <v>3448</v>
      </c>
      <c r="O2110" t="str">
        <f>_xlfn.XLOOKUP(N2110,'Error-codes'!$C$2:$C$130,'Error-codes'!$B$2:$B$130, "None")</f>
        <v>end of lane open sensor error</v>
      </c>
      <c r="U2110" s="81">
        <f>DATEVALUE(LEFT(F2110,10))</f>
        <v>45014</v>
      </c>
    </row>
    <row r="2111" spans="1:21">
      <c r="A2111" s="56"/>
      <c r="B2111" s="56" t="s">
        <v>29</v>
      </c>
      <c r="C2111" s="56" t="s">
        <v>7958</v>
      </c>
      <c r="D2111" s="56" t="s">
        <v>37</v>
      </c>
      <c r="E2111" s="56" t="s">
        <v>2939</v>
      </c>
      <c r="F2111" s="56" t="s">
        <v>8031</v>
      </c>
      <c r="G2111" s="56">
        <v>148</v>
      </c>
      <c r="H2111" s="56">
        <v>83</v>
      </c>
      <c r="I2111" s="56">
        <v>0.56081081081081086</v>
      </c>
      <c r="J2111" s="56" t="s">
        <v>7316</v>
      </c>
      <c r="K2111" s="56" t="s">
        <v>1893</v>
      </c>
      <c r="L2111" s="56" t="s">
        <v>3162</v>
      </c>
      <c r="N2111" s="56" t="s">
        <v>3448</v>
      </c>
      <c r="O2111" t="str">
        <f>_xlfn.XLOOKUP(N2111,'Error-codes'!$C$2:$C$130,'Error-codes'!$B$2:$B$130, "None")</f>
        <v>end of lane open sensor error</v>
      </c>
      <c r="U2111" s="81">
        <f>DATEVALUE(LEFT(F2111,10))</f>
        <v>45014</v>
      </c>
    </row>
    <row r="2112" spans="1:21">
      <c r="A2112" s="56"/>
      <c r="B2112" s="56" t="s">
        <v>29</v>
      </c>
      <c r="C2112" s="56" t="s">
        <v>7958</v>
      </c>
      <c r="D2112" s="56" t="s">
        <v>37</v>
      </c>
      <c r="E2112" s="56" t="s">
        <v>2939</v>
      </c>
      <c r="F2112" s="56" t="s">
        <v>8032</v>
      </c>
      <c r="G2112" s="56">
        <v>148</v>
      </c>
      <c r="H2112" s="56">
        <v>84</v>
      </c>
      <c r="I2112" s="56">
        <v>0.56756756756756754</v>
      </c>
      <c r="J2112" s="56" t="s">
        <v>1655</v>
      </c>
      <c r="K2112" s="56" t="s">
        <v>1893</v>
      </c>
      <c r="L2112" s="56" t="s">
        <v>3162</v>
      </c>
      <c r="N2112" s="56" t="s">
        <v>3448</v>
      </c>
      <c r="O2112" t="str">
        <f>_xlfn.XLOOKUP(N2112,'Error-codes'!$C$2:$C$130,'Error-codes'!$B$2:$B$130, "None")</f>
        <v>end of lane open sensor error</v>
      </c>
      <c r="U2112" s="81">
        <f>DATEVALUE(LEFT(F2112,10))</f>
        <v>45014</v>
      </c>
    </row>
    <row r="2113" spans="1:21">
      <c r="A2113" s="56"/>
      <c r="B2113" s="56" t="s">
        <v>29</v>
      </c>
      <c r="C2113" s="56" t="s">
        <v>7958</v>
      </c>
      <c r="D2113" s="56" t="s">
        <v>37</v>
      </c>
      <c r="E2113" s="56" t="s">
        <v>2939</v>
      </c>
      <c r="F2113" s="56" t="s">
        <v>8033</v>
      </c>
      <c r="G2113" s="56">
        <v>148</v>
      </c>
      <c r="H2113" s="56">
        <v>85</v>
      </c>
      <c r="I2113" s="56">
        <v>0.57432432432432434</v>
      </c>
      <c r="J2113" s="56" t="s">
        <v>8034</v>
      </c>
      <c r="K2113" s="56" t="s">
        <v>1893</v>
      </c>
      <c r="L2113" s="56" t="s">
        <v>3162</v>
      </c>
      <c r="N2113" s="56" t="s">
        <v>3448</v>
      </c>
      <c r="O2113" t="str">
        <f>_xlfn.XLOOKUP(N2113,'Error-codes'!$C$2:$C$130,'Error-codes'!$B$2:$B$130, "None")</f>
        <v>end of lane open sensor error</v>
      </c>
      <c r="U2113" s="81">
        <f>DATEVALUE(LEFT(F2113,10))</f>
        <v>45014</v>
      </c>
    </row>
    <row r="2114" spans="1:21">
      <c r="A2114" s="56"/>
      <c r="B2114" s="56" t="s">
        <v>29</v>
      </c>
      <c r="C2114" s="56" t="s">
        <v>7958</v>
      </c>
      <c r="D2114" s="56" t="s">
        <v>37</v>
      </c>
      <c r="E2114" s="56" t="s">
        <v>2939</v>
      </c>
      <c r="F2114" s="56" t="s">
        <v>8035</v>
      </c>
      <c r="G2114" s="56">
        <v>148</v>
      </c>
      <c r="H2114" s="56">
        <v>87</v>
      </c>
      <c r="I2114" s="56">
        <v>0.58783783783783783</v>
      </c>
      <c r="J2114" s="56" t="s">
        <v>7320</v>
      </c>
      <c r="K2114" s="56" t="s">
        <v>1893</v>
      </c>
      <c r="L2114" s="56" t="s">
        <v>3162</v>
      </c>
      <c r="N2114" s="56" t="s">
        <v>3448</v>
      </c>
      <c r="O2114" t="str">
        <f>_xlfn.XLOOKUP(N2114,'Error-codes'!$C$2:$C$130,'Error-codes'!$B$2:$B$130, "None")</f>
        <v>end of lane open sensor error</v>
      </c>
      <c r="U2114" s="81">
        <f>DATEVALUE(LEFT(F2114,10))</f>
        <v>45014</v>
      </c>
    </row>
    <row r="2115" spans="1:21">
      <c r="A2115" s="56"/>
      <c r="B2115" s="56" t="s">
        <v>29</v>
      </c>
      <c r="C2115" s="56" t="s">
        <v>7958</v>
      </c>
      <c r="D2115" s="56" t="s">
        <v>37</v>
      </c>
      <c r="E2115" s="56" t="s">
        <v>2939</v>
      </c>
      <c r="F2115" s="56" t="s">
        <v>8036</v>
      </c>
      <c r="G2115" s="56">
        <v>148</v>
      </c>
      <c r="H2115" s="56">
        <v>88</v>
      </c>
      <c r="I2115" s="56">
        <v>0.59459459459459463</v>
      </c>
      <c r="J2115" s="56" t="s">
        <v>7322</v>
      </c>
      <c r="K2115" s="56" t="s">
        <v>1893</v>
      </c>
      <c r="L2115" s="56" t="s">
        <v>3162</v>
      </c>
      <c r="N2115" s="56" t="s">
        <v>3448</v>
      </c>
      <c r="O2115" t="str">
        <f>_xlfn.XLOOKUP(N2115,'Error-codes'!$C$2:$C$130,'Error-codes'!$B$2:$B$130, "None")</f>
        <v>end of lane open sensor error</v>
      </c>
      <c r="U2115" s="81">
        <f>DATEVALUE(LEFT(F2115,10))</f>
        <v>45014</v>
      </c>
    </row>
    <row r="2116" spans="1:21">
      <c r="A2116" s="56"/>
      <c r="B2116" s="56" t="s">
        <v>29</v>
      </c>
      <c r="C2116" s="56" t="s">
        <v>7958</v>
      </c>
      <c r="D2116" s="56" t="s">
        <v>37</v>
      </c>
      <c r="E2116" s="56" t="s">
        <v>2939</v>
      </c>
      <c r="F2116" s="56" t="s">
        <v>8037</v>
      </c>
      <c r="G2116" s="56">
        <v>148</v>
      </c>
      <c r="H2116" s="56">
        <v>89</v>
      </c>
      <c r="I2116" s="56">
        <v>0.60135135135135132</v>
      </c>
      <c r="J2116" s="56" t="s">
        <v>7324</v>
      </c>
      <c r="K2116" s="56" t="s">
        <v>1893</v>
      </c>
      <c r="L2116" s="56" t="s">
        <v>3162</v>
      </c>
      <c r="N2116" s="56" t="s">
        <v>3448</v>
      </c>
      <c r="O2116" t="str">
        <f>_xlfn.XLOOKUP(N2116,'Error-codes'!$C$2:$C$130,'Error-codes'!$B$2:$B$130, "None")</f>
        <v>end of lane open sensor error</v>
      </c>
      <c r="U2116" s="81">
        <f>DATEVALUE(LEFT(F2116,10))</f>
        <v>45014</v>
      </c>
    </row>
    <row r="2117" spans="1:21">
      <c r="A2117" s="56"/>
      <c r="B2117" s="56" t="s">
        <v>29</v>
      </c>
      <c r="C2117" s="56" t="s">
        <v>7958</v>
      </c>
      <c r="D2117" s="56" t="s">
        <v>37</v>
      </c>
      <c r="E2117" s="56" t="s">
        <v>2939</v>
      </c>
      <c r="F2117" s="56" t="s">
        <v>8038</v>
      </c>
      <c r="G2117" s="56">
        <v>148</v>
      </c>
      <c r="H2117" s="56">
        <v>90</v>
      </c>
      <c r="I2117" s="56">
        <v>0.60810810810810811</v>
      </c>
      <c r="J2117" s="56" t="s">
        <v>7326</v>
      </c>
      <c r="K2117" s="56" t="s">
        <v>1893</v>
      </c>
      <c r="L2117" s="56" t="s">
        <v>3162</v>
      </c>
      <c r="N2117" s="56" t="s">
        <v>3448</v>
      </c>
      <c r="O2117" t="str">
        <f>_xlfn.XLOOKUP(N2117,'Error-codes'!$C$2:$C$130,'Error-codes'!$B$2:$B$130, "None")</f>
        <v>end of lane open sensor error</v>
      </c>
      <c r="U2117" s="81">
        <f>DATEVALUE(LEFT(F2117,10))</f>
        <v>45014</v>
      </c>
    </row>
    <row r="2118" spans="1:21">
      <c r="A2118" s="56"/>
      <c r="B2118" s="56" t="s">
        <v>29</v>
      </c>
      <c r="C2118" s="56" t="s">
        <v>7958</v>
      </c>
      <c r="D2118" s="56" t="s">
        <v>37</v>
      </c>
      <c r="E2118" s="56" t="s">
        <v>2939</v>
      </c>
      <c r="F2118" s="56" t="s">
        <v>8039</v>
      </c>
      <c r="G2118" s="56">
        <v>148</v>
      </c>
      <c r="H2118" s="56">
        <v>91</v>
      </c>
      <c r="I2118" s="56">
        <v>0.61486486486486491</v>
      </c>
      <c r="J2118" s="56" t="s">
        <v>1640</v>
      </c>
      <c r="K2118" s="56" t="s">
        <v>1893</v>
      </c>
      <c r="L2118" s="56" t="s">
        <v>3162</v>
      </c>
      <c r="N2118" s="56" t="s">
        <v>3448</v>
      </c>
      <c r="O2118" t="str">
        <f>_xlfn.XLOOKUP(N2118,'Error-codes'!$C$2:$C$130,'Error-codes'!$B$2:$B$130, "None")</f>
        <v>end of lane open sensor error</v>
      </c>
      <c r="U2118" s="81">
        <f>DATEVALUE(LEFT(F2118,10))</f>
        <v>45014</v>
      </c>
    </row>
    <row r="2119" spans="1:21">
      <c r="A2119" s="56"/>
      <c r="B2119" s="56" t="s">
        <v>29</v>
      </c>
      <c r="C2119" s="56" t="s">
        <v>7958</v>
      </c>
      <c r="D2119" s="56" t="s">
        <v>37</v>
      </c>
      <c r="E2119" s="56" t="s">
        <v>2939</v>
      </c>
      <c r="F2119" s="56" t="s">
        <v>8040</v>
      </c>
      <c r="G2119" s="56">
        <v>148</v>
      </c>
      <c r="H2119" s="56">
        <v>92</v>
      </c>
      <c r="I2119" s="56">
        <v>0.6216216216216216</v>
      </c>
      <c r="J2119" s="56" t="s">
        <v>1717</v>
      </c>
      <c r="K2119" s="56" t="s">
        <v>1893</v>
      </c>
      <c r="L2119" s="56" t="s">
        <v>3162</v>
      </c>
      <c r="N2119" s="56" t="s">
        <v>3448</v>
      </c>
      <c r="O2119" t="str">
        <f>_xlfn.XLOOKUP(N2119,'Error-codes'!$C$2:$C$130,'Error-codes'!$B$2:$B$130, "None")</f>
        <v>end of lane open sensor error</v>
      </c>
      <c r="U2119" s="81">
        <f>DATEVALUE(LEFT(F2119,10))</f>
        <v>45014</v>
      </c>
    </row>
    <row r="2120" spans="1:21">
      <c r="A2120" s="56"/>
      <c r="B2120" s="56" t="s">
        <v>29</v>
      </c>
      <c r="C2120" s="56" t="s">
        <v>7958</v>
      </c>
      <c r="D2120" s="56" t="s">
        <v>37</v>
      </c>
      <c r="E2120" s="56" t="s">
        <v>2939</v>
      </c>
      <c r="F2120" s="56" t="s">
        <v>8041</v>
      </c>
      <c r="G2120" s="56">
        <v>148</v>
      </c>
      <c r="H2120" s="56">
        <v>94</v>
      </c>
      <c r="I2120" s="56">
        <v>0.63513513513513509</v>
      </c>
      <c r="J2120" s="56" t="s">
        <v>7330</v>
      </c>
      <c r="K2120" s="56" t="s">
        <v>1893</v>
      </c>
      <c r="L2120" s="56" t="s">
        <v>3162</v>
      </c>
      <c r="N2120" s="56" t="s">
        <v>3448</v>
      </c>
      <c r="O2120" t="str">
        <f>_xlfn.XLOOKUP(N2120,'Error-codes'!$C$2:$C$130,'Error-codes'!$B$2:$B$130, "None")</f>
        <v>end of lane open sensor error</v>
      </c>
      <c r="U2120" s="81">
        <f>DATEVALUE(LEFT(F2120,10))</f>
        <v>45014</v>
      </c>
    </row>
    <row r="2121" spans="1:21">
      <c r="A2121" s="56"/>
      <c r="B2121" s="56" t="s">
        <v>29</v>
      </c>
      <c r="C2121" s="56" t="s">
        <v>7958</v>
      </c>
      <c r="D2121" s="56" t="s">
        <v>37</v>
      </c>
      <c r="E2121" s="56" t="s">
        <v>2939</v>
      </c>
      <c r="F2121" s="56" t="s">
        <v>8042</v>
      </c>
      <c r="G2121" s="56">
        <v>148</v>
      </c>
      <c r="H2121" s="56">
        <v>95</v>
      </c>
      <c r="I2121" s="56">
        <v>0.64189189189189189</v>
      </c>
      <c r="J2121" s="56" t="s">
        <v>7332</v>
      </c>
      <c r="K2121" s="56" t="s">
        <v>1893</v>
      </c>
      <c r="L2121" s="56" t="s">
        <v>3162</v>
      </c>
      <c r="N2121" s="56" t="s">
        <v>3448</v>
      </c>
      <c r="O2121" t="str">
        <f>_xlfn.XLOOKUP(N2121,'Error-codes'!$C$2:$C$130,'Error-codes'!$B$2:$B$130, "None")</f>
        <v>end of lane open sensor error</v>
      </c>
      <c r="U2121" s="81">
        <f>DATEVALUE(LEFT(F2121,10))</f>
        <v>45014</v>
      </c>
    </row>
    <row r="2122" spans="1:21">
      <c r="A2122" s="56"/>
      <c r="B2122" s="56" t="s">
        <v>29</v>
      </c>
      <c r="C2122" s="56" t="s">
        <v>7958</v>
      </c>
      <c r="D2122" s="56" t="s">
        <v>37</v>
      </c>
      <c r="E2122" s="56" t="s">
        <v>2939</v>
      </c>
      <c r="F2122" s="56" t="s">
        <v>8043</v>
      </c>
      <c r="G2122" s="56">
        <v>148</v>
      </c>
      <c r="H2122" s="56">
        <v>96</v>
      </c>
      <c r="I2122" s="56">
        <v>0.64864864864864868</v>
      </c>
      <c r="J2122" s="56" t="s">
        <v>7334</v>
      </c>
      <c r="K2122" s="56" t="s">
        <v>1893</v>
      </c>
      <c r="L2122" s="56" t="s">
        <v>3162</v>
      </c>
      <c r="N2122" s="56" t="s">
        <v>3448</v>
      </c>
      <c r="O2122" t="str">
        <f>_xlfn.XLOOKUP(N2122,'Error-codes'!$C$2:$C$130,'Error-codes'!$B$2:$B$130, "None")</f>
        <v>end of lane open sensor error</v>
      </c>
      <c r="U2122" s="81">
        <f>DATEVALUE(LEFT(F2122,10))</f>
        <v>45014</v>
      </c>
    </row>
    <row r="2123" spans="1:21">
      <c r="A2123" s="56"/>
      <c r="B2123" s="56" t="s">
        <v>29</v>
      </c>
      <c r="C2123" s="56" t="s">
        <v>7958</v>
      </c>
      <c r="D2123" s="56" t="s">
        <v>37</v>
      </c>
      <c r="E2123" s="56" t="s">
        <v>2939</v>
      </c>
      <c r="F2123" s="56" t="s">
        <v>8044</v>
      </c>
      <c r="G2123" s="56">
        <v>148</v>
      </c>
      <c r="H2123" s="56">
        <v>97</v>
      </c>
      <c r="I2123" s="56">
        <v>0.65540540540540537</v>
      </c>
      <c r="J2123" s="56" t="s">
        <v>7336</v>
      </c>
      <c r="K2123" s="56" t="s">
        <v>1893</v>
      </c>
      <c r="L2123" s="56" t="s">
        <v>3162</v>
      </c>
      <c r="N2123" s="56" t="s">
        <v>3448</v>
      </c>
      <c r="O2123" t="str">
        <f>_xlfn.XLOOKUP(N2123,'Error-codes'!$C$2:$C$130,'Error-codes'!$B$2:$B$130, "None")</f>
        <v>end of lane open sensor error</v>
      </c>
      <c r="U2123" s="81">
        <f>DATEVALUE(LEFT(F2123,10))</f>
        <v>45015</v>
      </c>
    </row>
    <row r="2124" spans="1:21">
      <c r="A2124" s="56"/>
      <c r="B2124" s="56" t="s">
        <v>29</v>
      </c>
      <c r="C2124" s="56" t="s">
        <v>7958</v>
      </c>
      <c r="D2124" s="56" t="s">
        <v>37</v>
      </c>
      <c r="E2124" s="56" t="s">
        <v>2939</v>
      </c>
      <c r="F2124" s="56" t="s">
        <v>8045</v>
      </c>
      <c r="G2124" s="56">
        <v>148</v>
      </c>
      <c r="H2124" s="56">
        <v>98</v>
      </c>
      <c r="I2124" s="56">
        <v>0.66216216216216217</v>
      </c>
      <c r="J2124" s="56" t="s">
        <v>7338</v>
      </c>
      <c r="K2124" s="56" t="s">
        <v>1893</v>
      </c>
      <c r="L2124" s="56" t="s">
        <v>3162</v>
      </c>
      <c r="N2124" s="56" t="s">
        <v>3448</v>
      </c>
      <c r="O2124" t="str">
        <f>_xlfn.XLOOKUP(N2124,'Error-codes'!$C$2:$C$130,'Error-codes'!$B$2:$B$130, "None")</f>
        <v>end of lane open sensor error</v>
      </c>
      <c r="U2124" s="81">
        <f>DATEVALUE(LEFT(F2124,10))</f>
        <v>45015</v>
      </c>
    </row>
    <row r="2125" spans="1:21">
      <c r="A2125" s="56"/>
      <c r="B2125" s="56" t="s">
        <v>29</v>
      </c>
      <c r="C2125" s="56" t="s">
        <v>7958</v>
      </c>
      <c r="D2125" s="56" t="s">
        <v>37</v>
      </c>
      <c r="E2125" s="56" t="s">
        <v>2939</v>
      </c>
      <c r="F2125" s="56" t="s">
        <v>8046</v>
      </c>
      <c r="G2125" s="56">
        <v>148</v>
      </c>
      <c r="H2125" s="56">
        <v>99</v>
      </c>
      <c r="I2125" s="56">
        <v>0.66891891891891897</v>
      </c>
      <c r="J2125" s="56" t="s">
        <v>1546</v>
      </c>
      <c r="K2125" s="56" t="s">
        <v>1893</v>
      </c>
      <c r="L2125" s="56" t="s">
        <v>3162</v>
      </c>
      <c r="N2125" s="56" t="s">
        <v>3448</v>
      </c>
      <c r="O2125" t="str">
        <f>_xlfn.XLOOKUP(N2125,'Error-codes'!$C$2:$C$130,'Error-codes'!$B$2:$B$130, "None")</f>
        <v>end of lane open sensor error</v>
      </c>
      <c r="U2125" s="81">
        <f>DATEVALUE(LEFT(F2125,10))</f>
        <v>45015</v>
      </c>
    </row>
    <row r="2126" spans="1:21">
      <c r="A2126" s="56"/>
      <c r="B2126" s="56" t="s">
        <v>29</v>
      </c>
      <c r="C2126" s="56" t="s">
        <v>7958</v>
      </c>
      <c r="D2126" s="56" t="s">
        <v>37</v>
      </c>
      <c r="E2126" s="56" t="s">
        <v>2939</v>
      </c>
      <c r="F2126" s="56" t="s">
        <v>8047</v>
      </c>
      <c r="G2126" s="56">
        <v>148</v>
      </c>
      <c r="H2126" s="56">
        <v>101</v>
      </c>
      <c r="I2126" s="56">
        <v>0.68243243243243246</v>
      </c>
      <c r="J2126" s="56" t="s">
        <v>7341</v>
      </c>
      <c r="K2126" s="56" t="s">
        <v>1893</v>
      </c>
      <c r="L2126" s="56" t="s">
        <v>3162</v>
      </c>
      <c r="N2126" s="56" t="s">
        <v>3448</v>
      </c>
      <c r="O2126" t="str">
        <f>_xlfn.XLOOKUP(N2126,'Error-codes'!$C$2:$C$130,'Error-codes'!$B$2:$B$130, "None")</f>
        <v>end of lane open sensor error</v>
      </c>
      <c r="U2126" s="81">
        <f>DATEVALUE(LEFT(F2126,10))</f>
        <v>45015</v>
      </c>
    </row>
    <row r="2127" spans="1:21">
      <c r="A2127" s="56"/>
      <c r="B2127" s="56" t="s">
        <v>29</v>
      </c>
      <c r="C2127" s="56" t="s">
        <v>7958</v>
      </c>
      <c r="D2127" s="56" t="s">
        <v>37</v>
      </c>
      <c r="E2127" s="56" t="s">
        <v>2939</v>
      </c>
      <c r="F2127" s="56" t="s">
        <v>8048</v>
      </c>
      <c r="G2127" s="56">
        <v>148</v>
      </c>
      <c r="H2127" s="56">
        <v>102</v>
      </c>
      <c r="I2127" s="56">
        <v>0.68918918918918914</v>
      </c>
      <c r="J2127" s="56" t="s">
        <v>164</v>
      </c>
      <c r="K2127" s="56" t="s">
        <v>1893</v>
      </c>
      <c r="L2127" s="56" t="s">
        <v>3162</v>
      </c>
      <c r="N2127" s="56" t="s">
        <v>3448</v>
      </c>
      <c r="O2127" t="str">
        <f>_xlfn.XLOOKUP(N2127,'Error-codes'!$C$2:$C$130,'Error-codes'!$B$2:$B$130, "None")</f>
        <v>end of lane open sensor error</v>
      </c>
      <c r="U2127" s="81">
        <f>DATEVALUE(LEFT(F2127,10))</f>
        <v>45015</v>
      </c>
    </row>
    <row r="2128" spans="1:21">
      <c r="A2128" s="56"/>
      <c r="B2128" s="56" t="s">
        <v>29</v>
      </c>
      <c r="C2128" s="56" t="s">
        <v>7958</v>
      </c>
      <c r="D2128" s="56" t="s">
        <v>37</v>
      </c>
      <c r="E2128" s="56" t="s">
        <v>2939</v>
      </c>
      <c r="F2128" s="56" t="s">
        <v>8049</v>
      </c>
      <c r="G2128" s="56">
        <v>148</v>
      </c>
      <c r="H2128" s="56">
        <v>103</v>
      </c>
      <c r="I2128" s="56">
        <v>0.69594594594594594</v>
      </c>
      <c r="J2128" s="56" t="s">
        <v>7344</v>
      </c>
      <c r="K2128" s="56" t="s">
        <v>1893</v>
      </c>
      <c r="L2128" s="56" t="s">
        <v>3162</v>
      </c>
      <c r="N2128" s="56" t="s">
        <v>3448</v>
      </c>
      <c r="O2128" t="str">
        <f>_xlfn.XLOOKUP(N2128,'Error-codes'!$C$2:$C$130,'Error-codes'!$B$2:$B$130, "None")</f>
        <v>end of lane open sensor error</v>
      </c>
      <c r="U2128" s="81">
        <f>DATEVALUE(LEFT(F2128,10))</f>
        <v>45015</v>
      </c>
    </row>
    <row r="2129" spans="1:21">
      <c r="A2129" s="56"/>
      <c r="B2129" s="56" t="s">
        <v>29</v>
      </c>
      <c r="C2129" s="56" t="s">
        <v>7958</v>
      </c>
      <c r="D2129" s="56" t="s">
        <v>37</v>
      </c>
      <c r="E2129" s="56" t="s">
        <v>2939</v>
      </c>
      <c r="F2129" s="56" t="s">
        <v>8050</v>
      </c>
      <c r="G2129" s="56">
        <v>148</v>
      </c>
      <c r="H2129" s="56">
        <v>105</v>
      </c>
      <c r="I2129" s="56">
        <v>0.70945945945945943</v>
      </c>
      <c r="J2129" s="56" t="s">
        <v>7346</v>
      </c>
      <c r="K2129" s="56" t="s">
        <v>1893</v>
      </c>
      <c r="L2129" s="56" t="s">
        <v>3162</v>
      </c>
      <c r="N2129" s="56" t="s">
        <v>3448</v>
      </c>
      <c r="O2129" t="str">
        <f>_xlfn.XLOOKUP(N2129,'Error-codes'!$C$2:$C$130,'Error-codes'!$B$2:$B$130, "None")</f>
        <v>end of lane open sensor error</v>
      </c>
      <c r="U2129" s="81">
        <f>DATEVALUE(LEFT(F2129,10))</f>
        <v>45015</v>
      </c>
    </row>
    <row r="2130" spans="1:21">
      <c r="A2130" s="56"/>
      <c r="B2130" s="56" t="s">
        <v>29</v>
      </c>
      <c r="C2130" s="56" t="s">
        <v>7958</v>
      </c>
      <c r="D2130" s="56" t="s">
        <v>37</v>
      </c>
      <c r="E2130" s="56" t="s">
        <v>2939</v>
      </c>
      <c r="F2130" s="56" t="s">
        <v>8051</v>
      </c>
      <c r="G2130" s="56">
        <v>148</v>
      </c>
      <c r="H2130" s="56">
        <v>106</v>
      </c>
      <c r="I2130" s="56">
        <v>0.71621621621621623</v>
      </c>
      <c r="J2130" s="56" t="s">
        <v>7348</v>
      </c>
      <c r="K2130" s="56" t="s">
        <v>1893</v>
      </c>
      <c r="L2130" s="56" t="s">
        <v>3162</v>
      </c>
      <c r="N2130" s="56" t="s">
        <v>3448</v>
      </c>
      <c r="O2130" t="str">
        <f>_xlfn.XLOOKUP(N2130,'Error-codes'!$C$2:$C$130,'Error-codes'!$B$2:$B$130, "None")</f>
        <v>end of lane open sensor error</v>
      </c>
      <c r="U2130" s="81">
        <f>DATEVALUE(LEFT(F2130,10))</f>
        <v>45015</v>
      </c>
    </row>
    <row r="2131" spans="1:21">
      <c r="A2131" s="56"/>
      <c r="B2131" s="56" t="s">
        <v>29</v>
      </c>
      <c r="C2131" s="56" t="s">
        <v>7958</v>
      </c>
      <c r="D2131" s="56" t="s">
        <v>37</v>
      </c>
      <c r="E2131" s="56" t="s">
        <v>2939</v>
      </c>
      <c r="F2131" s="56" t="s">
        <v>8052</v>
      </c>
      <c r="G2131" s="56">
        <v>148</v>
      </c>
      <c r="H2131" s="56">
        <v>108</v>
      </c>
      <c r="I2131" s="56">
        <v>0.72972972972972971</v>
      </c>
      <c r="J2131" s="56" t="s">
        <v>7350</v>
      </c>
      <c r="K2131" s="56" t="s">
        <v>1893</v>
      </c>
      <c r="L2131" s="56" t="s">
        <v>3162</v>
      </c>
      <c r="N2131" s="56" t="s">
        <v>3448</v>
      </c>
      <c r="O2131" t="str">
        <f>_xlfn.XLOOKUP(N2131,'Error-codes'!$C$2:$C$130,'Error-codes'!$B$2:$B$130, "None")</f>
        <v>end of lane open sensor error</v>
      </c>
      <c r="U2131" s="81">
        <f>DATEVALUE(LEFT(F2131,10))</f>
        <v>45015</v>
      </c>
    </row>
    <row r="2132" spans="1:21">
      <c r="A2132" s="56"/>
      <c r="B2132" s="56" t="s">
        <v>29</v>
      </c>
      <c r="C2132" s="56" t="s">
        <v>7958</v>
      </c>
      <c r="D2132" s="56" t="s">
        <v>37</v>
      </c>
      <c r="E2132" s="56" t="s">
        <v>3242</v>
      </c>
      <c r="F2132" s="56" t="s">
        <v>8053</v>
      </c>
      <c r="G2132" s="56">
        <v>148</v>
      </c>
      <c r="H2132" s="56">
        <v>109</v>
      </c>
      <c r="I2132" s="56">
        <v>0.73648648648648651</v>
      </c>
      <c r="J2132" s="56" t="s">
        <v>5000</v>
      </c>
      <c r="K2132" s="56" t="s">
        <v>1893</v>
      </c>
      <c r="L2132" s="56" t="s">
        <v>3162</v>
      </c>
      <c r="N2132" s="56" t="s">
        <v>3472</v>
      </c>
      <c r="O2132" t="str">
        <f>_xlfn.XLOOKUP(N2132,'Error-codes'!$C$2:$C$130,'Error-codes'!$B$2:$B$130, "None")</f>
        <v>Excessive slip detected</v>
      </c>
      <c r="U2132" s="81">
        <f>DATEVALUE(LEFT(F2132,10))</f>
        <v>45015</v>
      </c>
    </row>
    <row r="2133" spans="1:21">
      <c r="B2133" s="56" t="s">
        <v>2886</v>
      </c>
      <c r="C2133" s="56" t="s">
        <v>8054</v>
      </c>
      <c r="D2133" s="56" t="s">
        <v>388</v>
      </c>
      <c r="F2133" s="56" t="s">
        <v>8055</v>
      </c>
      <c r="G2133" s="56">
        <v>105</v>
      </c>
      <c r="H2133" s="56">
        <v>105</v>
      </c>
      <c r="I2133" s="56">
        <v>1</v>
      </c>
      <c r="K2133" s="56" t="s">
        <v>2171</v>
      </c>
      <c r="L2133" s="56" t="s">
        <v>2932</v>
      </c>
      <c r="O2133">
        <f>_xlfn.XLOOKUP(N2133,'Error-codes'!$C$2:$C$130,'Error-codes'!$B$2:$B$130, "None")</f>
        <v>0</v>
      </c>
      <c r="U2133" s="81">
        <f>DATEVALUE(LEFT(F2133,10))</f>
        <v>45015</v>
      </c>
    </row>
    <row r="2134" spans="1:21">
      <c r="B2134" s="56" t="s">
        <v>2886</v>
      </c>
      <c r="C2134" s="56" t="s">
        <v>8054</v>
      </c>
      <c r="D2134" s="56" t="s">
        <v>388</v>
      </c>
      <c r="F2134" s="56" t="s">
        <v>8055</v>
      </c>
      <c r="G2134" s="56">
        <v>105</v>
      </c>
      <c r="H2134" s="56">
        <v>105</v>
      </c>
      <c r="I2134" s="56">
        <v>1</v>
      </c>
      <c r="K2134" s="56" t="s">
        <v>2171</v>
      </c>
      <c r="L2134" s="56" t="s">
        <v>2932</v>
      </c>
      <c r="O2134">
        <f>_xlfn.XLOOKUP(N2134,'Error-codes'!$C$2:$C$130,'Error-codes'!$B$2:$B$130, "None")</f>
        <v>0</v>
      </c>
      <c r="U2134" s="81">
        <f>DATEVALUE(LEFT(F2134,10))</f>
        <v>45015</v>
      </c>
    </row>
    <row r="2135" spans="1:21">
      <c r="B2135" s="56" t="s">
        <v>228</v>
      </c>
      <c r="C2135" s="56" t="s">
        <v>8056</v>
      </c>
      <c r="D2135" s="56" t="s">
        <v>388</v>
      </c>
      <c r="F2135" s="56" t="s">
        <v>8057</v>
      </c>
      <c r="G2135" s="56">
        <v>100</v>
      </c>
      <c r="H2135" s="56">
        <v>100</v>
      </c>
      <c r="I2135" s="56">
        <v>1</v>
      </c>
      <c r="K2135" s="56" t="s">
        <v>2166</v>
      </c>
      <c r="L2135" s="56" t="s">
        <v>2948</v>
      </c>
      <c r="O2135">
        <f>_xlfn.XLOOKUP(N2135,'Error-codes'!$C$2:$C$130,'Error-codes'!$B$2:$B$130, "None")</f>
        <v>0</v>
      </c>
      <c r="U2135" s="81">
        <f>DATEVALUE(LEFT(F2135,10))</f>
        <v>45015</v>
      </c>
    </row>
    <row r="2136" spans="1:21">
      <c r="B2136" s="56" t="s">
        <v>228</v>
      </c>
      <c r="C2136" s="56" t="s">
        <v>8056</v>
      </c>
      <c r="D2136" s="56" t="s">
        <v>388</v>
      </c>
      <c r="F2136" s="56" t="s">
        <v>8057</v>
      </c>
      <c r="G2136" s="56">
        <v>100</v>
      </c>
      <c r="H2136" s="56">
        <v>100</v>
      </c>
      <c r="I2136" s="56">
        <v>1</v>
      </c>
      <c r="K2136" s="56" t="s">
        <v>2166</v>
      </c>
      <c r="L2136" s="56" t="s">
        <v>2948</v>
      </c>
      <c r="O2136">
        <f>_xlfn.XLOOKUP(N2136,'Error-codes'!$C$2:$C$130,'Error-codes'!$B$2:$B$130, "None")</f>
        <v>0</v>
      </c>
      <c r="U2136" s="81">
        <f>DATEVALUE(LEFT(F2136,10))</f>
        <v>45015</v>
      </c>
    </row>
    <row r="2137" spans="1:21">
      <c r="A2137" s="56" t="s">
        <v>8058</v>
      </c>
      <c r="B2137" s="56" t="s">
        <v>3202</v>
      </c>
      <c r="C2137" s="56" t="s">
        <v>8059</v>
      </c>
      <c r="D2137" s="56" t="s">
        <v>37</v>
      </c>
      <c r="E2137" s="56" t="s">
        <v>2939</v>
      </c>
      <c r="F2137" s="56" t="s">
        <v>8060</v>
      </c>
      <c r="G2137" s="56">
        <v>7</v>
      </c>
      <c r="H2137" s="56">
        <v>0</v>
      </c>
      <c r="I2137" s="56">
        <v>0</v>
      </c>
      <c r="J2137" s="56" t="s">
        <v>3335</v>
      </c>
      <c r="K2137" s="56" t="s">
        <v>3207</v>
      </c>
      <c r="L2137" s="56" t="s">
        <v>3208</v>
      </c>
      <c r="M2137" s="56" t="str">
        <f>HYPERLINK("https://dribble.octin.io/?mode=Single+log&amp;log_id=6c782399-64c0-40fa-91c2-fe25e8a7b0fc","URL")</f>
        <v>URL</v>
      </c>
      <c r="N2137" s="56" t="s">
        <v>3454</v>
      </c>
      <c r="O2137" t="str">
        <f>_xlfn.XLOOKUP(N2137,'Error-codes'!$C$2:$C$130,'Error-codes'!$B$2:$B$130, "None")</f>
        <v>Veh low level FSM: safety was triggered</v>
      </c>
      <c r="U2137" s="81">
        <f>DATEVALUE(LEFT(F2137,10))</f>
        <v>45014</v>
      </c>
    </row>
    <row r="2138" spans="1:21">
      <c r="A2138" s="56" t="s">
        <v>8061</v>
      </c>
      <c r="B2138" s="56" t="s">
        <v>3202</v>
      </c>
      <c r="C2138" s="56" t="s">
        <v>8059</v>
      </c>
      <c r="D2138" s="56" t="s">
        <v>37</v>
      </c>
      <c r="E2138" s="56" t="s">
        <v>6607</v>
      </c>
      <c r="F2138" s="56" t="s">
        <v>8062</v>
      </c>
      <c r="G2138" s="56">
        <v>7</v>
      </c>
      <c r="H2138" s="56">
        <v>1</v>
      </c>
      <c r="I2138" s="56">
        <v>0.14285714285714285</v>
      </c>
      <c r="J2138" s="56" t="s">
        <v>8063</v>
      </c>
      <c r="K2138" s="56" t="s">
        <v>3207</v>
      </c>
      <c r="L2138" s="56" t="s">
        <v>3208</v>
      </c>
      <c r="M2138" s="56" t="str">
        <f>HYPERLINK("https://dribble.octin.io/?mode=Single+log&amp;log_id=61f39cd4-1c30-4277-a956-1d50c1e7face","URL")</f>
        <v>URL</v>
      </c>
      <c r="N2138" s="56" t="s">
        <v>3456</v>
      </c>
      <c r="O2138" t="str">
        <f>_xlfn.XLOOKUP(N2138,'Error-codes'!$C$2:$C$130,'Error-codes'!$B$2:$B$130, "None")</f>
        <v>motor drive: OVER VOLTAGE</v>
      </c>
      <c r="U2138" s="81">
        <f>DATEVALUE(LEFT(F2138,10))</f>
        <v>45014</v>
      </c>
    </row>
    <row r="2139" spans="1:21">
      <c r="A2139" s="56" t="s">
        <v>8064</v>
      </c>
      <c r="B2139" s="56" t="s">
        <v>3202</v>
      </c>
      <c r="C2139" s="56" t="s">
        <v>8065</v>
      </c>
      <c r="D2139" s="56" t="s">
        <v>37</v>
      </c>
      <c r="E2139" s="56" t="s">
        <v>2939</v>
      </c>
      <c r="F2139" s="56" t="s">
        <v>8066</v>
      </c>
      <c r="G2139" s="56">
        <v>42</v>
      </c>
      <c r="H2139" s="56">
        <v>0</v>
      </c>
      <c r="I2139" s="56">
        <v>0</v>
      </c>
      <c r="J2139" s="56" t="s">
        <v>3229</v>
      </c>
      <c r="K2139" s="56" t="s">
        <v>3207</v>
      </c>
      <c r="L2139" s="56" t="s">
        <v>3208</v>
      </c>
      <c r="M2139" s="56" t="str">
        <f>HYPERLINK("https://dribble.octin.io/?mode=Single+log&amp;log_id=de94926e-a168-444f-be6c-f015c11a66a0","URL")</f>
        <v>URL</v>
      </c>
      <c r="N2139" s="56" t="s">
        <v>2933</v>
      </c>
      <c r="O2139" t="str">
        <f>_xlfn.XLOOKUP(N2139,'Error-codes'!$C$2:$C$130,'Error-codes'!$B$2:$B$130, "None")</f>
        <v>inductive sensor error</v>
      </c>
      <c r="U2139" s="81">
        <f>DATEVALUE(LEFT(F2139,10))</f>
        <v>45014</v>
      </c>
    </row>
    <row r="2140" spans="1:21">
      <c r="A2140" s="56" t="s">
        <v>8067</v>
      </c>
      <c r="B2140" s="56" t="s">
        <v>3202</v>
      </c>
      <c r="C2140" s="56" t="s">
        <v>8065</v>
      </c>
      <c r="D2140" s="56" t="s">
        <v>37</v>
      </c>
      <c r="E2140" s="56" t="s">
        <v>2939</v>
      </c>
      <c r="F2140" s="56" t="s">
        <v>8068</v>
      </c>
      <c r="G2140" s="56">
        <v>42</v>
      </c>
      <c r="H2140" s="56">
        <v>9</v>
      </c>
      <c r="I2140" s="56">
        <v>0.21428571428571427</v>
      </c>
      <c r="J2140" s="56" t="s">
        <v>5406</v>
      </c>
      <c r="K2140" s="56" t="s">
        <v>3207</v>
      </c>
      <c r="L2140" s="56" t="s">
        <v>3208</v>
      </c>
      <c r="M2140" s="56" t="str">
        <f>HYPERLINK("https://dribble.octin.io/?mode=Single+log&amp;log_id=5e45146f-7104-48c8-a1e9-040d630f852b","URL")</f>
        <v>URL</v>
      </c>
      <c r="N2140" s="56" t="s">
        <v>2933</v>
      </c>
      <c r="O2140" t="str">
        <f>_xlfn.XLOOKUP(N2140,'Error-codes'!$C$2:$C$130,'Error-codes'!$B$2:$B$130, "None")</f>
        <v>inductive sensor error</v>
      </c>
      <c r="U2140" s="81">
        <f>DATEVALUE(LEFT(F2140,10))</f>
        <v>45014</v>
      </c>
    </row>
    <row r="2141" spans="1:21">
      <c r="A2141" s="56" t="s">
        <v>8069</v>
      </c>
      <c r="B2141" s="56" t="s">
        <v>3202</v>
      </c>
      <c r="C2141" s="56" t="s">
        <v>8065</v>
      </c>
      <c r="D2141" s="56" t="s">
        <v>37</v>
      </c>
      <c r="E2141" s="56" t="s">
        <v>2939</v>
      </c>
      <c r="F2141" s="56" t="s">
        <v>8070</v>
      </c>
      <c r="G2141" s="56">
        <v>42</v>
      </c>
      <c r="H2141" s="56">
        <v>19</v>
      </c>
      <c r="I2141" s="56">
        <v>0.45238095238095238</v>
      </c>
      <c r="J2141" s="56" t="s">
        <v>8071</v>
      </c>
      <c r="K2141" s="56" t="s">
        <v>3207</v>
      </c>
      <c r="L2141" s="56" t="s">
        <v>3208</v>
      </c>
      <c r="M2141" s="56" t="str">
        <f>HYPERLINK("https://dribble.octin.io/?mode=Single+log&amp;log_id=20fefde7-438a-4099-b510-1a80c9e632ed","URL")</f>
        <v>URL</v>
      </c>
      <c r="N2141" s="56" t="s">
        <v>2933</v>
      </c>
      <c r="O2141" t="str">
        <f>_xlfn.XLOOKUP(N2141,'Error-codes'!$C$2:$C$130,'Error-codes'!$B$2:$B$130, "None")</f>
        <v>inductive sensor error</v>
      </c>
      <c r="U2141" s="81">
        <f>DATEVALUE(LEFT(F2141,10))</f>
        <v>45014</v>
      </c>
    </row>
    <row r="2142" spans="1:21">
      <c r="A2142" s="56" t="s">
        <v>8072</v>
      </c>
      <c r="B2142" s="56" t="s">
        <v>3202</v>
      </c>
      <c r="C2142" s="56" t="s">
        <v>8065</v>
      </c>
      <c r="D2142" s="56" t="s">
        <v>37</v>
      </c>
      <c r="E2142" s="56" t="s">
        <v>5226</v>
      </c>
      <c r="F2142" s="56" t="s">
        <v>8073</v>
      </c>
      <c r="G2142" s="56">
        <v>42</v>
      </c>
      <c r="H2142" s="56">
        <v>35</v>
      </c>
      <c r="I2142" s="56">
        <v>0.83333333333333337</v>
      </c>
      <c r="J2142" s="56" t="s">
        <v>3335</v>
      </c>
      <c r="K2142" s="56" t="s">
        <v>3207</v>
      </c>
      <c r="L2142" s="56" t="s">
        <v>3208</v>
      </c>
      <c r="M2142" s="56" t="str">
        <f>HYPERLINK("https://dribble.octin.io/?mode=Single+log&amp;log_id=72f85aa0-7c0b-47cd-ae0f-8d07b5ab55d8","URL")</f>
        <v>URL</v>
      </c>
      <c r="N2142" s="56" t="s">
        <v>3456</v>
      </c>
      <c r="O2142" t="str">
        <f>_xlfn.XLOOKUP(N2142,'Error-codes'!$C$2:$C$130,'Error-codes'!$B$2:$B$130, "None")</f>
        <v>motor drive: OVER VOLTAGE</v>
      </c>
      <c r="U2142" s="81">
        <f>DATEVALUE(LEFT(F2142,10))</f>
        <v>45014</v>
      </c>
    </row>
    <row r="2143" spans="1:21">
      <c r="A2143" s="56" t="s">
        <v>8074</v>
      </c>
      <c r="B2143" s="56" t="s">
        <v>3202</v>
      </c>
      <c r="C2143" s="56" t="s">
        <v>8075</v>
      </c>
      <c r="D2143" s="56" t="s">
        <v>22</v>
      </c>
      <c r="E2143" s="56" t="s">
        <v>2939</v>
      </c>
      <c r="F2143" s="56" t="s">
        <v>8076</v>
      </c>
      <c r="G2143" s="56">
        <v>43</v>
      </c>
      <c r="H2143" s="56">
        <v>0</v>
      </c>
      <c r="I2143" s="56">
        <v>0</v>
      </c>
      <c r="J2143" s="56" t="s">
        <v>3229</v>
      </c>
      <c r="K2143" s="56" t="s">
        <v>3207</v>
      </c>
      <c r="L2143" s="56" t="s">
        <v>3208</v>
      </c>
      <c r="M2143" s="56" t="str">
        <f>HYPERLINK("https://dribble.octin.io/?mode=Single+log&amp;log_id=e861823a-1418-4f78-a013-e01efddbfcaf","URL")</f>
        <v>URL</v>
      </c>
      <c r="N2143" s="56" t="s">
        <v>3454</v>
      </c>
      <c r="O2143" t="str">
        <f>_xlfn.XLOOKUP(N2143,'Error-codes'!$C$2:$C$130,'Error-codes'!$B$2:$B$130, "None")</f>
        <v>Veh low level FSM: safety was triggered</v>
      </c>
      <c r="U2143" s="81">
        <f>DATEVALUE(LEFT(F2143,10))</f>
        <v>45014</v>
      </c>
    </row>
    <row r="2144" spans="1:21">
      <c r="A2144" s="56" t="s">
        <v>8077</v>
      </c>
      <c r="B2144" s="56" t="s">
        <v>3202</v>
      </c>
      <c r="C2144" s="56" t="s">
        <v>8075</v>
      </c>
      <c r="D2144" s="56" t="s">
        <v>22</v>
      </c>
      <c r="E2144" s="56" t="s">
        <v>2939</v>
      </c>
      <c r="F2144" s="56" t="s">
        <v>8078</v>
      </c>
      <c r="G2144" s="56">
        <v>43</v>
      </c>
      <c r="H2144" s="56">
        <v>1</v>
      </c>
      <c r="I2144" s="56">
        <v>2.3255813953488372E-2</v>
      </c>
      <c r="J2144" s="56" t="s">
        <v>3229</v>
      </c>
      <c r="K2144" s="56" t="s">
        <v>3207</v>
      </c>
      <c r="L2144" s="56" t="s">
        <v>3208</v>
      </c>
      <c r="M2144" s="56" t="str">
        <f>HYPERLINK("https://dribble.octin.io/?mode=Single+log&amp;log_id=5c8f741a-0ead-4c5f-b042-e270a38dce78","URL")</f>
        <v>URL</v>
      </c>
      <c r="N2144" s="56" t="s">
        <v>2933</v>
      </c>
      <c r="O2144" t="str">
        <f>_xlfn.XLOOKUP(N2144,'Error-codes'!$C$2:$C$130,'Error-codes'!$B$2:$B$130, "None")</f>
        <v>inductive sensor error</v>
      </c>
      <c r="U2144" s="81">
        <f>DATEVALUE(LEFT(F2144,10))</f>
        <v>45014</v>
      </c>
    </row>
    <row r="2145" spans="1:21">
      <c r="A2145" s="56" t="s">
        <v>8079</v>
      </c>
      <c r="B2145" s="56" t="s">
        <v>3202</v>
      </c>
      <c r="C2145" s="56" t="s">
        <v>8080</v>
      </c>
      <c r="D2145" s="56" t="s">
        <v>37</v>
      </c>
      <c r="E2145" s="56" t="s">
        <v>5226</v>
      </c>
      <c r="F2145" s="56" t="s">
        <v>8081</v>
      </c>
      <c r="G2145" s="56">
        <v>43</v>
      </c>
      <c r="H2145" s="56">
        <v>1</v>
      </c>
      <c r="I2145" s="56">
        <v>2.3255813953488372E-2</v>
      </c>
      <c r="J2145" s="56" t="s">
        <v>3229</v>
      </c>
      <c r="K2145" s="56" t="s">
        <v>3207</v>
      </c>
      <c r="L2145" s="56" t="s">
        <v>3208</v>
      </c>
      <c r="M2145" s="56" t="str">
        <f>HYPERLINK("https://dribble.octin.io/?mode=Single+log&amp;log_id=40b6a09c-fa4a-42ce-bb08-31d1a330afa9","URL")</f>
        <v>URL</v>
      </c>
      <c r="N2145" s="56" t="s">
        <v>3456</v>
      </c>
      <c r="O2145" t="str">
        <f>_xlfn.XLOOKUP(N2145,'Error-codes'!$C$2:$C$130,'Error-codes'!$B$2:$B$130, "None")</f>
        <v>motor drive: OVER VOLTAGE</v>
      </c>
      <c r="U2145" s="81">
        <f>DATEVALUE(LEFT(F2145,10))</f>
        <v>45014</v>
      </c>
    </row>
    <row r="2146" spans="1:21">
      <c r="A2146" s="56"/>
      <c r="B2146" s="56" t="s">
        <v>5394</v>
      </c>
      <c r="C2146" s="56" t="s">
        <v>8082</v>
      </c>
      <c r="D2146" s="56" t="s">
        <v>388</v>
      </c>
      <c r="E2146" s="56" t="s">
        <v>2939</v>
      </c>
      <c r="F2146" s="56" t="s">
        <v>8083</v>
      </c>
      <c r="G2146" s="56">
        <v>121</v>
      </c>
      <c r="H2146" s="56">
        <v>103</v>
      </c>
      <c r="I2146" s="56">
        <v>0.85123966942148765</v>
      </c>
      <c r="J2146" s="56" t="s">
        <v>8084</v>
      </c>
      <c r="K2146" s="56" t="s">
        <v>1873</v>
      </c>
      <c r="L2146" s="56" t="s">
        <v>6059</v>
      </c>
      <c r="N2146" s="56" t="s">
        <v>2933</v>
      </c>
      <c r="O2146" t="str">
        <f>_xlfn.XLOOKUP(N2146,'Error-codes'!$C$2:$C$130,'Error-codes'!$B$2:$B$130, "None")</f>
        <v>inductive sensor error</v>
      </c>
      <c r="U2146" s="81">
        <f>DATEVALUE(LEFT(F2146,10))</f>
        <v>45015</v>
      </c>
    </row>
    <row r="2147" spans="1:21">
      <c r="B2147" s="56" t="s">
        <v>5394</v>
      </c>
      <c r="C2147" s="56" t="s">
        <v>8082</v>
      </c>
      <c r="D2147" s="56" t="s">
        <v>388</v>
      </c>
      <c r="F2147" s="56" t="s">
        <v>8085</v>
      </c>
      <c r="G2147" s="56">
        <v>121</v>
      </c>
      <c r="H2147" s="56">
        <v>120</v>
      </c>
      <c r="I2147" s="56">
        <v>0.99173553719008267</v>
      </c>
      <c r="K2147" s="56" t="s">
        <v>1873</v>
      </c>
      <c r="L2147" s="56" t="s">
        <v>6059</v>
      </c>
      <c r="O2147">
        <f>_xlfn.XLOOKUP(N2147,'Error-codes'!$C$2:$C$130,'Error-codes'!$B$2:$B$130, "None")</f>
        <v>0</v>
      </c>
      <c r="U2147" s="81">
        <f>DATEVALUE(LEFT(F2147,10))</f>
        <v>45015</v>
      </c>
    </row>
    <row r="2148" spans="1:21">
      <c r="B2148" s="56" t="s">
        <v>3263</v>
      </c>
      <c r="C2148" s="56" t="s">
        <v>8086</v>
      </c>
      <c r="D2148" s="56" t="s">
        <v>22</v>
      </c>
      <c r="F2148" s="56" t="s">
        <v>8087</v>
      </c>
      <c r="G2148" s="56">
        <v>6</v>
      </c>
      <c r="H2148" s="56">
        <v>4</v>
      </c>
      <c r="I2148" s="56">
        <v>0.66666666666666663</v>
      </c>
      <c r="K2148" s="56" t="s">
        <v>3280</v>
      </c>
      <c r="L2148" s="56" t="s">
        <v>3269</v>
      </c>
      <c r="O2148">
        <f>_xlfn.XLOOKUP(N2148,'Error-codes'!$C$2:$C$130,'Error-codes'!$B$2:$B$130, "None")</f>
        <v>0</v>
      </c>
      <c r="U2148" s="81">
        <f>DATEVALUE(LEFT(F2148,10))</f>
        <v>45014</v>
      </c>
    </row>
    <row r="2149" spans="1:21" hidden="1">
      <c r="A2149" s="77" t="s">
        <v>8088</v>
      </c>
      <c r="B2149" s="56" t="s">
        <v>295</v>
      </c>
      <c r="C2149" s="56" t="s">
        <v>8089</v>
      </c>
      <c r="D2149" s="56" t="s">
        <v>388</v>
      </c>
      <c r="E2149" s="77" t="s">
        <v>2939</v>
      </c>
      <c r="F2149" s="56" t="s">
        <v>8090</v>
      </c>
      <c r="G2149" s="56">
        <v>223</v>
      </c>
      <c r="H2149" s="56">
        <v>215</v>
      </c>
      <c r="I2149" s="56">
        <v>0.96412556053811704</v>
      </c>
      <c r="J2149" s="77" t="s">
        <v>5782</v>
      </c>
      <c r="K2149" s="56" t="s">
        <v>5612</v>
      </c>
      <c r="L2149" s="56">
        <v>58</v>
      </c>
      <c r="M2149" s="77" t="s">
        <v>471</v>
      </c>
      <c r="N2149" s="77" t="s">
        <v>3446</v>
      </c>
      <c r="O2149" t="str">
        <f>_xlfn.XLOOKUP(N2149,'Error-codes'!$C$2:$C$130,'Error-codes'!$B$2:$B$130, "None")</f>
        <v>end of lane wall sensor error</v>
      </c>
      <c r="U2149" s="81">
        <f>DATEVALUE(LEFT(F2149,10))</f>
        <v>45018</v>
      </c>
    </row>
    <row r="2150" spans="1:21" hidden="1">
      <c r="A2150" s="77"/>
      <c r="B2150" s="56" t="s">
        <v>295</v>
      </c>
      <c r="C2150" s="56" t="s">
        <v>8089</v>
      </c>
      <c r="D2150" s="56" t="s">
        <v>388</v>
      </c>
      <c r="E2150" s="77"/>
      <c r="F2150" s="56" t="s">
        <v>8091</v>
      </c>
      <c r="G2150" s="56">
        <v>223</v>
      </c>
      <c r="H2150" s="56">
        <v>222</v>
      </c>
      <c r="I2150" s="56">
        <v>0.99551569506726501</v>
      </c>
      <c r="J2150" s="77"/>
      <c r="K2150" s="56" t="s">
        <v>5612</v>
      </c>
      <c r="L2150" s="56">
        <v>58</v>
      </c>
      <c r="M2150" s="77"/>
      <c r="N2150" s="77"/>
      <c r="O2150">
        <f>_xlfn.XLOOKUP(N2150,'Error-codes'!$C$2:$C$130,'Error-codes'!$B$2:$B$130, "None")</f>
        <v>0</v>
      </c>
      <c r="U2150" s="81">
        <f>DATEVALUE(LEFT(F2150,10))</f>
        <v>45018</v>
      </c>
    </row>
    <row r="2151" spans="1:21">
      <c r="A2151" s="77"/>
      <c r="B2151" s="56" t="s">
        <v>295</v>
      </c>
      <c r="C2151" s="56" t="s">
        <v>8092</v>
      </c>
      <c r="D2151" s="56" t="s">
        <v>388</v>
      </c>
      <c r="E2151" s="77"/>
      <c r="F2151" s="56" t="s">
        <v>8093</v>
      </c>
      <c r="G2151" s="56">
        <v>77</v>
      </c>
      <c r="H2151" s="56">
        <v>77</v>
      </c>
      <c r="I2151" s="56">
        <v>1</v>
      </c>
      <c r="J2151" s="77"/>
      <c r="K2151" s="56" t="s">
        <v>5593</v>
      </c>
      <c r="L2151" s="56">
        <v>58</v>
      </c>
      <c r="M2151" s="77"/>
      <c r="N2151" s="77"/>
      <c r="O2151">
        <f>_xlfn.XLOOKUP(N2151,'Error-codes'!$C$2:$C$130,'Error-codes'!$B$2:$B$130, "None")</f>
        <v>0</v>
      </c>
      <c r="U2151" s="81">
        <f>DATEVALUE(LEFT(F2151,10))</f>
        <v>45016</v>
      </c>
    </row>
    <row r="2152" spans="1:21">
      <c r="A2152" s="77"/>
      <c r="B2152" s="56" t="s">
        <v>295</v>
      </c>
      <c r="C2152" s="56" t="s">
        <v>8092</v>
      </c>
      <c r="D2152" s="56" t="s">
        <v>388</v>
      </c>
      <c r="E2152" s="77"/>
      <c r="F2152" s="56" t="s">
        <v>8093</v>
      </c>
      <c r="G2152" s="56">
        <v>77</v>
      </c>
      <c r="H2152" s="56">
        <v>77</v>
      </c>
      <c r="I2152" s="56">
        <v>1</v>
      </c>
      <c r="J2152" s="77"/>
      <c r="K2152" s="56" t="s">
        <v>5593</v>
      </c>
      <c r="L2152" s="56">
        <v>58</v>
      </c>
      <c r="M2152" s="77"/>
      <c r="N2152" s="77"/>
      <c r="O2152">
        <f>_xlfn.XLOOKUP(N2152,'Error-codes'!$C$2:$C$130,'Error-codes'!$B$2:$B$130, "None")</f>
        <v>0</v>
      </c>
      <c r="U2152" s="81">
        <f>DATEVALUE(LEFT(F2152,10))</f>
        <v>45016</v>
      </c>
    </row>
    <row r="2153" spans="1:21">
      <c r="A2153" s="77"/>
      <c r="B2153" s="56" t="s">
        <v>295</v>
      </c>
      <c r="C2153" s="56" t="s">
        <v>8094</v>
      </c>
      <c r="D2153" s="56" t="s">
        <v>388</v>
      </c>
      <c r="E2153" s="77"/>
      <c r="F2153" s="56" t="s">
        <v>8095</v>
      </c>
      <c r="G2153" s="56">
        <v>13</v>
      </c>
      <c r="H2153" s="56">
        <v>13</v>
      </c>
      <c r="I2153" s="56">
        <v>1</v>
      </c>
      <c r="J2153" s="77"/>
      <c r="K2153" s="56" t="s">
        <v>5593</v>
      </c>
      <c r="L2153" s="56">
        <v>58</v>
      </c>
      <c r="M2153" s="77"/>
      <c r="N2153" s="77"/>
      <c r="O2153">
        <f>_xlfn.XLOOKUP(N2153,'Error-codes'!$C$2:$C$130,'Error-codes'!$B$2:$B$130, "None")</f>
        <v>0</v>
      </c>
      <c r="U2153" s="81">
        <f>DATEVALUE(LEFT(F2153,10))</f>
        <v>45016</v>
      </c>
    </row>
    <row r="2154" spans="1:21">
      <c r="A2154" s="77"/>
      <c r="B2154" s="56" t="s">
        <v>295</v>
      </c>
      <c r="C2154" s="56" t="s">
        <v>8094</v>
      </c>
      <c r="D2154" s="56" t="s">
        <v>388</v>
      </c>
      <c r="E2154" s="77"/>
      <c r="F2154" s="56" t="s">
        <v>8095</v>
      </c>
      <c r="G2154" s="56">
        <v>13</v>
      </c>
      <c r="H2154" s="56">
        <v>13</v>
      </c>
      <c r="I2154" s="56">
        <v>1</v>
      </c>
      <c r="J2154" s="77"/>
      <c r="K2154" s="56" t="s">
        <v>5593</v>
      </c>
      <c r="L2154" s="56">
        <v>58</v>
      </c>
      <c r="M2154" s="77"/>
      <c r="N2154" s="77"/>
      <c r="O2154">
        <f>_xlfn.XLOOKUP(N2154,'Error-codes'!$C$2:$C$130,'Error-codes'!$B$2:$B$130, "None")</f>
        <v>0</v>
      </c>
      <c r="U2154" s="81">
        <f>DATEVALUE(LEFT(F2154,10))</f>
        <v>45016</v>
      </c>
    </row>
    <row r="2155" spans="1:21">
      <c r="A2155" s="77" t="s">
        <v>8096</v>
      </c>
      <c r="B2155" s="56" t="s">
        <v>295</v>
      </c>
      <c r="C2155" s="56" t="s">
        <v>8097</v>
      </c>
      <c r="D2155" s="56" t="s">
        <v>37</v>
      </c>
      <c r="E2155" s="77" t="s">
        <v>2939</v>
      </c>
      <c r="F2155" s="56" t="s">
        <v>8098</v>
      </c>
      <c r="G2155" s="56">
        <v>209</v>
      </c>
      <c r="H2155" s="56">
        <v>67</v>
      </c>
      <c r="I2155" s="56">
        <v>0.32057416267942601</v>
      </c>
      <c r="J2155" s="77" t="s">
        <v>6691</v>
      </c>
      <c r="K2155" s="56" t="s">
        <v>5593</v>
      </c>
      <c r="L2155" s="56">
        <v>58</v>
      </c>
      <c r="M2155" s="77" t="s">
        <v>471</v>
      </c>
      <c r="N2155" s="77" t="s">
        <v>2933</v>
      </c>
      <c r="O2155" t="str">
        <f>_xlfn.XLOOKUP(N2155,'Error-codes'!$C$2:$C$130,'Error-codes'!$B$2:$B$130, "None")</f>
        <v>inductive sensor error</v>
      </c>
      <c r="U2155" s="81">
        <f>DATEVALUE(LEFT(F2155,10))</f>
        <v>45015</v>
      </c>
    </row>
    <row r="2156" spans="1:21">
      <c r="A2156" s="77" t="s">
        <v>8099</v>
      </c>
      <c r="B2156" s="56" t="s">
        <v>295</v>
      </c>
      <c r="C2156" s="56" t="s">
        <v>8097</v>
      </c>
      <c r="D2156" s="56" t="s">
        <v>37</v>
      </c>
      <c r="E2156" s="77" t="s">
        <v>4351</v>
      </c>
      <c r="F2156" s="56" t="s">
        <v>8100</v>
      </c>
      <c r="G2156" s="56">
        <v>209</v>
      </c>
      <c r="H2156" s="56">
        <v>120</v>
      </c>
      <c r="I2156" s="56">
        <v>0.57416267942583699</v>
      </c>
      <c r="J2156" s="77" t="s">
        <v>5760</v>
      </c>
      <c r="K2156" s="56" t="s">
        <v>5593</v>
      </c>
      <c r="L2156" s="56">
        <v>58</v>
      </c>
      <c r="M2156" s="77" t="s">
        <v>471</v>
      </c>
      <c r="N2156" s="77" t="s">
        <v>3472</v>
      </c>
      <c r="O2156" t="str">
        <f>_xlfn.XLOOKUP(N2156,'Error-codes'!$C$2:$C$130,'Error-codes'!$B$2:$B$130, "None")</f>
        <v>Excessive slip detected</v>
      </c>
      <c r="U2156" s="81">
        <f>DATEVALUE(LEFT(F2156,10))</f>
        <v>45015</v>
      </c>
    </row>
    <row r="2157" spans="1:21">
      <c r="A2157" s="77" t="s">
        <v>8101</v>
      </c>
      <c r="B2157" s="77" t="s">
        <v>29</v>
      </c>
      <c r="C2157" s="77" t="s">
        <v>8102</v>
      </c>
      <c r="D2157" s="77" t="s">
        <v>388</v>
      </c>
      <c r="E2157" s="77" t="s">
        <v>2939</v>
      </c>
      <c r="F2157" s="77" t="s">
        <v>8103</v>
      </c>
      <c r="G2157" s="77">
        <v>140</v>
      </c>
      <c r="H2157" s="77">
        <v>90</v>
      </c>
      <c r="I2157" s="77">
        <v>0.64285714285714302</v>
      </c>
      <c r="J2157" s="77" t="s">
        <v>8104</v>
      </c>
      <c r="K2157" s="77" t="s">
        <v>1873</v>
      </c>
      <c r="L2157" s="77">
        <v>43</v>
      </c>
      <c r="M2157" s="77" t="s">
        <v>471</v>
      </c>
      <c r="N2157" s="77" t="s">
        <v>3446</v>
      </c>
      <c r="O2157" s="77" t="str">
        <f>_xlfn.XLOOKUP(N2157,'Error-codes'!$C$2:$C$130,'Error-codes'!$B$2:$B$130, "None")</f>
        <v>end of lane wall sensor error</v>
      </c>
      <c r="P2157" s="77"/>
      <c r="Q2157" s="77"/>
      <c r="R2157" s="77"/>
      <c r="U2157" s="81">
        <f>DATEVALUE(LEFT(F2157,10))</f>
        <v>45016</v>
      </c>
    </row>
    <row r="2158" spans="1:21" hidden="1">
      <c r="A2158" s="77" t="s">
        <v>8105</v>
      </c>
      <c r="B2158" s="77" t="s">
        <v>29</v>
      </c>
      <c r="C2158" s="77" t="s">
        <v>8102</v>
      </c>
      <c r="D2158" s="77" t="s">
        <v>388</v>
      </c>
      <c r="E2158" s="77" t="s">
        <v>2939</v>
      </c>
      <c r="F2158" s="77" t="s">
        <v>8106</v>
      </c>
      <c r="G2158" s="77">
        <v>140</v>
      </c>
      <c r="H2158" s="77">
        <v>129</v>
      </c>
      <c r="I2158" s="77">
        <v>0.92142857142857104</v>
      </c>
      <c r="J2158" s="77" t="s">
        <v>4587</v>
      </c>
      <c r="K2158" s="77" t="s">
        <v>1873</v>
      </c>
      <c r="L2158" s="77">
        <v>43</v>
      </c>
      <c r="M2158" s="77" t="s">
        <v>471</v>
      </c>
      <c r="N2158" s="77" t="s">
        <v>2933</v>
      </c>
      <c r="O2158" s="77" t="str">
        <f>_xlfn.XLOOKUP(N2158,'Error-codes'!$C$2:$C$130,'Error-codes'!$B$2:$B$130, "None")</f>
        <v>inductive sensor error</v>
      </c>
      <c r="P2158" s="77"/>
      <c r="Q2158" s="77"/>
      <c r="R2158" s="77"/>
      <c r="U2158" s="81">
        <f>DATEVALUE(LEFT(F2158,10))</f>
        <v>45017</v>
      </c>
    </row>
    <row r="2159" spans="1:21" hidden="1">
      <c r="A2159" s="77"/>
      <c r="B2159" s="77" t="s">
        <v>29</v>
      </c>
      <c r="C2159" s="77" t="s">
        <v>8102</v>
      </c>
      <c r="D2159" s="77" t="s">
        <v>388</v>
      </c>
      <c r="E2159" s="77"/>
      <c r="F2159" s="77" t="s">
        <v>8107</v>
      </c>
      <c r="G2159" s="77">
        <v>140</v>
      </c>
      <c r="H2159" s="77">
        <v>138</v>
      </c>
      <c r="I2159" s="77">
        <v>0.98571428571428599</v>
      </c>
      <c r="J2159" s="77"/>
      <c r="K2159" s="77" t="s">
        <v>1873</v>
      </c>
      <c r="L2159" s="77">
        <v>43</v>
      </c>
      <c r="M2159" s="77"/>
      <c r="N2159" s="77"/>
      <c r="O2159" s="77">
        <f>_xlfn.XLOOKUP(N2159,'Error-codes'!$C$2:$C$130,'Error-codes'!$B$2:$B$130, "None")</f>
        <v>0</v>
      </c>
      <c r="P2159" s="77"/>
      <c r="Q2159" s="77"/>
      <c r="R2159" s="77"/>
      <c r="U2159" s="81">
        <f>DATEVALUE(LEFT(F2159,10))</f>
        <v>45017</v>
      </c>
    </row>
    <row r="2160" spans="1:21">
      <c r="A2160" s="77" t="s">
        <v>8108</v>
      </c>
      <c r="B2160" s="77" t="s">
        <v>29</v>
      </c>
      <c r="C2160" s="77" t="s">
        <v>8109</v>
      </c>
      <c r="D2160" s="77" t="s">
        <v>388</v>
      </c>
      <c r="E2160" s="77" t="s">
        <v>2939</v>
      </c>
      <c r="F2160" s="77" t="s">
        <v>8110</v>
      </c>
      <c r="G2160" s="77">
        <v>6</v>
      </c>
      <c r="H2160" s="77">
        <v>0</v>
      </c>
      <c r="I2160" s="77">
        <v>0</v>
      </c>
      <c r="J2160" s="77" t="s">
        <v>8111</v>
      </c>
      <c r="K2160" s="77" t="s">
        <v>1873</v>
      </c>
      <c r="L2160" s="77">
        <v>44</v>
      </c>
      <c r="M2160" s="77" t="s">
        <v>471</v>
      </c>
      <c r="N2160" s="77" t="s">
        <v>3448</v>
      </c>
      <c r="O2160" s="77" t="str">
        <f>_xlfn.XLOOKUP(N2160,'Error-codes'!$C$2:$C$130,'Error-codes'!$B$2:$B$130, "None")</f>
        <v>end of lane open sensor error</v>
      </c>
      <c r="P2160" s="77"/>
      <c r="Q2160" s="77"/>
      <c r="R2160" s="77"/>
      <c r="U2160" s="81">
        <f>DATEVALUE(LEFT(F2160,10))</f>
        <v>45016</v>
      </c>
    </row>
    <row r="2161" spans="1:21">
      <c r="A2161" s="77" t="s">
        <v>8112</v>
      </c>
      <c r="B2161" s="77" t="s">
        <v>29</v>
      </c>
      <c r="C2161" s="77" t="s">
        <v>8109</v>
      </c>
      <c r="D2161" s="77" t="s">
        <v>388</v>
      </c>
      <c r="E2161" s="77" t="s">
        <v>2939</v>
      </c>
      <c r="F2161" s="77" t="s">
        <v>8113</v>
      </c>
      <c r="G2161" s="77">
        <v>6</v>
      </c>
      <c r="H2161" s="77">
        <v>2</v>
      </c>
      <c r="I2161" s="77">
        <v>0.33333333333333298</v>
      </c>
      <c r="J2161" s="77" t="s">
        <v>1571</v>
      </c>
      <c r="K2161" s="77" t="s">
        <v>1873</v>
      </c>
      <c r="L2161" s="77">
        <v>44</v>
      </c>
      <c r="M2161" s="77" t="s">
        <v>471</v>
      </c>
      <c r="N2161" s="77" t="s">
        <v>3448</v>
      </c>
      <c r="O2161" s="77" t="str">
        <f>_xlfn.XLOOKUP(N2161,'Error-codes'!$C$2:$C$130,'Error-codes'!$B$2:$B$130, "None")</f>
        <v>end of lane open sensor error</v>
      </c>
      <c r="P2161" s="77"/>
      <c r="Q2161" s="77"/>
      <c r="R2161" s="77"/>
      <c r="U2161" s="81">
        <f>DATEVALUE(LEFT(F2161,10))</f>
        <v>45016</v>
      </c>
    </row>
    <row r="2162" spans="1:21">
      <c r="A2162" s="77"/>
      <c r="B2162" s="77" t="s">
        <v>29</v>
      </c>
      <c r="C2162" s="77" t="s">
        <v>8109</v>
      </c>
      <c r="D2162" s="77" t="s">
        <v>388</v>
      </c>
      <c r="E2162" s="77"/>
      <c r="F2162" s="77" t="s">
        <v>8114</v>
      </c>
      <c r="G2162" s="77">
        <v>6</v>
      </c>
      <c r="H2162" s="77">
        <v>4</v>
      </c>
      <c r="I2162" s="77">
        <v>0.66666666666666696</v>
      </c>
      <c r="J2162" s="77"/>
      <c r="K2162" s="77" t="s">
        <v>1873</v>
      </c>
      <c r="L2162" s="77">
        <v>44</v>
      </c>
      <c r="M2162" s="77"/>
      <c r="N2162" s="77"/>
      <c r="O2162" s="77">
        <f>_xlfn.XLOOKUP(N2162,'Error-codes'!$C$2:$C$130,'Error-codes'!$B$2:$B$130, "None")</f>
        <v>0</v>
      </c>
      <c r="P2162" s="77"/>
      <c r="Q2162" s="77"/>
      <c r="R2162" s="77"/>
      <c r="U2162" s="81">
        <f>DATEVALUE(LEFT(F2162,10))</f>
        <v>45016</v>
      </c>
    </row>
    <row r="2163" spans="1:21">
      <c r="A2163" s="77" t="s">
        <v>8115</v>
      </c>
      <c r="B2163" s="77" t="s">
        <v>29</v>
      </c>
      <c r="C2163" s="77" t="s">
        <v>8116</v>
      </c>
      <c r="D2163" s="77" t="s">
        <v>37</v>
      </c>
      <c r="E2163" s="77" t="s">
        <v>2939</v>
      </c>
      <c r="F2163" s="77" t="s">
        <v>8117</v>
      </c>
      <c r="G2163" s="77">
        <v>146</v>
      </c>
      <c r="H2163" s="77">
        <v>5</v>
      </c>
      <c r="I2163" s="77">
        <v>3.4246575342466001E-2</v>
      </c>
      <c r="J2163" s="77" t="s">
        <v>8118</v>
      </c>
      <c r="K2163" s="77" t="s">
        <v>1873</v>
      </c>
      <c r="L2163" s="77">
        <v>44</v>
      </c>
      <c r="M2163" s="77" t="s">
        <v>471</v>
      </c>
      <c r="N2163" s="77" t="s">
        <v>3448</v>
      </c>
      <c r="O2163" s="77" t="str">
        <f>_xlfn.XLOOKUP(N2163,'Error-codes'!$C$2:$C$130,'Error-codes'!$B$2:$B$130, "None")</f>
        <v>end of lane open sensor error</v>
      </c>
      <c r="P2163" s="77"/>
      <c r="Q2163" s="77"/>
      <c r="R2163" s="77"/>
      <c r="U2163" s="81">
        <f>DATEVALUE(LEFT(F2163,10))</f>
        <v>45015</v>
      </c>
    </row>
    <row r="2164" spans="1:21">
      <c r="A2164" s="77" t="s">
        <v>8119</v>
      </c>
      <c r="B2164" s="77" t="s">
        <v>29</v>
      </c>
      <c r="C2164" s="77" t="s">
        <v>8116</v>
      </c>
      <c r="D2164" s="77" t="s">
        <v>37</v>
      </c>
      <c r="E2164" s="77" t="s">
        <v>2939</v>
      </c>
      <c r="F2164" s="77" t="s">
        <v>8120</v>
      </c>
      <c r="G2164" s="77">
        <v>146</v>
      </c>
      <c r="H2164" s="77">
        <v>6</v>
      </c>
      <c r="I2164" s="77">
        <v>4.1095890410958999E-2</v>
      </c>
      <c r="J2164" s="77" t="s">
        <v>8121</v>
      </c>
      <c r="K2164" s="77" t="s">
        <v>1873</v>
      </c>
      <c r="L2164" s="77">
        <v>44</v>
      </c>
      <c r="M2164" s="77" t="s">
        <v>471</v>
      </c>
      <c r="N2164" s="77" t="s">
        <v>3448</v>
      </c>
      <c r="O2164" s="77" t="str">
        <f>_xlfn.XLOOKUP(N2164,'Error-codes'!$C$2:$C$130,'Error-codes'!$B$2:$B$130, "None")</f>
        <v>end of lane open sensor error</v>
      </c>
      <c r="P2164" s="77"/>
      <c r="Q2164" s="77"/>
      <c r="R2164" s="77"/>
      <c r="U2164" s="81">
        <f>DATEVALUE(LEFT(F2164,10))</f>
        <v>45015</v>
      </c>
    </row>
    <row r="2165" spans="1:21">
      <c r="A2165" s="77" t="s">
        <v>8122</v>
      </c>
      <c r="B2165" s="77" t="s">
        <v>29</v>
      </c>
      <c r="C2165" s="77" t="s">
        <v>8116</v>
      </c>
      <c r="D2165" s="77" t="s">
        <v>37</v>
      </c>
      <c r="E2165" s="77" t="s">
        <v>2939</v>
      </c>
      <c r="F2165" s="77" t="s">
        <v>8123</v>
      </c>
      <c r="G2165" s="77">
        <v>146</v>
      </c>
      <c r="H2165" s="77">
        <v>7</v>
      </c>
      <c r="I2165" s="77">
        <v>4.7945205479451997E-2</v>
      </c>
      <c r="J2165" s="77" t="s">
        <v>8124</v>
      </c>
      <c r="K2165" s="77" t="s">
        <v>1873</v>
      </c>
      <c r="L2165" s="77">
        <v>44</v>
      </c>
      <c r="M2165" s="77" t="s">
        <v>471</v>
      </c>
      <c r="N2165" s="77" t="s">
        <v>3448</v>
      </c>
      <c r="O2165" s="77" t="str">
        <f>_xlfn.XLOOKUP(N2165,'Error-codes'!$C$2:$C$130,'Error-codes'!$B$2:$B$130, "None")</f>
        <v>end of lane open sensor error</v>
      </c>
      <c r="P2165" s="77"/>
      <c r="Q2165" s="77"/>
      <c r="R2165" s="77"/>
      <c r="U2165" s="81">
        <f>DATEVALUE(LEFT(F2165,10))</f>
        <v>45015</v>
      </c>
    </row>
    <row r="2166" spans="1:21">
      <c r="A2166" s="77" t="s">
        <v>8125</v>
      </c>
      <c r="B2166" s="77" t="s">
        <v>29</v>
      </c>
      <c r="C2166" s="77" t="s">
        <v>8116</v>
      </c>
      <c r="D2166" s="77" t="s">
        <v>37</v>
      </c>
      <c r="E2166" s="77" t="s">
        <v>2939</v>
      </c>
      <c r="F2166" s="77" t="s">
        <v>8126</v>
      </c>
      <c r="G2166" s="77">
        <v>146</v>
      </c>
      <c r="H2166" s="77">
        <v>9</v>
      </c>
      <c r="I2166" s="77">
        <v>6.1643835616437999E-2</v>
      </c>
      <c r="J2166" s="77" t="s">
        <v>8127</v>
      </c>
      <c r="K2166" s="77" t="s">
        <v>1873</v>
      </c>
      <c r="L2166" s="77">
        <v>44</v>
      </c>
      <c r="M2166" s="77" t="s">
        <v>471</v>
      </c>
      <c r="N2166" s="77" t="s">
        <v>3448</v>
      </c>
      <c r="O2166" s="77" t="str">
        <f>_xlfn.XLOOKUP(N2166,'Error-codes'!$C$2:$C$130,'Error-codes'!$B$2:$B$130, "None")</f>
        <v>end of lane open sensor error</v>
      </c>
      <c r="P2166" s="77"/>
      <c r="Q2166" s="77"/>
      <c r="R2166" s="77"/>
      <c r="U2166" s="81">
        <f>DATEVALUE(LEFT(F2166,10))</f>
        <v>45015</v>
      </c>
    </row>
    <row r="2167" spans="1:21">
      <c r="A2167" s="77" t="s">
        <v>8128</v>
      </c>
      <c r="B2167" s="77" t="s">
        <v>29</v>
      </c>
      <c r="C2167" s="77" t="s">
        <v>8116</v>
      </c>
      <c r="D2167" s="77" t="s">
        <v>37</v>
      </c>
      <c r="E2167" s="77" t="s">
        <v>2939</v>
      </c>
      <c r="F2167" s="77" t="s">
        <v>8129</v>
      </c>
      <c r="G2167" s="77">
        <v>146</v>
      </c>
      <c r="H2167" s="77">
        <v>11</v>
      </c>
      <c r="I2167" s="77">
        <v>7.5342465753425E-2</v>
      </c>
      <c r="J2167" s="77" t="s">
        <v>8130</v>
      </c>
      <c r="K2167" s="77" t="s">
        <v>1873</v>
      </c>
      <c r="L2167" s="77">
        <v>44</v>
      </c>
      <c r="M2167" s="77" t="s">
        <v>471</v>
      </c>
      <c r="N2167" s="77" t="s">
        <v>3448</v>
      </c>
      <c r="O2167" s="77" t="str">
        <f>_xlfn.XLOOKUP(N2167,'Error-codes'!$C$2:$C$130,'Error-codes'!$B$2:$B$130, "None")</f>
        <v>end of lane open sensor error</v>
      </c>
      <c r="P2167" s="77"/>
      <c r="Q2167" s="77"/>
      <c r="R2167" s="77"/>
      <c r="U2167" s="81">
        <f>DATEVALUE(LEFT(F2167,10))</f>
        <v>45015</v>
      </c>
    </row>
    <row r="2168" spans="1:21">
      <c r="A2168" s="77" t="s">
        <v>8131</v>
      </c>
      <c r="B2168" s="77" t="s">
        <v>29</v>
      </c>
      <c r="C2168" s="77" t="s">
        <v>8116</v>
      </c>
      <c r="D2168" s="77" t="s">
        <v>37</v>
      </c>
      <c r="E2168" s="77" t="s">
        <v>2939</v>
      </c>
      <c r="F2168" s="77" t="s">
        <v>8132</v>
      </c>
      <c r="G2168" s="77">
        <v>146</v>
      </c>
      <c r="H2168" s="77">
        <v>12</v>
      </c>
      <c r="I2168" s="77">
        <v>8.2191780821917998E-2</v>
      </c>
      <c r="J2168" s="77" t="s">
        <v>8133</v>
      </c>
      <c r="K2168" s="77" t="s">
        <v>1873</v>
      </c>
      <c r="L2168" s="77">
        <v>44</v>
      </c>
      <c r="M2168" s="77" t="s">
        <v>471</v>
      </c>
      <c r="N2168" s="77" t="s">
        <v>3448</v>
      </c>
      <c r="O2168" s="77" t="str">
        <f>_xlfn.XLOOKUP(N2168,'Error-codes'!$C$2:$C$130,'Error-codes'!$B$2:$B$130, "None")</f>
        <v>end of lane open sensor error</v>
      </c>
      <c r="P2168" s="77"/>
      <c r="Q2168" s="77"/>
      <c r="R2168" s="77"/>
      <c r="U2168" s="81">
        <f>DATEVALUE(LEFT(F2168,10))</f>
        <v>45015</v>
      </c>
    </row>
    <row r="2169" spans="1:21">
      <c r="A2169" s="77" t="s">
        <v>8134</v>
      </c>
      <c r="B2169" s="77" t="s">
        <v>29</v>
      </c>
      <c r="C2169" s="77" t="s">
        <v>8116</v>
      </c>
      <c r="D2169" s="77" t="s">
        <v>37</v>
      </c>
      <c r="E2169" s="77" t="s">
        <v>2939</v>
      </c>
      <c r="F2169" s="77" t="s">
        <v>8135</v>
      </c>
      <c r="G2169" s="77">
        <v>146</v>
      </c>
      <c r="H2169" s="77">
        <v>13</v>
      </c>
      <c r="I2169" s="77">
        <v>8.9041095890410996E-2</v>
      </c>
      <c r="J2169" s="77" t="s">
        <v>8136</v>
      </c>
      <c r="K2169" s="77" t="s">
        <v>1873</v>
      </c>
      <c r="L2169" s="77">
        <v>44</v>
      </c>
      <c r="M2169" s="77" t="s">
        <v>471</v>
      </c>
      <c r="N2169" s="77" t="s">
        <v>3448</v>
      </c>
      <c r="O2169" s="77" t="str">
        <f>_xlfn.XLOOKUP(N2169,'Error-codes'!$C$2:$C$130,'Error-codes'!$B$2:$B$130, "None")</f>
        <v>end of lane open sensor error</v>
      </c>
      <c r="P2169" s="77"/>
      <c r="Q2169" s="77"/>
      <c r="R2169" s="77"/>
      <c r="U2169" s="81">
        <f>DATEVALUE(LEFT(F2169,10))</f>
        <v>45015</v>
      </c>
    </row>
    <row r="2170" spans="1:21">
      <c r="A2170" s="77" t="s">
        <v>8137</v>
      </c>
      <c r="B2170" s="77" t="s">
        <v>29</v>
      </c>
      <c r="C2170" s="77" t="s">
        <v>8116</v>
      </c>
      <c r="D2170" s="77" t="s">
        <v>37</v>
      </c>
      <c r="E2170" s="77" t="s">
        <v>2939</v>
      </c>
      <c r="F2170" s="77" t="s">
        <v>8138</v>
      </c>
      <c r="G2170" s="77">
        <v>146</v>
      </c>
      <c r="H2170" s="77">
        <v>14</v>
      </c>
      <c r="I2170" s="77">
        <v>9.5890410958903993E-2</v>
      </c>
      <c r="J2170" s="77" t="s">
        <v>8139</v>
      </c>
      <c r="K2170" s="77" t="s">
        <v>1873</v>
      </c>
      <c r="L2170" s="77">
        <v>44</v>
      </c>
      <c r="M2170" s="77" t="s">
        <v>471</v>
      </c>
      <c r="N2170" s="77" t="s">
        <v>3448</v>
      </c>
      <c r="O2170" s="77" t="str">
        <f>_xlfn.XLOOKUP(N2170,'Error-codes'!$C$2:$C$130,'Error-codes'!$B$2:$B$130, "None")</f>
        <v>end of lane open sensor error</v>
      </c>
      <c r="P2170" s="77"/>
      <c r="Q2170" s="77"/>
      <c r="R2170" s="77"/>
      <c r="U2170" s="81">
        <f>DATEVALUE(LEFT(F2170,10))</f>
        <v>45015</v>
      </c>
    </row>
    <row r="2171" spans="1:21">
      <c r="A2171" s="77" t="s">
        <v>8140</v>
      </c>
      <c r="B2171" s="77" t="s">
        <v>29</v>
      </c>
      <c r="C2171" s="77" t="s">
        <v>8116</v>
      </c>
      <c r="D2171" s="77" t="s">
        <v>37</v>
      </c>
      <c r="E2171" s="77" t="s">
        <v>2939</v>
      </c>
      <c r="F2171" s="77" t="s">
        <v>8141</v>
      </c>
      <c r="G2171" s="77">
        <v>146</v>
      </c>
      <c r="H2171" s="77">
        <v>15</v>
      </c>
      <c r="I2171" s="77">
        <v>0.102739726027397</v>
      </c>
      <c r="J2171" s="77" t="s">
        <v>8142</v>
      </c>
      <c r="K2171" s="77" t="s">
        <v>1873</v>
      </c>
      <c r="L2171" s="77">
        <v>44</v>
      </c>
      <c r="M2171" s="77" t="s">
        <v>471</v>
      </c>
      <c r="N2171" s="77" t="s">
        <v>3448</v>
      </c>
      <c r="O2171" s="77" t="str">
        <f>_xlfn.XLOOKUP(N2171,'Error-codes'!$C$2:$C$130,'Error-codes'!$B$2:$B$130, "None")</f>
        <v>end of lane open sensor error</v>
      </c>
      <c r="P2171" s="77"/>
      <c r="Q2171" s="77"/>
      <c r="R2171" s="77"/>
      <c r="U2171" s="81">
        <f>DATEVALUE(LEFT(F2171,10))</f>
        <v>45015</v>
      </c>
    </row>
    <row r="2172" spans="1:21">
      <c r="A2172" s="77" t="s">
        <v>8143</v>
      </c>
      <c r="B2172" s="77" t="s">
        <v>29</v>
      </c>
      <c r="C2172" s="77" t="s">
        <v>8116</v>
      </c>
      <c r="D2172" s="77" t="s">
        <v>37</v>
      </c>
      <c r="E2172" s="77" t="s">
        <v>2939</v>
      </c>
      <c r="F2172" s="77" t="s">
        <v>8144</v>
      </c>
      <c r="G2172" s="77">
        <v>146</v>
      </c>
      <c r="H2172" s="77">
        <v>16</v>
      </c>
      <c r="I2172" s="77">
        <v>0.10958904109589</v>
      </c>
      <c r="J2172" s="77" t="s">
        <v>8145</v>
      </c>
      <c r="K2172" s="77" t="s">
        <v>1873</v>
      </c>
      <c r="L2172" s="77">
        <v>44</v>
      </c>
      <c r="M2172" s="77" t="s">
        <v>471</v>
      </c>
      <c r="N2172" s="77" t="s">
        <v>3448</v>
      </c>
      <c r="O2172" s="77" t="str">
        <f>_xlfn.XLOOKUP(N2172,'Error-codes'!$C$2:$C$130,'Error-codes'!$B$2:$B$130, "None")</f>
        <v>end of lane open sensor error</v>
      </c>
      <c r="P2172" s="77"/>
      <c r="Q2172" s="77"/>
      <c r="R2172" s="77"/>
      <c r="U2172" s="81">
        <f>DATEVALUE(LEFT(F2172,10))</f>
        <v>45015</v>
      </c>
    </row>
    <row r="2173" spans="1:21">
      <c r="A2173" s="77" t="s">
        <v>8146</v>
      </c>
      <c r="B2173" s="77" t="s">
        <v>29</v>
      </c>
      <c r="C2173" s="77" t="s">
        <v>8116</v>
      </c>
      <c r="D2173" s="77" t="s">
        <v>37</v>
      </c>
      <c r="E2173" s="77" t="s">
        <v>2939</v>
      </c>
      <c r="F2173" s="77" t="s">
        <v>8147</v>
      </c>
      <c r="G2173" s="77">
        <v>146</v>
      </c>
      <c r="H2173" s="77">
        <v>18</v>
      </c>
      <c r="I2173" s="77">
        <v>0.123287671232877</v>
      </c>
      <c r="J2173" s="77" t="s">
        <v>8148</v>
      </c>
      <c r="K2173" s="77" t="s">
        <v>1873</v>
      </c>
      <c r="L2173" s="77">
        <v>44</v>
      </c>
      <c r="M2173" s="77" t="s">
        <v>471</v>
      </c>
      <c r="N2173" s="77" t="s">
        <v>3448</v>
      </c>
      <c r="O2173" s="77" t="str">
        <f>_xlfn.XLOOKUP(N2173,'Error-codes'!$C$2:$C$130,'Error-codes'!$B$2:$B$130, "None")</f>
        <v>end of lane open sensor error</v>
      </c>
      <c r="P2173" s="77"/>
      <c r="Q2173" s="77"/>
      <c r="R2173" s="77"/>
      <c r="U2173" s="81">
        <f>DATEVALUE(LEFT(F2173,10))</f>
        <v>45015</v>
      </c>
    </row>
    <row r="2174" spans="1:21">
      <c r="A2174" s="77" t="s">
        <v>8149</v>
      </c>
      <c r="B2174" s="77" t="s">
        <v>29</v>
      </c>
      <c r="C2174" s="77" t="s">
        <v>8116</v>
      </c>
      <c r="D2174" s="77" t="s">
        <v>37</v>
      </c>
      <c r="E2174" s="77" t="s">
        <v>2939</v>
      </c>
      <c r="F2174" s="77" t="s">
        <v>8150</v>
      </c>
      <c r="G2174" s="77">
        <v>146</v>
      </c>
      <c r="H2174" s="77">
        <v>19</v>
      </c>
      <c r="I2174" s="77">
        <v>0.13013698630136999</v>
      </c>
      <c r="J2174" s="77" t="s">
        <v>8151</v>
      </c>
      <c r="K2174" s="77" t="s">
        <v>1873</v>
      </c>
      <c r="L2174" s="77">
        <v>44</v>
      </c>
      <c r="M2174" s="77" t="s">
        <v>471</v>
      </c>
      <c r="N2174" s="77" t="s">
        <v>3448</v>
      </c>
      <c r="O2174" s="77" t="str">
        <f>_xlfn.XLOOKUP(N2174,'Error-codes'!$C$2:$C$130,'Error-codes'!$B$2:$B$130, "None")</f>
        <v>end of lane open sensor error</v>
      </c>
      <c r="P2174" s="77"/>
      <c r="Q2174" s="77"/>
      <c r="R2174" s="77"/>
      <c r="U2174" s="81">
        <f>DATEVALUE(LEFT(F2174,10))</f>
        <v>45015</v>
      </c>
    </row>
    <row r="2175" spans="1:21">
      <c r="A2175" s="77" t="s">
        <v>8152</v>
      </c>
      <c r="B2175" s="77" t="s">
        <v>29</v>
      </c>
      <c r="C2175" s="77" t="s">
        <v>8116</v>
      </c>
      <c r="D2175" s="77" t="s">
        <v>37</v>
      </c>
      <c r="E2175" s="77" t="s">
        <v>2939</v>
      </c>
      <c r="F2175" s="77" t="s">
        <v>8153</v>
      </c>
      <c r="G2175" s="77">
        <v>146</v>
      </c>
      <c r="H2175" s="77">
        <v>20</v>
      </c>
      <c r="I2175" s="77">
        <v>0.13698630136986301</v>
      </c>
      <c r="J2175" s="77" t="s">
        <v>8154</v>
      </c>
      <c r="K2175" s="77" t="s">
        <v>1873</v>
      </c>
      <c r="L2175" s="77">
        <v>44</v>
      </c>
      <c r="M2175" s="77" t="s">
        <v>471</v>
      </c>
      <c r="N2175" s="77" t="s">
        <v>3448</v>
      </c>
      <c r="O2175" s="77" t="str">
        <f>_xlfn.XLOOKUP(N2175,'Error-codes'!$C$2:$C$130,'Error-codes'!$B$2:$B$130, "None")</f>
        <v>end of lane open sensor error</v>
      </c>
      <c r="P2175" s="77"/>
      <c r="Q2175" s="77"/>
      <c r="R2175" s="77"/>
      <c r="U2175" s="81">
        <f>DATEVALUE(LEFT(F2175,10))</f>
        <v>45015</v>
      </c>
    </row>
    <row r="2176" spans="1:21">
      <c r="A2176" s="84" t="s">
        <v>8155</v>
      </c>
      <c r="B2176" s="77" t="s">
        <v>29</v>
      </c>
      <c r="C2176" s="77" t="s">
        <v>8116</v>
      </c>
      <c r="D2176" s="77" t="s">
        <v>37</v>
      </c>
      <c r="E2176" s="77" t="s">
        <v>2939</v>
      </c>
      <c r="F2176" s="77" t="s">
        <v>8156</v>
      </c>
      <c r="G2176" s="77">
        <v>146</v>
      </c>
      <c r="H2176" s="77">
        <v>21</v>
      </c>
      <c r="I2176" s="77">
        <v>0.14383561643835599</v>
      </c>
      <c r="J2176" s="77" t="s">
        <v>8157</v>
      </c>
      <c r="K2176" s="77" t="s">
        <v>1873</v>
      </c>
      <c r="L2176" s="77">
        <v>44</v>
      </c>
      <c r="M2176" s="77" t="s">
        <v>471</v>
      </c>
      <c r="N2176" s="77" t="s">
        <v>3448</v>
      </c>
      <c r="O2176" s="77" t="str">
        <f>_xlfn.XLOOKUP(N2176,'Error-codes'!$C$2:$C$130,'Error-codes'!$B$2:$B$130, "None")</f>
        <v>end of lane open sensor error</v>
      </c>
      <c r="P2176" s="77"/>
      <c r="Q2176" s="77"/>
      <c r="R2176" s="77"/>
      <c r="U2176" s="81">
        <f>DATEVALUE(LEFT(F2176,10))</f>
        <v>45015</v>
      </c>
    </row>
    <row r="2177" spans="1:21">
      <c r="A2177" s="77" t="s">
        <v>8158</v>
      </c>
      <c r="B2177" s="77" t="s">
        <v>29</v>
      </c>
      <c r="C2177" s="77" t="s">
        <v>8116</v>
      </c>
      <c r="D2177" s="77" t="s">
        <v>37</v>
      </c>
      <c r="E2177" s="77" t="s">
        <v>2939</v>
      </c>
      <c r="F2177" s="77" t="s">
        <v>8159</v>
      </c>
      <c r="G2177" s="77">
        <v>146</v>
      </c>
      <c r="H2177" s="77">
        <v>22</v>
      </c>
      <c r="I2177" s="77">
        <v>0.150684931506849</v>
      </c>
      <c r="J2177" s="77" t="s">
        <v>8160</v>
      </c>
      <c r="K2177" s="77" t="s">
        <v>1873</v>
      </c>
      <c r="L2177" s="77">
        <v>44</v>
      </c>
      <c r="M2177" s="77" t="s">
        <v>471</v>
      </c>
      <c r="N2177" s="77" t="s">
        <v>3448</v>
      </c>
      <c r="O2177" s="77" t="str">
        <f>_xlfn.XLOOKUP(N2177,'Error-codes'!$C$2:$C$130,'Error-codes'!$B$2:$B$130, "None")</f>
        <v>end of lane open sensor error</v>
      </c>
      <c r="P2177" s="77"/>
      <c r="Q2177" s="77"/>
      <c r="R2177" s="77"/>
      <c r="U2177" s="81">
        <f>DATEVALUE(LEFT(F2177,10))</f>
        <v>45015</v>
      </c>
    </row>
    <row r="2178" spans="1:21">
      <c r="A2178" s="77" t="s">
        <v>8161</v>
      </c>
      <c r="B2178" s="77" t="s">
        <v>29</v>
      </c>
      <c r="C2178" s="77" t="s">
        <v>8116</v>
      </c>
      <c r="D2178" s="77" t="s">
        <v>37</v>
      </c>
      <c r="E2178" s="77" t="s">
        <v>2939</v>
      </c>
      <c r="F2178" s="77" t="s">
        <v>8162</v>
      </c>
      <c r="G2178" s="77">
        <v>146</v>
      </c>
      <c r="H2178" s="77">
        <v>23</v>
      </c>
      <c r="I2178" s="77">
        <v>0.15753424657534201</v>
      </c>
      <c r="J2178" s="77" t="s">
        <v>8163</v>
      </c>
      <c r="K2178" s="77" t="s">
        <v>1873</v>
      </c>
      <c r="L2178" s="77">
        <v>44</v>
      </c>
      <c r="M2178" s="77" t="s">
        <v>471</v>
      </c>
      <c r="N2178" s="77" t="s">
        <v>3448</v>
      </c>
      <c r="O2178" s="77" t="str">
        <f>_xlfn.XLOOKUP(N2178,'Error-codes'!$C$2:$C$130,'Error-codes'!$B$2:$B$130, "None")</f>
        <v>end of lane open sensor error</v>
      </c>
      <c r="P2178" s="77"/>
      <c r="Q2178" s="77"/>
      <c r="R2178" s="77"/>
      <c r="U2178" s="81">
        <f>DATEVALUE(LEFT(F2178,10))</f>
        <v>45015</v>
      </c>
    </row>
    <row r="2179" spans="1:21">
      <c r="A2179" s="77" t="s">
        <v>8164</v>
      </c>
      <c r="B2179" s="77" t="s">
        <v>29</v>
      </c>
      <c r="C2179" s="77" t="s">
        <v>8116</v>
      </c>
      <c r="D2179" s="77" t="s">
        <v>37</v>
      </c>
      <c r="E2179" s="77" t="s">
        <v>2939</v>
      </c>
      <c r="F2179" s="77" t="s">
        <v>8165</v>
      </c>
      <c r="G2179" s="77">
        <v>146</v>
      </c>
      <c r="H2179" s="77">
        <v>25</v>
      </c>
      <c r="I2179" s="77">
        <v>0.17123287671232901</v>
      </c>
      <c r="J2179" s="77" t="s">
        <v>8166</v>
      </c>
      <c r="K2179" s="77" t="s">
        <v>1873</v>
      </c>
      <c r="L2179" s="77">
        <v>44</v>
      </c>
      <c r="M2179" s="77" t="s">
        <v>471</v>
      </c>
      <c r="N2179" s="77" t="s">
        <v>3448</v>
      </c>
      <c r="O2179" s="77" t="str">
        <f>_xlfn.XLOOKUP(N2179,'Error-codes'!$C$2:$C$130,'Error-codes'!$B$2:$B$130, "None")</f>
        <v>end of lane open sensor error</v>
      </c>
      <c r="P2179" s="77"/>
      <c r="Q2179" s="77"/>
      <c r="R2179" s="77"/>
      <c r="U2179" s="81">
        <f>DATEVALUE(LEFT(F2179,10))</f>
        <v>45015</v>
      </c>
    </row>
    <row r="2180" spans="1:21">
      <c r="A2180" s="77" t="s">
        <v>8167</v>
      </c>
      <c r="B2180" s="77" t="s">
        <v>29</v>
      </c>
      <c r="C2180" s="77" t="s">
        <v>8116</v>
      </c>
      <c r="D2180" s="77" t="s">
        <v>37</v>
      </c>
      <c r="E2180" s="77" t="s">
        <v>2939</v>
      </c>
      <c r="F2180" s="77" t="s">
        <v>8168</v>
      </c>
      <c r="G2180" s="77">
        <v>146</v>
      </c>
      <c r="H2180" s="77">
        <v>26</v>
      </c>
      <c r="I2180" s="77">
        <v>0.17808219178082199</v>
      </c>
      <c r="J2180" s="77" t="s">
        <v>8169</v>
      </c>
      <c r="K2180" s="77" t="s">
        <v>1873</v>
      </c>
      <c r="L2180" s="77">
        <v>44</v>
      </c>
      <c r="M2180" s="77" t="s">
        <v>471</v>
      </c>
      <c r="N2180" s="77" t="s">
        <v>3448</v>
      </c>
      <c r="O2180" s="77" t="str">
        <f>_xlfn.XLOOKUP(N2180,'Error-codes'!$C$2:$C$130,'Error-codes'!$B$2:$B$130, "None")</f>
        <v>end of lane open sensor error</v>
      </c>
      <c r="P2180" s="77"/>
      <c r="Q2180" s="77"/>
      <c r="R2180" s="77"/>
      <c r="U2180" s="81">
        <f>DATEVALUE(LEFT(F2180,10))</f>
        <v>45015</v>
      </c>
    </row>
    <row r="2181" spans="1:21">
      <c r="A2181" s="77" t="s">
        <v>8170</v>
      </c>
      <c r="B2181" s="77" t="s">
        <v>29</v>
      </c>
      <c r="C2181" s="77" t="s">
        <v>8116</v>
      </c>
      <c r="D2181" s="77" t="s">
        <v>37</v>
      </c>
      <c r="E2181" s="77" t="s">
        <v>2939</v>
      </c>
      <c r="F2181" s="77" t="s">
        <v>8171</v>
      </c>
      <c r="G2181" s="77">
        <v>146</v>
      </c>
      <c r="H2181" s="77">
        <v>27</v>
      </c>
      <c r="I2181" s="77">
        <v>0.184931506849315</v>
      </c>
      <c r="J2181" s="77" t="s">
        <v>8172</v>
      </c>
      <c r="K2181" s="77" t="s">
        <v>1873</v>
      </c>
      <c r="L2181" s="77">
        <v>44</v>
      </c>
      <c r="M2181" s="77" t="s">
        <v>471</v>
      </c>
      <c r="N2181" s="77" t="s">
        <v>3448</v>
      </c>
      <c r="O2181" s="77" t="str">
        <f>_xlfn.XLOOKUP(N2181,'Error-codes'!$C$2:$C$130,'Error-codes'!$B$2:$B$130, "None")</f>
        <v>end of lane open sensor error</v>
      </c>
      <c r="P2181" s="77"/>
      <c r="Q2181" s="77"/>
      <c r="R2181" s="77"/>
      <c r="U2181" s="81">
        <f>DATEVALUE(LEFT(F2181,10))</f>
        <v>45015</v>
      </c>
    </row>
    <row r="2182" spans="1:21">
      <c r="A2182" s="77" t="s">
        <v>8173</v>
      </c>
      <c r="B2182" s="77" t="s">
        <v>29</v>
      </c>
      <c r="C2182" s="77" t="s">
        <v>8116</v>
      </c>
      <c r="D2182" s="77" t="s">
        <v>37</v>
      </c>
      <c r="E2182" s="77" t="s">
        <v>2939</v>
      </c>
      <c r="F2182" s="77" t="s">
        <v>8174</v>
      </c>
      <c r="G2182" s="77">
        <v>146</v>
      </c>
      <c r="H2182" s="77">
        <v>28</v>
      </c>
      <c r="I2182" s="77">
        <v>0.19178082191780799</v>
      </c>
      <c r="J2182" s="77" t="s">
        <v>138</v>
      </c>
      <c r="K2182" s="77" t="s">
        <v>1873</v>
      </c>
      <c r="L2182" s="77">
        <v>44</v>
      </c>
      <c r="M2182" s="77" t="s">
        <v>471</v>
      </c>
      <c r="N2182" s="77" t="s">
        <v>3448</v>
      </c>
      <c r="O2182" s="77" t="str">
        <f>_xlfn.XLOOKUP(N2182,'Error-codes'!$C$2:$C$130,'Error-codes'!$B$2:$B$130, "None")</f>
        <v>end of lane open sensor error</v>
      </c>
      <c r="P2182" s="77"/>
      <c r="Q2182" s="77"/>
      <c r="R2182" s="77"/>
      <c r="U2182" s="81">
        <f>DATEVALUE(LEFT(F2182,10))</f>
        <v>45015</v>
      </c>
    </row>
    <row r="2183" spans="1:21">
      <c r="A2183" s="77" t="s">
        <v>8175</v>
      </c>
      <c r="B2183" s="77" t="s">
        <v>29</v>
      </c>
      <c r="C2183" s="77" t="s">
        <v>8116</v>
      </c>
      <c r="D2183" s="77" t="s">
        <v>37</v>
      </c>
      <c r="E2183" s="77" t="s">
        <v>2939</v>
      </c>
      <c r="F2183" s="77" t="s">
        <v>8176</v>
      </c>
      <c r="G2183" s="77">
        <v>146</v>
      </c>
      <c r="H2183" s="77">
        <v>29</v>
      </c>
      <c r="I2183" s="77">
        <v>0.198630136986301</v>
      </c>
      <c r="J2183" s="77" t="s">
        <v>8177</v>
      </c>
      <c r="K2183" s="77" t="s">
        <v>1873</v>
      </c>
      <c r="L2183" s="77">
        <v>44</v>
      </c>
      <c r="M2183" s="77" t="s">
        <v>471</v>
      </c>
      <c r="N2183" s="77" t="s">
        <v>3448</v>
      </c>
      <c r="O2183" s="77" t="str">
        <f>_xlfn.XLOOKUP(N2183,'Error-codes'!$C$2:$C$130,'Error-codes'!$B$2:$B$130, "None")</f>
        <v>end of lane open sensor error</v>
      </c>
      <c r="P2183" s="77"/>
      <c r="Q2183" s="77"/>
      <c r="R2183" s="77"/>
      <c r="U2183" s="81">
        <f>DATEVALUE(LEFT(F2183,10))</f>
        <v>45015</v>
      </c>
    </row>
    <row r="2184" spans="1:21">
      <c r="A2184" s="77" t="s">
        <v>8178</v>
      </c>
      <c r="B2184" s="77" t="s">
        <v>29</v>
      </c>
      <c r="C2184" s="77" t="s">
        <v>8116</v>
      </c>
      <c r="D2184" s="77" t="s">
        <v>37</v>
      </c>
      <c r="E2184" s="77" t="s">
        <v>2939</v>
      </c>
      <c r="F2184" s="77" t="s">
        <v>8179</v>
      </c>
      <c r="G2184" s="77">
        <v>146</v>
      </c>
      <c r="H2184" s="77">
        <v>30</v>
      </c>
      <c r="I2184" s="77">
        <v>0.20547945205479401</v>
      </c>
      <c r="J2184" s="77" t="s">
        <v>8180</v>
      </c>
      <c r="K2184" s="77" t="s">
        <v>1873</v>
      </c>
      <c r="L2184" s="77">
        <v>44</v>
      </c>
      <c r="M2184" s="77" t="s">
        <v>471</v>
      </c>
      <c r="N2184" s="77" t="s">
        <v>3448</v>
      </c>
      <c r="O2184" s="77" t="str">
        <f>_xlfn.XLOOKUP(N2184,'Error-codes'!$C$2:$C$130,'Error-codes'!$B$2:$B$130, "None")</f>
        <v>end of lane open sensor error</v>
      </c>
      <c r="P2184" s="77"/>
      <c r="Q2184" s="77"/>
      <c r="R2184" s="77"/>
      <c r="U2184" s="81">
        <f>DATEVALUE(LEFT(F2184,10))</f>
        <v>45015</v>
      </c>
    </row>
    <row r="2185" spans="1:21">
      <c r="A2185" s="77" t="s">
        <v>8181</v>
      </c>
      <c r="B2185" s="77" t="s">
        <v>29</v>
      </c>
      <c r="C2185" s="77" t="s">
        <v>8116</v>
      </c>
      <c r="D2185" s="77" t="s">
        <v>37</v>
      </c>
      <c r="E2185" s="77" t="s">
        <v>2939</v>
      </c>
      <c r="F2185" s="77" t="s">
        <v>8182</v>
      </c>
      <c r="G2185" s="77">
        <v>146</v>
      </c>
      <c r="H2185" s="77">
        <v>32</v>
      </c>
      <c r="I2185" s="77">
        <v>0.219178082191781</v>
      </c>
      <c r="J2185" s="77" t="s">
        <v>8183</v>
      </c>
      <c r="K2185" s="77" t="s">
        <v>1873</v>
      </c>
      <c r="L2185" s="77">
        <v>44</v>
      </c>
      <c r="M2185" s="77" t="s">
        <v>471</v>
      </c>
      <c r="N2185" s="77" t="s">
        <v>3448</v>
      </c>
      <c r="O2185" s="77" t="str">
        <f>_xlfn.XLOOKUP(N2185,'Error-codes'!$C$2:$C$130,'Error-codes'!$B$2:$B$130, "None")</f>
        <v>end of lane open sensor error</v>
      </c>
      <c r="P2185" s="77"/>
      <c r="Q2185" s="77"/>
      <c r="R2185" s="77"/>
      <c r="U2185" s="81">
        <f>DATEVALUE(LEFT(F2185,10))</f>
        <v>45015</v>
      </c>
    </row>
    <row r="2186" spans="1:21">
      <c r="A2186" s="77" t="s">
        <v>8184</v>
      </c>
      <c r="B2186" s="77" t="s">
        <v>29</v>
      </c>
      <c r="C2186" s="77" t="s">
        <v>8116</v>
      </c>
      <c r="D2186" s="77" t="s">
        <v>37</v>
      </c>
      <c r="E2186" s="77" t="s">
        <v>2939</v>
      </c>
      <c r="F2186" s="77" t="s">
        <v>8185</v>
      </c>
      <c r="G2186" s="77">
        <v>146</v>
      </c>
      <c r="H2186" s="77">
        <v>33</v>
      </c>
      <c r="I2186" s="77">
        <v>0.22602739726027399</v>
      </c>
      <c r="J2186" s="77" t="s">
        <v>8186</v>
      </c>
      <c r="K2186" s="77" t="s">
        <v>1873</v>
      </c>
      <c r="L2186" s="77">
        <v>44</v>
      </c>
      <c r="M2186" s="77" t="s">
        <v>471</v>
      </c>
      <c r="N2186" s="77" t="s">
        <v>3448</v>
      </c>
      <c r="O2186" s="77" t="str">
        <f>_xlfn.XLOOKUP(N2186,'Error-codes'!$C$2:$C$130,'Error-codes'!$B$2:$B$130, "None")</f>
        <v>end of lane open sensor error</v>
      </c>
      <c r="P2186" s="77"/>
      <c r="Q2186" s="77"/>
      <c r="R2186" s="77"/>
      <c r="U2186" s="81">
        <f>DATEVALUE(LEFT(F2186,10))</f>
        <v>45015</v>
      </c>
    </row>
    <row r="2187" spans="1:21">
      <c r="A2187" s="77" t="s">
        <v>8187</v>
      </c>
      <c r="B2187" s="77" t="s">
        <v>29</v>
      </c>
      <c r="C2187" s="77" t="s">
        <v>8116</v>
      </c>
      <c r="D2187" s="77" t="s">
        <v>37</v>
      </c>
      <c r="E2187" s="77" t="s">
        <v>2939</v>
      </c>
      <c r="F2187" s="77" t="s">
        <v>8188</v>
      </c>
      <c r="G2187" s="77">
        <v>146</v>
      </c>
      <c r="H2187" s="77">
        <v>34</v>
      </c>
      <c r="I2187" s="77">
        <v>0.232876712328767</v>
      </c>
      <c r="J2187" s="77" t="s">
        <v>8189</v>
      </c>
      <c r="K2187" s="77" t="s">
        <v>1873</v>
      </c>
      <c r="L2187" s="77">
        <v>44</v>
      </c>
      <c r="M2187" s="77" t="s">
        <v>471</v>
      </c>
      <c r="N2187" s="77" t="s">
        <v>3448</v>
      </c>
      <c r="O2187" s="77" t="str">
        <f>_xlfn.XLOOKUP(N2187,'Error-codes'!$C$2:$C$130,'Error-codes'!$B$2:$B$130, "None")</f>
        <v>end of lane open sensor error</v>
      </c>
      <c r="P2187" s="77"/>
      <c r="Q2187" s="77"/>
      <c r="R2187" s="77"/>
      <c r="U2187" s="81">
        <f>DATEVALUE(LEFT(F2187,10))</f>
        <v>45015</v>
      </c>
    </row>
    <row r="2188" spans="1:21">
      <c r="A2188" s="77" t="s">
        <v>8190</v>
      </c>
      <c r="B2188" s="77" t="s">
        <v>29</v>
      </c>
      <c r="C2188" s="77" t="s">
        <v>8116</v>
      </c>
      <c r="D2188" s="77" t="s">
        <v>37</v>
      </c>
      <c r="E2188" s="77" t="s">
        <v>2939</v>
      </c>
      <c r="F2188" s="77" t="s">
        <v>8191</v>
      </c>
      <c r="G2188" s="77">
        <v>146</v>
      </c>
      <c r="H2188" s="77">
        <v>35</v>
      </c>
      <c r="I2188" s="77">
        <v>0.23972602739726001</v>
      </c>
      <c r="J2188" s="77" t="s">
        <v>74</v>
      </c>
      <c r="K2188" s="77" t="s">
        <v>1873</v>
      </c>
      <c r="L2188" s="77">
        <v>44</v>
      </c>
      <c r="M2188" s="77" t="s">
        <v>471</v>
      </c>
      <c r="N2188" s="77" t="s">
        <v>3448</v>
      </c>
      <c r="O2188" s="77" t="str">
        <f>_xlfn.XLOOKUP(N2188,'Error-codes'!$C$2:$C$130,'Error-codes'!$B$2:$B$130, "None")</f>
        <v>end of lane open sensor error</v>
      </c>
      <c r="P2188" s="77"/>
      <c r="Q2188" s="77"/>
      <c r="R2188" s="77"/>
      <c r="U2188" s="81">
        <f>DATEVALUE(LEFT(F2188,10))</f>
        <v>45015</v>
      </c>
    </row>
    <row r="2189" spans="1:21">
      <c r="A2189" s="77" t="s">
        <v>8192</v>
      </c>
      <c r="B2189" s="77" t="s">
        <v>29</v>
      </c>
      <c r="C2189" s="77" t="s">
        <v>8116</v>
      </c>
      <c r="D2189" s="77" t="s">
        <v>37</v>
      </c>
      <c r="E2189" s="77" t="s">
        <v>2939</v>
      </c>
      <c r="F2189" s="77" t="s">
        <v>8193</v>
      </c>
      <c r="G2189" s="77">
        <v>146</v>
      </c>
      <c r="H2189" s="77">
        <v>36</v>
      </c>
      <c r="I2189" s="77">
        <v>0.24657534246575299</v>
      </c>
      <c r="J2189" s="77" t="s">
        <v>8194</v>
      </c>
      <c r="K2189" s="77" t="s">
        <v>1873</v>
      </c>
      <c r="L2189" s="77">
        <v>44</v>
      </c>
      <c r="M2189" s="77" t="s">
        <v>471</v>
      </c>
      <c r="N2189" s="77" t="s">
        <v>3448</v>
      </c>
      <c r="O2189" s="77" t="str">
        <f>_xlfn.XLOOKUP(N2189,'Error-codes'!$C$2:$C$130,'Error-codes'!$B$2:$B$130, "None")</f>
        <v>end of lane open sensor error</v>
      </c>
      <c r="P2189" s="77"/>
      <c r="Q2189" s="77"/>
      <c r="R2189" s="77"/>
      <c r="U2189" s="81">
        <f>DATEVALUE(LEFT(F2189,10))</f>
        <v>45015</v>
      </c>
    </row>
    <row r="2190" spans="1:21">
      <c r="A2190" s="77" t="s">
        <v>8195</v>
      </c>
      <c r="B2190" s="77" t="s">
        <v>29</v>
      </c>
      <c r="C2190" s="77" t="s">
        <v>8116</v>
      </c>
      <c r="D2190" s="77" t="s">
        <v>37</v>
      </c>
      <c r="E2190" s="77" t="s">
        <v>2939</v>
      </c>
      <c r="F2190" s="77" t="s">
        <v>8196</v>
      </c>
      <c r="G2190" s="77">
        <v>146</v>
      </c>
      <c r="H2190" s="77">
        <v>37</v>
      </c>
      <c r="I2190" s="77">
        <v>0.25342465753424698</v>
      </c>
      <c r="J2190" s="77" t="s">
        <v>8197</v>
      </c>
      <c r="K2190" s="77" t="s">
        <v>1873</v>
      </c>
      <c r="L2190" s="77">
        <v>44</v>
      </c>
      <c r="M2190" s="77" t="s">
        <v>471</v>
      </c>
      <c r="N2190" s="77" t="s">
        <v>3448</v>
      </c>
      <c r="O2190" s="77" t="str">
        <f>_xlfn.XLOOKUP(N2190,'Error-codes'!$C$2:$C$130,'Error-codes'!$B$2:$B$130, "None")</f>
        <v>end of lane open sensor error</v>
      </c>
      <c r="P2190" s="77"/>
      <c r="Q2190" s="77"/>
      <c r="R2190" s="77"/>
      <c r="U2190" s="81">
        <f>DATEVALUE(LEFT(F2190,10))</f>
        <v>45015</v>
      </c>
    </row>
    <row r="2191" spans="1:21">
      <c r="A2191" s="77" t="s">
        <v>8198</v>
      </c>
      <c r="B2191" s="77" t="s">
        <v>29</v>
      </c>
      <c r="C2191" s="77" t="s">
        <v>8116</v>
      </c>
      <c r="D2191" s="77" t="s">
        <v>37</v>
      </c>
      <c r="E2191" s="77" t="s">
        <v>2939</v>
      </c>
      <c r="F2191" s="77" t="s">
        <v>8199</v>
      </c>
      <c r="G2191" s="77">
        <v>146</v>
      </c>
      <c r="H2191" s="77">
        <v>39</v>
      </c>
      <c r="I2191" s="77">
        <v>0.267123287671233</v>
      </c>
      <c r="J2191" s="77" t="s">
        <v>8200</v>
      </c>
      <c r="K2191" s="77" t="s">
        <v>1873</v>
      </c>
      <c r="L2191" s="77">
        <v>44</v>
      </c>
      <c r="M2191" s="77" t="s">
        <v>471</v>
      </c>
      <c r="N2191" s="77" t="s">
        <v>3448</v>
      </c>
      <c r="O2191" s="77" t="str">
        <f>_xlfn.XLOOKUP(N2191,'Error-codes'!$C$2:$C$130,'Error-codes'!$B$2:$B$130, "None")</f>
        <v>end of lane open sensor error</v>
      </c>
      <c r="P2191" s="77"/>
      <c r="Q2191" s="77"/>
      <c r="R2191" s="77"/>
      <c r="U2191" s="81">
        <f>DATEVALUE(LEFT(F2191,10))</f>
        <v>45015</v>
      </c>
    </row>
    <row r="2192" spans="1:21">
      <c r="A2192" s="77" t="s">
        <v>8201</v>
      </c>
      <c r="B2192" s="77" t="s">
        <v>29</v>
      </c>
      <c r="C2192" s="77" t="s">
        <v>8116</v>
      </c>
      <c r="D2192" s="77" t="s">
        <v>37</v>
      </c>
      <c r="E2192" s="77" t="s">
        <v>2939</v>
      </c>
      <c r="F2192" s="77" t="s">
        <v>8202</v>
      </c>
      <c r="G2192" s="77">
        <v>146</v>
      </c>
      <c r="H2192" s="77">
        <v>40</v>
      </c>
      <c r="I2192" s="77">
        <v>0.27397260273972601</v>
      </c>
      <c r="J2192" s="77" t="s">
        <v>8203</v>
      </c>
      <c r="K2192" s="77" t="s">
        <v>1873</v>
      </c>
      <c r="L2192" s="77">
        <v>44</v>
      </c>
      <c r="M2192" s="77" t="s">
        <v>471</v>
      </c>
      <c r="N2192" s="77" t="s">
        <v>3448</v>
      </c>
      <c r="O2192" s="77" t="str">
        <f>_xlfn.XLOOKUP(N2192,'Error-codes'!$C$2:$C$130,'Error-codes'!$B$2:$B$130, "None")</f>
        <v>end of lane open sensor error</v>
      </c>
      <c r="P2192" s="77"/>
      <c r="Q2192" s="77"/>
      <c r="R2192" s="77"/>
      <c r="U2192" s="81">
        <f>DATEVALUE(LEFT(F2192,10))</f>
        <v>45015</v>
      </c>
    </row>
    <row r="2193" spans="1:21">
      <c r="A2193" s="77" t="s">
        <v>8204</v>
      </c>
      <c r="B2193" s="77" t="s">
        <v>29</v>
      </c>
      <c r="C2193" s="77" t="s">
        <v>8116</v>
      </c>
      <c r="D2193" s="77" t="s">
        <v>37</v>
      </c>
      <c r="E2193" s="77" t="s">
        <v>2939</v>
      </c>
      <c r="F2193" s="77" t="s">
        <v>8205</v>
      </c>
      <c r="G2193" s="77">
        <v>146</v>
      </c>
      <c r="H2193" s="77">
        <v>41</v>
      </c>
      <c r="I2193" s="77">
        <v>0.28082191780821902</v>
      </c>
      <c r="J2193" s="77" t="s">
        <v>8206</v>
      </c>
      <c r="K2193" s="77" t="s">
        <v>1873</v>
      </c>
      <c r="L2193" s="77">
        <v>44</v>
      </c>
      <c r="M2193" s="77" t="s">
        <v>471</v>
      </c>
      <c r="N2193" s="77" t="s">
        <v>3448</v>
      </c>
      <c r="O2193" s="77" t="str">
        <f>_xlfn.XLOOKUP(N2193,'Error-codes'!$C$2:$C$130,'Error-codes'!$B$2:$B$130, "None")</f>
        <v>end of lane open sensor error</v>
      </c>
      <c r="P2193" s="77"/>
      <c r="Q2193" s="77"/>
      <c r="R2193" s="77"/>
      <c r="U2193" s="81">
        <f>DATEVALUE(LEFT(F2193,10))</f>
        <v>45015</v>
      </c>
    </row>
    <row r="2194" spans="1:21">
      <c r="A2194" s="77" t="s">
        <v>8207</v>
      </c>
      <c r="B2194" s="77" t="s">
        <v>29</v>
      </c>
      <c r="C2194" s="77" t="s">
        <v>8116</v>
      </c>
      <c r="D2194" s="77" t="s">
        <v>37</v>
      </c>
      <c r="E2194" s="77" t="s">
        <v>2939</v>
      </c>
      <c r="F2194" s="77" t="s">
        <v>8208</v>
      </c>
      <c r="G2194" s="77">
        <v>146</v>
      </c>
      <c r="H2194" s="77">
        <v>42</v>
      </c>
      <c r="I2194" s="77">
        <v>0.28767123287671198</v>
      </c>
      <c r="J2194" s="77" t="s">
        <v>8209</v>
      </c>
      <c r="K2194" s="77" t="s">
        <v>1873</v>
      </c>
      <c r="L2194" s="77">
        <v>44</v>
      </c>
      <c r="M2194" s="77" t="s">
        <v>471</v>
      </c>
      <c r="N2194" s="77" t="s">
        <v>3448</v>
      </c>
      <c r="O2194" s="77" t="str">
        <f>_xlfn.XLOOKUP(N2194,'Error-codes'!$C$2:$C$130,'Error-codes'!$B$2:$B$130, "None")</f>
        <v>end of lane open sensor error</v>
      </c>
      <c r="P2194" s="77"/>
      <c r="Q2194" s="77"/>
      <c r="R2194" s="77"/>
      <c r="U2194" s="81">
        <f>DATEVALUE(LEFT(F2194,10))</f>
        <v>45015</v>
      </c>
    </row>
    <row r="2195" spans="1:21">
      <c r="A2195" s="77" t="s">
        <v>8210</v>
      </c>
      <c r="B2195" s="77" t="s">
        <v>29</v>
      </c>
      <c r="C2195" s="77" t="s">
        <v>8116</v>
      </c>
      <c r="D2195" s="77" t="s">
        <v>37</v>
      </c>
      <c r="E2195" s="77" t="s">
        <v>2939</v>
      </c>
      <c r="F2195" s="77" t="s">
        <v>8211</v>
      </c>
      <c r="G2195" s="77">
        <v>146</v>
      </c>
      <c r="H2195" s="77">
        <v>43</v>
      </c>
      <c r="I2195" s="77">
        <v>0.29452054794520499</v>
      </c>
      <c r="J2195" s="77" t="s">
        <v>8212</v>
      </c>
      <c r="K2195" s="77" t="s">
        <v>1873</v>
      </c>
      <c r="L2195" s="77">
        <v>44</v>
      </c>
      <c r="M2195" s="77" t="s">
        <v>471</v>
      </c>
      <c r="N2195" s="77" t="s">
        <v>3448</v>
      </c>
      <c r="O2195" s="77" t="str">
        <f>_xlfn.XLOOKUP(N2195,'Error-codes'!$C$2:$C$130,'Error-codes'!$B$2:$B$130, "None")</f>
        <v>end of lane open sensor error</v>
      </c>
      <c r="P2195" s="77"/>
      <c r="Q2195" s="77"/>
      <c r="R2195" s="77"/>
      <c r="U2195" s="81">
        <f>DATEVALUE(LEFT(F2195,10))</f>
        <v>45015</v>
      </c>
    </row>
    <row r="2196" spans="1:21">
      <c r="A2196" s="77" t="s">
        <v>8213</v>
      </c>
      <c r="B2196" s="77" t="s">
        <v>29</v>
      </c>
      <c r="C2196" s="77" t="s">
        <v>8116</v>
      </c>
      <c r="D2196" s="77" t="s">
        <v>37</v>
      </c>
      <c r="E2196" s="77" t="s">
        <v>2939</v>
      </c>
      <c r="F2196" s="77" t="s">
        <v>8214</v>
      </c>
      <c r="G2196" s="77">
        <v>146</v>
      </c>
      <c r="H2196" s="77">
        <v>44</v>
      </c>
      <c r="I2196" s="77">
        <v>0.301369863013699</v>
      </c>
      <c r="J2196" s="77" t="s">
        <v>8215</v>
      </c>
      <c r="K2196" s="77" t="s">
        <v>1873</v>
      </c>
      <c r="L2196" s="77">
        <v>44</v>
      </c>
      <c r="M2196" s="77" t="s">
        <v>471</v>
      </c>
      <c r="N2196" s="77" t="s">
        <v>3446</v>
      </c>
      <c r="O2196" s="77" t="str">
        <f>_xlfn.XLOOKUP(N2196,'Error-codes'!$C$2:$C$130,'Error-codes'!$B$2:$B$130, "None")</f>
        <v>end of lane wall sensor error</v>
      </c>
      <c r="P2196" s="77"/>
      <c r="Q2196" s="77"/>
      <c r="R2196" s="77"/>
      <c r="U2196" s="81">
        <f>DATEVALUE(LEFT(F2196,10))</f>
        <v>45015</v>
      </c>
    </row>
    <row r="2197" spans="1:21">
      <c r="A2197" s="77" t="s">
        <v>8216</v>
      </c>
      <c r="B2197" s="77" t="s">
        <v>29</v>
      </c>
      <c r="C2197" s="77" t="s">
        <v>8116</v>
      </c>
      <c r="D2197" s="77" t="s">
        <v>37</v>
      </c>
      <c r="E2197" s="77" t="s">
        <v>2939</v>
      </c>
      <c r="F2197" s="77" t="s">
        <v>8217</v>
      </c>
      <c r="G2197" s="77">
        <v>146</v>
      </c>
      <c r="H2197" s="77">
        <v>46</v>
      </c>
      <c r="I2197" s="77">
        <v>0.31506849315068503</v>
      </c>
      <c r="J2197" s="77" t="s">
        <v>8218</v>
      </c>
      <c r="K2197" s="77" t="s">
        <v>1873</v>
      </c>
      <c r="L2197" s="77">
        <v>44</v>
      </c>
      <c r="M2197" s="77" t="s">
        <v>471</v>
      </c>
      <c r="N2197" s="77" t="s">
        <v>3448</v>
      </c>
      <c r="O2197" s="77" t="str">
        <f>_xlfn.XLOOKUP(N2197,'Error-codes'!$C$2:$C$130,'Error-codes'!$B$2:$B$130, "None")</f>
        <v>end of lane open sensor error</v>
      </c>
      <c r="P2197" s="77"/>
      <c r="Q2197" s="77"/>
      <c r="R2197" s="77"/>
      <c r="U2197" s="81">
        <f>DATEVALUE(LEFT(F2197,10))</f>
        <v>45015</v>
      </c>
    </row>
    <row r="2198" spans="1:21">
      <c r="A2198" s="77" t="s">
        <v>8219</v>
      </c>
      <c r="B2198" s="77" t="s">
        <v>29</v>
      </c>
      <c r="C2198" s="77" t="s">
        <v>8116</v>
      </c>
      <c r="D2198" s="77" t="s">
        <v>37</v>
      </c>
      <c r="E2198" s="77" t="s">
        <v>2939</v>
      </c>
      <c r="F2198" s="77" t="s">
        <v>8220</v>
      </c>
      <c r="G2198" s="77">
        <v>146</v>
      </c>
      <c r="H2198" s="77">
        <v>47</v>
      </c>
      <c r="I2198" s="77">
        <v>0.32191780821917798</v>
      </c>
      <c r="J2198" s="77" t="s">
        <v>188</v>
      </c>
      <c r="K2198" s="77" t="s">
        <v>1873</v>
      </c>
      <c r="L2198" s="77">
        <v>44</v>
      </c>
      <c r="M2198" s="77" t="s">
        <v>471</v>
      </c>
      <c r="N2198" s="77" t="s">
        <v>3448</v>
      </c>
      <c r="O2198" s="77" t="str">
        <f>_xlfn.XLOOKUP(N2198,'Error-codes'!$C$2:$C$130,'Error-codes'!$B$2:$B$130, "None")</f>
        <v>end of lane open sensor error</v>
      </c>
      <c r="P2198" s="77"/>
      <c r="Q2198" s="77"/>
      <c r="R2198" s="77"/>
      <c r="U2198" s="81">
        <f>DATEVALUE(LEFT(F2198,10))</f>
        <v>45015</v>
      </c>
    </row>
    <row r="2199" spans="1:21">
      <c r="A2199" s="77" t="s">
        <v>8221</v>
      </c>
      <c r="B2199" s="77" t="s">
        <v>29</v>
      </c>
      <c r="C2199" s="77" t="s">
        <v>8116</v>
      </c>
      <c r="D2199" s="77" t="s">
        <v>37</v>
      </c>
      <c r="E2199" s="77" t="s">
        <v>2939</v>
      </c>
      <c r="F2199" s="77" t="s">
        <v>8222</v>
      </c>
      <c r="G2199" s="77">
        <v>146</v>
      </c>
      <c r="H2199" s="77">
        <v>48</v>
      </c>
      <c r="I2199" s="77">
        <v>0.32876712328767099</v>
      </c>
      <c r="J2199" s="77" t="s">
        <v>8223</v>
      </c>
      <c r="K2199" s="77" t="s">
        <v>1873</v>
      </c>
      <c r="L2199" s="77">
        <v>44</v>
      </c>
      <c r="M2199" s="77" t="s">
        <v>471</v>
      </c>
      <c r="N2199" s="77" t="s">
        <v>3448</v>
      </c>
      <c r="O2199" s="77" t="str">
        <f>_xlfn.XLOOKUP(N2199,'Error-codes'!$C$2:$C$130,'Error-codes'!$B$2:$B$130, "None")</f>
        <v>end of lane open sensor error</v>
      </c>
      <c r="P2199" s="77"/>
      <c r="Q2199" s="77"/>
      <c r="R2199" s="77"/>
      <c r="U2199" s="81">
        <f>DATEVALUE(LEFT(F2199,10))</f>
        <v>45015</v>
      </c>
    </row>
    <row r="2200" spans="1:21">
      <c r="A2200" s="77" t="s">
        <v>8224</v>
      </c>
      <c r="B2200" s="77" t="s">
        <v>29</v>
      </c>
      <c r="C2200" s="77" t="s">
        <v>8116</v>
      </c>
      <c r="D2200" s="77" t="s">
        <v>37</v>
      </c>
      <c r="E2200" s="77" t="s">
        <v>2939</v>
      </c>
      <c r="F2200" s="77" t="s">
        <v>8225</v>
      </c>
      <c r="G2200" s="77">
        <v>146</v>
      </c>
      <c r="H2200" s="77">
        <v>49</v>
      </c>
      <c r="I2200" s="77">
        <v>0.335616438356164</v>
      </c>
      <c r="J2200" s="77" t="s">
        <v>60</v>
      </c>
      <c r="K2200" s="77" t="s">
        <v>1873</v>
      </c>
      <c r="L2200" s="77">
        <v>44</v>
      </c>
      <c r="M2200" s="77" t="s">
        <v>471</v>
      </c>
      <c r="N2200" s="77" t="s">
        <v>3448</v>
      </c>
      <c r="O2200" s="77" t="str">
        <f>_xlfn.XLOOKUP(N2200,'Error-codes'!$C$2:$C$130,'Error-codes'!$B$2:$B$130, "None")</f>
        <v>end of lane open sensor error</v>
      </c>
      <c r="P2200" s="77"/>
      <c r="Q2200" s="77"/>
      <c r="R2200" s="77"/>
      <c r="U2200" s="81">
        <f>DATEVALUE(LEFT(F2200,10))</f>
        <v>45015</v>
      </c>
    </row>
    <row r="2201" spans="1:21">
      <c r="A2201" s="77" t="s">
        <v>8226</v>
      </c>
      <c r="B2201" s="77" t="s">
        <v>29</v>
      </c>
      <c r="C2201" s="77" t="s">
        <v>8116</v>
      </c>
      <c r="D2201" s="77" t="s">
        <v>37</v>
      </c>
      <c r="E2201" s="77" t="s">
        <v>2939</v>
      </c>
      <c r="F2201" s="77" t="s">
        <v>8227</v>
      </c>
      <c r="G2201" s="77">
        <v>146</v>
      </c>
      <c r="H2201" s="77">
        <v>50</v>
      </c>
      <c r="I2201" s="77">
        <v>0.34246575342465702</v>
      </c>
      <c r="J2201" s="77" t="s">
        <v>1566</v>
      </c>
      <c r="K2201" s="77" t="s">
        <v>1873</v>
      </c>
      <c r="L2201" s="77">
        <v>44</v>
      </c>
      <c r="M2201" s="77" t="s">
        <v>471</v>
      </c>
      <c r="N2201" s="77" t="s">
        <v>3448</v>
      </c>
      <c r="O2201" s="77" t="str">
        <f>_xlfn.XLOOKUP(N2201,'Error-codes'!$C$2:$C$130,'Error-codes'!$B$2:$B$130, "None")</f>
        <v>end of lane open sensor error</v>
      </c>
      <c r="P2201" s="77"/>
      <c r="Q2201" s="77"/>
      <c r="R2201" s="77"/>
      <c r="U2201" s="81">
        <f>DATEVALUE(LEFT(F2201,10))</f>
        <v>45015</v>
      </c>
    </row>
    <row r="2202" spans="1:21">
      <c r="A2202" s="77" t="s">
        <v>8228</v>
      </c>
      <c r="B2202" s="77" t="s">
        <v>29</v>
      </c>
      <c r="C2202" s="77" t="s">
        <v>8116</v>
      </c>
      <c r="D2202" s="77" t="s">
        <v>37</v>
      </c>
      <c r="E2202" s="77" t="s">
        <v>2939</v>
      </c>
      <c r="F2202" s="77" t="s">
        <v>8229</v>
      </c>
      <c r="G2202" s="77">
        <v>146</v>
      </c>
      <c r="H2202" s="77">
        <v>51</v>
      </c>
      <c r="I2202" s="77">
        <v>0.34931506849315103</v>
      </c>
      <c r="J2202" s="77" t="s">
        <v>8230</v>
      </c>
      <c r="K2202" s="77" t="s">
        <v>1873</v>
      </c>
      <c r="L2202" s="77">
        <v>44</v>
      </c>
      <c r="M2202" s="77" t="s">
        <v>471</v>
      </c>
      <c r="N2202" s="77" t="s">
        <v>3448</v>
      </c>
      <c r="O2202" s="77" t="str">
        <f>_xlfn.XLOOKUP(N2202,'Error-codes'!$C$2:$C$130,'Error-codes'!$B$2:$B$130, "None")</f>
        <v>end of lane open sensor error</v>
      </c>
      <c r="P2202" s="77"/>
      <c r="Q2202" s="77"/>
      <c r="R2202" s="77"/>
      <c r="U2202" s="81">
        <f>DATEVALUE(LEFT(F2202,10))</f>
        <v>45015</v>
      </c>
    </row>
    <row r="2203" spans="1:21">
      <c r="A2203" s="77" t="s">
        <v>8231</v>
      </c>
      <c r="B2203" s="77" t="s">
        <v>29</v>
      </c>
      <c r="C2203" s="77" t="s">
        <v>8116</v>
      </c>
      <c r="D2203" s="77" t="s">
        <v>37</v>
      </c>
      <c r="E2203" s="77" t="s">
        <v>2939</v>
      </c>
      <c r="F2203" s="77" t="s">
        <v>8232</v>
      </c>
      <c r="G2203" s="77">
        <v>146</v>
      </c>
      <c r="H2203" s="77">
        <v>53</v>
      </c>
      <c r="I2203" s="77">
        <v>0.36301369863013699</v>
      </c>
      <c r="J2203" s="77" t="s">
        <v>8233</v>
      </c>
      <c r="K2203" s="77" t="s">
        <v>1873</v>
      </c>
      <c r="L2203" s="77">
        <v>44</v>
      </c>
      <c r="M2203" s="77" t="s">
        <v>471</v>
      </c>
      <c r="N2203" s="77" t="s">
        <v>3448</v>
      </c>
      <c r="O2203" s="77" t="str">
        <f>_xlfn.XLOOKUP(N2203,'Error-codes'!$C$2:$C$130,'Error-codes'!$B$2:$B$130, "None")</f>
        <v>end of lane open sensor error</v>
      </c>
      <c r="P2203" s="77"/>
      <c r="Q2203" s="77"/>
      <c r="R2203" s="77"/>
      <c r="U2203" s="81">
        <f>DATEVALUE(LEFT(F2203,10))</f>
        <v>45015</v>
      </c>
    </row>
    <row r="2204" spans="1:21">
      <c r="A2204" s="84" t="s">
        <v>8234</v>
      </c>
      <c r="B2204" s="77" t="s">
        <v>29</v>
      </c>
      <c r="C2204" s="77" t="s">
        <v>8116</v>
      </c>
      <c r="D2204" s="77" t="s">
        <v>37</v>
      </c>
      <c r="E2204" s="77" t="s">
        <v>2939</v>
      </c>
      <c r="F2204" s="77" t="s">
        <v>8235</v>
      </c>
      <c r="G2204" s="77">
        <v>146</v>
      </c>
      <c r="H2204" s="77">
        <v>54</v>
      </c>
      <c r="I2204" s="77">
        <v>0.36986301369863001</v>
      </c>
      <c r="J2204" s="77" t="s">
        <v>8236</v>
      </c>
      <c r="K2204" s="77" t="s">
        <v>1873</v>
      </c>
      <c r="L2204" s="77">
        <v>44</v>
      </c>
      <c r="M2204" s="77" t="s">
        <v>471</v>
      </c>
      <c r="N2204" s="77" t="s">
        <v>3448</v>
      </c>
      <c r="O2204" s="77" t="str">
        <f>_xlfn.XLOOKUP(N2204,'Error-codes'!$C$2:$C$130,'Error-codes'!$B$2:$B$130, "None")</f>
        <v>end of lane open sensor error</v>
      </c>
      <c r="P2204" s="77"/>
      <c r="Q2204" s="77"/>
      <c r="R2204" s="77"/>
      <c r="U2204" s="81">
        <f>DATEVALUE(LEFT(F2204,10))</f>
        <v>45015</v>
      </c>
    </row>
    <row r="2205" spans="1:21">
      <c r="A2205" s="77" t="s">
        <v>8237</v>
      </c>
      <c r="B2205" s="77" t="s">
        <v>29</v>
      </c>
      <c r="C2205" s="77" t="s">
        <v>8116</v>
      </c>
      <c r="D2205" s="77" t="s">
        <v>37</v>
      </c>
      <c r="E2205" s="77" t="s">
        <v>2939</v>
      </c>
      <c r="F2205" s="77" t="s">
        <v>8238</v>
      </c>
      <c r="G2205" s="77">
        <v>146</v>
      </c>
      <c r="H2205" s="77">
        <v>55</v>
      </c>
      <c r="I2205" s="77">
        <v>0.37671232876712302</v>
      </c>
      <c r="J2205" s="77" t="s">
        <v>3165</v>
      </c>
      <c r="K2205" s="77" t="s">
        <v>1873</v>
      </c>
      <c r="L2205" s="77">
        <v>44</v>
      </c>
      <c r="M2205" s="77" t="s">
        <v>471</v>
      </c>
      <c r="N2205" s="77" t="s">
        <v>3448</v>
      </c>
      <c r="O2205" s="77" t="str">
        <f>_xlfn.XLOOKUP(N2205,'Error-codes'!$C$2:$C$130,'Error-codes'!$B$2:$B$130, "None")</f>
        <v>end of lane open sensor error</v>
      </c>
      <c r="P2205" s="77"/>
      <c r="Q2205" s="77"/>
      <c r="R2205" s="77"/>
      <c r="U2205" s="81">
        <f>DATEVALUE(LEFT(F2205,10))</f>
        <v>45015</v>
      </c>
    </row>
    <row r="2206" spans="1:21">
      <c r="A2206" s="77" t="s">
        <v>8239</v>
      </c>
      <c r="B2206" s="77" t="s">
        <v>29</v>
      </c>
      <c r="C2206" s="77" t="s">
        <v>8116</v>
      </c>
      <c r="D2206" s="77" t="s">
        <v>37</v>
      </c>
      <c r="E2206" s="77" t="s">
        <v>2939</v>
      </c>
      <c r="F2206" s="77" t="s">
        <v>8240</v>
      </c>
      <c r="G2206" s="77">
        <v>146</v>
      </c>
      <c r="H2206" s="77">
        <v>56</v>
      </c>
      <c r="I2206" s="77">
        <v>0.38356164383561597</v>
      </c>
      <c r="J2206" s="77" t="s">
        <v>8241</v>
      </c>
      <c r="K2206" s="77" t="s">
        <v>1873</v>
      </c>
      <c r="L2206" s="77">
        <v>44</v>
      </c>
      <c r="M2206" s="77" t="s">
        <v>471</v>
      </c>
      <c r="N2206" s="77" t="s">
        <v>3448</v>
      </c>
      <c r="O2206" s="77" t="str">
        <f>_xlfn.XLOOKUP(N2206,'Error-codes'!$C$2:$C$130,'Error-codes'!$B$2:$B$130, "None")</f>
        <v>end of lane open sensor error</v>
      </c>
      <c r="P2206" s="77"/>
      <c r="Q2206" s="77"/>
      <c r="R2206" s="77"/>
      <c r="U2206" s="81">
        <f>DATEVALUE(LEFT(F2206,10))</f>
        <v>45015</v>
      </c>
    </row>
    <row r="2207" spans="1:21">
      <c r="A2207" s="77" t="s">
        <v>8242</v>
      </c>
      <c r="B2207" s="77" t="s">
        <v>29</v>
      </c>
      <c r="C2207" s="77" t="s">
        <v>8116</v>
      </c>
      <c r="D2207" s="77" t="s">
        <v>37</v>
      </c>
      <c r="E2207" s="77" t="s">
        <v>2939</v>
      </c>
      <c r="F2207" s="77" t="s">
        <v>8243</v>
      </c>
      <c r="G2207" s="77">
        <v>146</v>
      </c>
      <c r="H2207" s="77">
        <v>57</v>
      </c>
      <c r="I2207" s="77">
        <v>0.39041095890410998</v>
      </c>
      <c r="J2207" s="77" t="s">
        <v>8244</v>
      </c>
      <c r="K2207" s="77" t="s">
        <v>1873</v>
      </c>
      <c r="L2207" s="77">
        <v>44</v>
      </c>
      <c r="M2207" s="77" t="s">
        <v>471</v>
      </c>
      <c r="N2207" s="77" t="s">
        <v>3448</v>
      </c>
      <c r="O2207" s="77" t="str">
        <f>_xlfn.XLOOKUP(N2207,'Error-codes'!$C$2:$C$130,'Error-codes'!$B$2:$B$130, "None")</f>
        <v>end of lane open sensor error</v>
      </c>
      <c r="P2207" s="77"/>
      <c r="Q2207" s="77"/>
      <c r="R2207" s="77"/>
      <c r="U2207" s="81">
        <f>DATEVALUE(LEFT(F2207,10))</f>
        <v>45015</v>
      </c>
    </row>
    <row r="2208" spans="1:21">
      <c r="A2208" s="77" t="s">
        <v>8245</v>
      </c>
      <c r="B2208" s="77" t="s">
        <v>29</v>
      </c>
      <c r="C2208" s="77" t="s">
        <v>8116</v>
      </c>
      <c r="D2208" s="77" t="s">
        <v>37</v>
      </c>
      <c r="E2208" s="77" t="s">
        <v>2939</v>
      </c>
      <c r="F2208" s="77" t="s">
        <v>8246</v>
      </c>
      <c r="G2208" s="77">
        <v>146</v>
      </c>
      <c r="H2208" s="77">
        <v>58</v>
      </c>
      <c r="I2208" s="77">
        <v>0.397260273972603</v>
      </c>
      <c r="J2208" s="77" t="s">
        <v>8247</v>
      </c>
      <c r="K2208" s="77" t="s">
        <v>1873</v>
      </c>
      <c r="L2208" s="77">
        <v>44</v>
      </c>
      <c r="M2208" s="77" t="s">
        <v>471</v>
      </c>
      <c r="N2208" s="77" t="s">
        <v>3446</v>
      </c>
      <c r="O2208" s="77" t="str">
        <f>_xlfn.XLOOKUP(N2208,'Error-codes'!$C$2:$C$130,'Error-codes'!$B$2:$B$130, "None")</f>
        <v>end of lane wall sensor error</v>
      </c>
      <c r="P2208" s="77"/>
      <c r="Q2208" s="77"/>
      <c r="R2208" s="77"/>
      <c r="U2208" s="81">
        <f>DATEVALUE(LEFT(F2208,10))</f>
        <v>45015</v>
      </c>
    </row>
    <row r="2209" spans="1:21">
      <c r="A2209" s="77" t="s">
        <v>8248</v>
      </c>
      <c r="B2209" s="77" t="s">
        <v>29</v>
      </c>
      <c r="C2209" s="77" t="s">
        <v>8116</v>
      </c>
      <c r="D2209" s="77" t="s">
        <v>37</v>
      </c>
      <c r="E2209" s="77" t="s">
        <v>2939</v>
      </c>
      <c r="F2209" s="77" t="s">
        <v>8249</v>
      </c>
      <c r="G2209" s="77">
        <v>146</v>
      </c>
      <c r="H2209" s="77">
        <v>60</v>
      </c>
      <c r="I2209" s="77">
        <v>0.41095890410958902</v>
      </c>
      <c r="J2209" s="77" t="s">
        <v>8250</v>
      </c>
      <c r="K2209" s="77" t="s">
        <v>1873</v>
      </c>
      <c r="L2209" s="77">
        <v>44</v>
      </c>
      <c r="M2209" s="77" t="s">
        <v>471</v>
      </c>
      <c r="N2209" s="77" t="s">
        <v>3448</v>
      </c>
      <c r="O2209" s="77" t="str">
        <f>_xlfn.XLOOKUP(N2209,'Error-codes'!$C$2:$C$130,'Error-codes'!$B$2:$B$130, "None")</f>
        <v>end of lane open sensor error</v>
      </c>
      <c r="P2209" s="77"/>
      <c r="Q2209" s="77"/>
      <c r="R2209" s="77"/>
      <c r="U2209" s="81">
        <f>DATEVALUE(LEFT(F2209,10))</f>
        <v>45015</v>
      </c>
    </row>
    <row r="2210" spans="1:21">
      <c r="A2210" s="77" t="s">
        <v>8251</v>
      </c>
      <c r="B2210" s="77" t="s">
        <v>29</v>
      </c>
      <c r="C2210" s="77" t="s">
        <v>8116</v>
      </c>
      <c r="D2210" s="77" t="s">
        <v>37</v>
      </c>
      <c r="E2210" s="77" t="s">
        <v>2939</v>
      </c>
      <c r="F2210" s="77" t="s">
        <v>8252</v>
      </c>
      <c r="G2210" s="77">
        <v>146</v>
      </c>
      <c r="H2210" s="77">
        <v>61</v>
      </c>
      <c r="I2210" s="77">
        <v>0.41780821917808197</v>
      </c>
      <c r="J2210" s="77" t="s">
        <v>8253</v>
      </c>
      <c r="K2210" s="77" t="s">
        <v>1873</v>
      </c>
      <c r="L2210" s="77">
        <v>44</v>
      </c>
      <c r="M2210" s="77" t="s">
        <v>471</v>
      </c>
      <c r="N2210" s="77" t="s">
        <v>3448</v>
      </c>
      <c r="O2210" s="77" t="str">
        <f>_xlfn.XLOOKUP(N2210,'Error-codes'!$C$2:$C$130,'Error-codes'!$B$2:$B$130, "None")</f>
        <v>end of lane open sensor error</v>
      </c>
      <c r="P2210" s="77"/>
      <c r="Q2210" s="77"/>
      <c r="R2210" s="77"/>
      <c r="U2210" s="81">
        <f>DATEVALUE(LEFT(F2210,10))</f>
        <v>45015</v>
      </c>
    </row>
    <row r="2211" spans="1:21">
      <c r="A2211" s="77" t="s">
        <v>8254</v>
      </c>
      <c r="B2211" s="77" t="s">
        <v>29</v>
      </c>
      <c r="C2211" s="77" t="s">
        <v>8116</v>
      </c>
      <c r="D2211" s="77" t="s">
        <v>37</v>
      </c>
      <c r="E2211" s="77" t="s">
        <v>2939</v>
      </c>
      <c r="F2211" s="77" t="s">
        <v>8255</v>
      </c>
      <c r="G2211" s="77">
        <v>146</v>
      </c>
      <c r="H2211" s="77">
        <v>62</v>
      </c>
      <c r="I2211" s="77">
        <v>0.42465753424657499</v>
      </c>
      <c r="J2211" s="77" t="s">
        <v>8256</v>
      </c>
      <c r="K2211" s="77" t="s">
        <v>1873</v>
      </c>
      <c r="L2211" s="77">
        <v>44</v>
      </c>
      <c r="M2211" s="77" t="s">
        <v>471</v>
      </c>
      <c r="N2211" s="77" t="s">
        <v>3448</v>
      </c>
      <c r="O2211" s="77" t="str">
        <f>_xlfn.XLOOKUP(N2211,'Error-codes'!$C$2:$C$130,'Error-codes'!$B$2:$B$130, "None")</f>
        <v>end of lane open sensor error</v>
      </c>
      <c r="P2211" s="77"/>
      <c r="Q2211" s="77"/>
      <c r="R2211" s="77"/>
      <c r="U2211" s="81">
        <f>DATEVALUE(LEFT(F2211,10))</f>
        <v>45015</v>
      </c>
    </row>
    <row r="2212" spans="1:21">
      <c r="A2212" s="77" t="s">
        <v>8257</v>
      </c>
      <c r="B2212" s="77" t="s">
        <v>29</v>
      </c>
      <c r="C2212" s="77" t="s">
        <v>8116</v>
      </c>
      <c r="D2212" s="77" t="s">
        <v>37</v>
      </c>
      <c r="E2212" s="77" t="s">
        <v>2939</v>
      </c>
      <c r="F2212" s="77" t="s">
        <v>8258</v>
      </c>
      <c r="G2212" s="77">
        <v>146</v>
      </c>
      <c r="H2212" s="77">
        <v>63</v>
      </c>
      <c r="I2212" s="77">
        <v>0.431506849315069</v>
      </c>
      <c r="J2212" s="77" t="s">
        <v>8259</v>
      </c>
      <c r="K2212" s="77" t="s">
        <v>1873</v>
      </c>
      <c r="L2212" s="77">
        <v>44</v>
      </c>
      <c r="M2212" s="77" t="s">
        <v>471</v>
      </c>
      <c r="N2212" s="77" t="s">
        <v>3448</v>
      </c>
      <c r="O2212" s="77" t="str">
        <f>_xlfn.XLOOKUP(N2212,'Error-codes'!$C$2:$C$130,'Error-codes'!$B$2:$B$130, "None")</f>
        <v>end of lane open sensor error</v>
      </c>
      <c r="P2212" s="77"/>
      <c r="Q2212" s="77"/>
      <c r="R2212" s="77"/>
      <c r="U2212" s="81">
        <f>DATEVALUE(LEFT(F2212,10))</f>
        <v>45015</v>
      </c>
    </row>
    <row r="2213" spans="1:21">
      <c r="A2213" s="77" t="s">
        <v>8260</v>
      </c>
      <c r="B2213" s="77" t="s">
        <v>29</v>
      </c>
      <c r="C2213" s="77" t="s">
        <v>8116</v>
      </c>
      <c r="D2213" s="77" t="s">
        <v>37</v>
      </c>
      <c r="E2213" s="77" t="s">
        <v>2939</v>
      </c>
      <c r="F2213" s="77" t="s">
        <v>8261</v>
      </c>
      <c r="G2213" s="77">
        <v>146</v>
      </c>
      <c r="H2213" s="77">
        <v>64</v>
      </c>
      <c r="I2213" s="77">
        <v>0.43835616438356201</v>
      </c>
      <c r="J2213" s="77" t="s">
        <v>8262</v>
      </c>
      <c r="K2213" s="77" t="s">
        <v>1873</v>
      </c>
      <c r="L2213" s="77">
        <v>44</v>
      </c>
      <c r="M2213" s="77" t="s">
        <v>471</v>
      </c>
      <c r="N2213" s="77" t="s">
        <v>3446</v>
      </c>
      <c r="O2213" s="77" t="str">
        <f>_xlfn.XLOOKUP(N2213,'Error-codes'!$C$2:$C$130,'Error-codes'!$B$2:$B$130, "None")</f>
        <v>end of lane wall sensor error</v>
      </c>
      <c r="P2213" s="77"/>
      <c r="Q2213" s="77"/>
      <c r="R2213" s="77"/>
      <c r="U2213" s="81">
        <f>DATEVALUE(LEFT(F2213,10))</f>
        <v>45015</v>
      </c>
    </row>
    <row r="2214" spans="1:21">
      <c r="A2214" s="77" t="s">
        <v>8263</v>
      </c>
      <c r="B2214" s="77" t="s">
        <v>29</v>
      </c>
      <c r="C2214" s="77" t="s">
        <v>8116</v>
      </c>
      <c r="D2214" s="77" t="s">
        <v>37</v>
      </c>
      <c r="E2214" s="77" t="s">
        <v>2939</v>
      </c>
      <c r="F2214" s="77" t="s">
        <v>8264</v>
      </c>
      <c r="G2214" s="77">
        <v>146</v>
      </c>
      <c r="H2214" s="77">
        <v>65</v>
      </c>
      <c r="I2214" s="77">
        <v>0.44520547945205502</v>
      </c>
      <c r="J2214" s="77" t="s">
        <v>8265</v>
      </c>
      <c r="K2214" s="77" t="s">
        <v>1873</v>
      </c>
      <c r="L2214" s="77">
        <v>44</v>
      </c>
      <c r="M2214" s="77" t="s">
        <v>471</v>
      </c>
      <c r="N2214" s="77" t="s">
        <v>3448</v>
      </c>
      <c r="O2214" s="77" t="str">
        <f>_xlfn.XLOOKUP(N2214,'Error-codes'!$C$2:$C$130,'Error-codes'!$B$2:$B$130, "None")</f>
        <v>end of lane open sensor error</v>
      </c>
      <c r="P2214" s="77"/>
      <c r="Q2214" s="77"/>
      <c r="R2214" s="77"/>
      <c r="U2214" s="81">
        <f>DATEVALUE(LEFT(F2214,10))</f>
        <v>45015</v>
      </c>
    </row>
    <row r="2215" spans="1:21">
      <c r="A2215" s="77" t="s">
        <v>8266</v>
      </c>
      <c r="B2215" s="77" t="s">
        <v>29</v>
      </c>
      <c r="C2215" s="77" t="s">
        <v>8116</v>
      </c>
      <c r="D2215" s="77" t="s">
        <v>37</v>
      </c>
      <c r="E2215" s="77" t="s">
        <v>2939</v>
      </c>
      <c r="F2215" s="77" t="s">
        <v>8267</v>
      </c>
      <c r="G2215" s="77">
        <v>146</v>
      </c>
      <c r="H2215" s="77">
        <v>67</v>
      </c>
      <c r="I2215" s="77">
        <v>0.45890410958904099</v>
      </c>
      <c r="J2215" s="77" t="s">
        <v>3161</v>
      </c>
      <c r="K2215" s="77" t="s">
        <v>1873</v>
      </c>
      <c r="L2215" s="77">
        <v>44</v>
      </c>
      <c r="M2215" s="77" t="s">
        <v>471</v>
      </c>
      <c r="N2215" s="77" t="s">
        <v>3448</v>
      </c>
      <c r="O2215" s="77" t="str">
        <f>_xlfn.XLOOKUP(N2215,'Error-codes'!$C$2:$C$130,'Error-codes'!$B$2:$B$130, "None")</f>
        <v>end of lane open sensor error</v>
      </c>
      <c r="P2215" s="77"/>
      <c r="Q2215" s="77"/>
      <c r="R2215" s="77"/>
      <c r="U2215" s="81">
        <f>DATEVALUE(LEFT(F2215,10))</f>
        <v>45015</v>
      </c>
    </row>
    <row r="2216" spans="1:21">
      <c r="A2216" s="77" t="s">
        <v>8268</v>
      </c>
      <c r="B2216" s="77" t="s">
        <v>29</v>
      </c>
      <c r="C2216" s="77" t="s">
        <v>8116</v>
      </c>
      <c r="D2216" s="77" t="s">
        <v>37</v>
      </c>
      <c r="E2216" s="77" t="s">
        <v>2939</v>
      </c>
      <c r="F2216" s="77" t="s">
        <v>8269</v>
      </c>
      <c r="G2216" s="77">
        <v>146</v>
      </c>
      <c r="H2216" s="77">
        <v>68</v>
      </c>
      <c r="I2216" s="77">
        <v>0.465753424657534</v>
      </c>
      <c r="J2216" s="77" t="s">
        <v>8270</v>
      </c>
      <c r="K2216" s="77" t="s">
        <v>1873</v>
      </c>
      <c r="L2216" s="77">
        <v>44</v>
      </c>
      <c r="M2216" s="77" t="s">
        <v>471</v>
      </c>
      <c r="N2216" s="77" t="s">
        <v>3448</v>
      </c>
      <c r="O2216" s="77" t="str">
        <f>_xlfn.XLOOKUP(N2216,'Error-codes'!$C$2:$C$130,'Error-codes'!$B$2:$B$130, "None")</f>
        <v>end of lane open sensor error</v>
      </c>
      <c r="P2216" s="77"/>
      <c r="Q2216" s="77"/>
      <c r="R2216" s="77"/>
      <c r="U2216" s="81">
        <f>DATEVALUE(LEFT(F2216,10))</f>
        <v>45015</v>
      </c>
    </row>
    <row r="2217" spans="1:21">
      <c r="A2217" s="77" t="s">
        <v>8271</v>
      </c>
      <c r="B2217" s="77" t="s">
        <v>29</v>
      </c>
      <c r="C2217" s="77" t="s">
        <v>8116</v>
      </c>
      <c r="D2217" s="77" t="s">
        <v>37</v>
      </c>
      <c r="E2217" s="77" t="s">
        <v>2939</v>
      </c>
      <c r="F2217" s="77" t="s">
        <v>8272</v>
      </c>
      <c r="G2217" s="77">
        <v>146</v>
      </c>
      <c r="H2217" s="77">
        <v>69</v>
      </c>
      <c r="I2217" s="77">
        <v>0.47260273972602701</v>
      </c>
      <c r="J2217" s="77" t="s">
        <v>8273</v>
      </c>
      <c r="K2217" s="77" t="s">
        <v>1873</v>
      </c>
      <c r="L2217" s="77">
        <v>44</v>
      </c>
      <c r="M2217" s="77" t="s">
        <v>471</v>
      </c>
      <c r="N2217" s="77" t="s">
        <v>3448</v>
      </c>
      <c r="O2217" s="77" t="str">
        <f>_xlfn.XLOOKUP(N2217,'Error-codes'!$C$2:$C$130,'Error-codes'!$B$2:$B$130, "None")</f>
        <v>end of lane open sensor error</v>
      </c>
      <c r="P2217" s="77"/>
      <c r="Q2217" s="77"/>
      <c r="R2217" s="77"/>
      <c r="U2217" s="81">
        <f>DATEVALUE(LEFT(F2217,10))</f>
        <v>45015</v>
      </c>
    </row>
    <row r="2218" spans="1:21">
      <c r="A2218" s="84" t="s">
        <v>8274</v>
      </c>
      <c r="B2218" s="77" t="s">
        <v>29</v>
      </c>
      <c r="C2218" s="77" t="s">
        <v>8116</v>
      </c>
      <c r="D2218" s="77" t="s">
        <v>37</v>
      </c>
      <c r="E2218" s="77" t="s">
        <v>2939</v>
      </c>
      <c r="F2218" s="77" t="s">
        <v>8275</v>
      </c>
      <c r="G2218" s="77">
        <v>146</v>
      </c>
      <c r="H2218" s="77">
        <v>70</v>
      </c>
      <c r="I2218" s="77">
        <v>0.47945205479452102</v>
      </c>
      <c r="J2218" s="77" t="s">
        <v>8276</v>
      </c>
      <c r="K2218" s="77" t="s">
        <v>1873</v>
      </c>
      <c r="L2218" s="77">
        <v>44</v>
      </c>
      <c r="M2218" s="77" t="s">
        <v>471</v>
      </c>
      <c r="N2218" s="77" t="s">
        <v>3448</v>
      </c>
      <c r="O2218" s="77" t="str">
        <f>_xlfn.XLOOKUP(N2218,'Error-codes'!$C$2:$C$130,'Error-codes'!$B$2:$B$130, "None")</f>
        <v>end of lane open sensor error</v>
      </c>
      <c r="P2218" s="77"/>
      <c r="Q2218" s="77"/>
      <c r="R2218" s="77"/>
      <c r="U2218" s="81">
        <f>DATEVALUE(LEFT(F2218,10))</f>
        <v>45015</v>
      </c>
    </row>
    <row r="2219" spans="1:21">
      <c r="A2219" s="77" t="s">
        <v>8277</v>
      </c>
      <c r="B2219" s="77" t="s">
        <v>29</v>
      </c>
      <c r="C2219" s="77" t="s">
        <v>8116</v>
      </c>
      <c r="D2219" s="77" t="s">
        <v>37</v>
      </c>
      <c r="E2219" s="77" t="s">
        <v>2939</v>
      </c>
      <c r="F2219" s="77" t="s">
        <v>8278</v>
      </c>
      <c r="G2219" s="77">
        <v>146</v>
      </c>
      <c r="H2219" s="77">
        <v>71</v>
      </c>
      <c r="I2219" s="77">
        <v>0.48630136986301398</v>
      </c>
      <c r="J2219" s="77" t="s">
        <v>1649</v>
      </c>
      <c r="K2219" s="77" t="s">
        <v>1873</v>
      </c>
      <c r="L2219" s="77">
        <v>44</v>
      </c>
      <c r="M2219" s="77" t="s">
        <v>471</v>
      </c>
      <c r="N2219" s="77" t="s">
        <v>3448</v>
      </c>
      <c r="O2219" s="77" t="str">
        <f>_xlfn.XLOOKUP(N2219,'Error-codes'!$C$2:$C$130,'Error-codes'!$B$2:$B$130, "None")</f>
        <v>end of lane open sensor error</v>
      </c>
      <c r="P2219" s="77"/>
      <c r="Q2219" s="77"/>
      <c r="R2219" s="77"/>
      <c r="U2219" s="81">
        <f>DATEVALUE(LEFT(F2219,10))</f>
        <v>45015</v>
      </c>
    </row>
    <row r="2220" spans="1:21">
      <c r="A2220" s="77" t="s">
        <v>8279</v>
      </c>
      <c r="B2220" s="77" t="s">
        <v>29</v>
      </c>
      <c r="C2220" s="77" t="s">
        <v>8116</v>
      </c>
      <c r="D2220" s="77" t="s">
        <v>37</v>
      </c>
      <c r="E2220" s="77" t="s">
        <v>2939</v>
      </c>
      <c r="F2220" s="77" t="s">
        <v>8280</v>
      </c>
      <c r="G2220" s="77">
        <v>146</v>
      </c>
      <c r="H2220" s="77">
        <v>72</v>
      </c>
      <c r="I2220" s="77">
        <v>0.49315068493150699</v>
      </c>
      <c r="J2220" s="77" t="s">
        <v>5113</v>
      </c>
      <c r="K2220" s="77" t="s">
        <v>1873</v>
      </c>
      <c r="L2220" s="77">
        <v>44</v>
      </c>
      <c r="M2220" s="77" t="s">
        <v>471</v>
      </c>
      <c r="N2220" s="77" t="s">
        <v>3446</v>
      </c>
      <c r="O2220" s="77" t="str">
        <f>_xlfn.XLOOKUP(N2220,'Error-codes'!$C$2:$C$130,'Error-codes'!$B$2:$B$130, "None")</f>
        <v>end of lane wall sensor error</v>
      </c>
      <c r="P2220" s="77"/>
      <c r="Q2220" s="77"/>
      <c r="R2220" s="77"/>
      <c r="U2220" s="81">
        <f>DATEVALUE(LEFT(F2220,10))</f>
        <v>45015</v>
      </c>
    </row>
    <row r="2221" spans="1:21">
      <c r="A2221" s="77" t="s">
        <v>8281</v>
      </c>
      <c r="B2221" s="77" t="s">
        <v>29</v>
      </c>
      <c r="C2221" s="77" t="s">
        <v>8116</v>
      </c>
      <c r="D2221" s="77" t="s">
        <v>37</v>
      </c>
      <c r="E2221" s="77" t="s">
        <v>2939</v>
      </c>
      <c r="F2221" s="77" t="s">
        <v>8282</v>
      </c>
      <c r="G2221" s="77">
        <v>146</v>
      </c>
      <c r="H2221" s="77">
        <v>74</v>
      </c>
      <c r="I2221" s="77">
        <v>0.50684931506849296</v>
      </c>
      <c r="J2221" s="77" t="s">
        <v>5035</v>
      </c>
      <c r="K2221" s="77" t="s">
        <v>1873</v>
      </c>
      <c r="L2221" s="77">
        <v>44</v>
      </c>
      <c r="M2221" s="77" t="s">
        <v>471</v>
      </c>
      <c r="N2221" s="77" t="s">
        <v>3448</v>
      </c>
      <c r="O2221" s="77" t="str">
        <f>_xlfn.XLOOKUP(N2221,'Error-codes'!$C$2:$C$130,'Error-codes'!$B$2:$B$130, "None")</f>
        <v>end of lane open sensor error</v>
      </c>
      <c r="P2221" s="77"/>
      <c r="Q2221" s="77"/>
      <c r="R2221" s="77"/>
      <c r="U2221" s="81">
        <f>DATEVALUE(LEFT(F2221,10))</f>
        <v>45015</v>
      </c>
    </row>
    <row r="2222" spans="1:21">
      <c r="A2222" s="77" t="s">
        <v>8283</v>
      </c>
      <c r="B2222" s="77" t="s">
        <v>29</v>
      </c>
      <c r="C2222" s="77" t="s">
        <v>8116</v>
      </c>
      <c r="D2222" s="77" t="s">
        <v>37</v>
      </c>
      <c r="E2222" s="77" t="s">
        <v>2939</v>
      </c>
      <c r="F2222" s="77" t="s">
        <v>8284</v>
      </c>
      <c r="G2222" s="77">
        <v>146</v>
      </c>
      <c r="H2222" s="77">
        <v>75</v>
      </c>
      <c r="I2222" s="77">
        <v>0.51369863013698602</v>
      </c>
      <c r="J2222" s="77" t="s">
        <v>2018</v>
      </c>
      <c r="K2222" s="77" t="s">
        <v>1873</v>
      </c>
      <c r="L2222" s="77">
        <v>44</v>
      </c>
      <c r="M2222" s="77" t="s">
        <v>471</v>
      </c>
      <c r="N2222" s="77" t="s">
        <v>3448</v>
      </c>
      <c r="O2222" s="77" t="str">
        <f>_xlfn.XLOOKUP(N2222,'Error-codes'!$C$2:$C$130,'Error-codes'!$B$2:$B$130, "None")</f>
        <v>end of lane open sensor error</v>
      </c>
      <c r="P2222" s="77"/>
      <c r="Q2222" s="77"/>
      <c r="R2222" s="77"/>
      <c r="U2222" s="81">
        <f>DATEVALUE(LEFT(F2222,10))</f>
        <v>45015</v>
      </c>
    </row>
    <row r="2223" spans="1:21">
      <c r="A2223" s="77" t="s">
        <v>8285</v>
      </c>
      <c r="B2223" s="77" t="s">
        <v>29</v>
      </c>
      <c r="C2223" s="77" t="s">
        <v>8116</v>
      </c>
      <c r="D2223" s="77" t="s">
        <v>37</v>
      </c>
      <c r="E2223" s="77" t="s">
        <v>2939</v>
      </c>
      <c r="F2223" s="77" t="s">
        <v>8286</v>
      </c>
      <c r="G2223" s="77">
        <v>146</v>
      </c>
      <c r="H2223" s="77">
        <v>77</v>
      </c>
      <c r="I2223" s="77">
        <v>0.52739726027397305</v>
      </c>
      <c r="J2223" s="77" t="s">
        <v>8287</v>
      </c>
      <c r="K2223" s="77" t="s">
        <v>1873</v>
      </c>
      <c r="L2223" s="77">
        <v>44</v>
      </c>
      <c r="M2223" s="77" t="s">
        <v>471</v>
      </c>
      <c r="N2223" s="77" t="s">
        <v>3448</v>
      </c>
      <c r="O2223" s="77" t="str">
        <f>_xlfn.XLOOKUP(N2223,'Error-codes'!$C$2:$C$130,'Error-codes'!$B$2:$B$130, "None")</f>
        <v>end of lane open sensor error</v>
      </c>
      <c r="P2223" s="77"/>
      <c r="Q2223" s="77"/>
      <c r="R2223" s="77"/>
      <c r="U2223" s="81">
        <f>DATEVALUE(LEFT(F2223,10))</f>
        <v>45015</v>
      </c>
    </row>
    <row r="2224" spans="1:21">
      <c r="A2224" s="77" t="s">
        <v>8288</v>
      </c>
      <c r="B2224" s="77" t="s">
        <v>29</v>
      </c>
      <c r="C2224" s="77" t="s">
        <v>8116</v>
      </c>
      <c r="D2224" s="77" t="s">
        <v>37</v>
      </c>
      <c r="E2224" s="77" t="s">
        <v>2939</v>
      </c>
      <c r="F2224" s="77" t="s">
        <v>8289</v>
      </c>
      <c r="G2224" s="77">
        <v>146</v>
      </c>
      <c r="H2224" s="77">
        <v>78</v>
      </c>
      <c r="I2224" s="77">
        <v>0.534246575342466</v>
      </c>
      <c r="J2224" s="77" t="s">
        <v>8290</v>
      </c>
      <c r="K2224" s="77" t="s">
        <v>1873</v>
      </c>
      <c r="L2224" s="77">
        <v>44</v>
      </c>
      <c r="M2224" s="77" t="s">
        <v>471</v>
      </c>
      <c r="N2224" s="77" t="s">
        <v>3448</v>
      </c>
      <c r="O2224" s="77" t="str">
        <f>_xlfn.XLOOKUP(N2224,'Error-codes'!$C$2:$C$130,'Error-codes'!$B$2:$B$130, "None")</f>
        <v>end of lane open sensor error</v>
      </c>
      <c r="P2224" s="77"/>
      <c r="Q2224" s="77"/>
      <c r="R2224" s="77"/>
      <c r="U2224" s="81">
        <f>DATEVALUE(LEFT(F2224,10))</f>
        <v>45015</v>
      </c>
    </row>
    <row r="2225" spans="1:21">
      <c r="A2225" s="77" t="s">
        <v>8291</v>
      </c>
      <c r="B2225" s="77" t="s">
        <v>29</v>
      </c>
      <c r="C2225" s="77" t="s">
        <v>8116</v>
      </c>
      <c r="D2225" s="77" t="s">
        <v>37</v>
      </c>
      <c r="E2225" s="77" t="s">
        <v>2939</v>
      </c>
      <c r="F2225" s="77" t="s">
        <v>8292</v>
      </c>
      <c r="G2225" s="77">
        <v>146</v>
      </c>
      <c r="H2225" s="77">
        <v>79</v>
      </c>
      <c r="I2225" s="77">
        <v>0.54109589041095896</v>
      </c>
      <c r="J2225" s="77" t="s">
        <v>8293</v>
      </c>
      <c r="K2225" s="77" t="s">
        <v>1873</v>
      </c>
      <c r="L2225" s="77">
        <v>44</v>
      </c>
      <c r="M2225" s="77" t="s">
        <v>471</v>
      </c>
      <c r="N2225" s="77" t="s">
        <v>3446</v>
      </c>
      <c r="O2225" s="77" t="str">
        <f>_xlfn.XLOOKUP(N2225,'Error-codes'!$C$2:$C$130,'Error-codes'!$B$2:$B$130, "None")</f>
        <v>end of lane wall sensor error</v>
      </c>
      <c r="P2225" s="77"/>
      <c r="Q2225" s="77"/>
      <c r="R2225" s="77"/>
      <c r="U2225" s="81">
        <f>DATEVALUE(LEFT(F2225,10))</f>
        <v>45015</v>
      </c>
    </row>
    <row r="2226" spans="1:21">
      <c r="A2226" s="77" t="s">
        <v>8294</v>
      </c>
      <c r="B2226" s="77" t="s">
        <v>29</v>
      </c>
      <c r="C2226" s="77" t="s">
        <v>8116</v>
      </c>
      <c r="D2226" s="77" t="s">
        <v>37</v>
      </c>
      <c r="E2226" s="77" t="s">
        <v>2939</v>
      </c>
      <c r="F2226" s="77" t="s">
        <v>8295</v>
      </c>
      <c r="G2226" s="77">
        <v>146</v>
      </c>
      <c r="H2226" s="77">
        <v>81</v>
      </c>
      <c r="I2226" s="77">
        <v>0.55479452054794498</v>
      </c>
      <c r="J2226" s="77" t="s">
        <v>8296</v>
      </c>
      <c r="K2226" s="77" t="s">
        <v>1873</v>
      </c>
      <c r="L2226" s="77">
        <v>44</v>
      </c>
      <c r="M2226" s="77" t="s">
        <v>471</v>
      </c>
      <c r="N2226" s="77" t="s">
        <v>3448</v>
      </c>
      <c r="O2226" s="77" t="str">
        <f>_xlfn.XLOOKUP(N2226,'Error-codes'!$C$2:$C$130,'Error-codes'!$B$2:$B$130, "None")</f>
        <v>end of lane open sensor error</v>
      </c>
      <c r="P2226" s="77"/>
      <c r="Q2226" s="77"/>
      <c r="R2226" s="77"/>
      <c r="U2226" s="81">
        <f>DATEVALUE(LEFT(F2226,10))</f>
        <v>45015</v>
      </c>
    </row>
    <row r="2227" spans="1:21">
      <c r="A2227" s="77" t="s">
        <v>8297</v>
      </c>
      <c r="B2227" s="77" t="s">
        <v>29</v>
      </c>
      <c r="C2227" s="77" t="s">
        <v>8116</v>
      </c>
      <c r="D2227" s="77" t="s">
        <v>37</v>
      </c>
      <c r="E2227" s="77" t="s">
        <v>2939</v>
      </c>
      <c r="F2227" s="77" t="s">
        <v>8298</v>
      </c>
      <c r="G2227" s="77">
        <v>146</v>
      </c>
      <c r="H2227" s="77">
        <v>82</v>
      </c>
      <c r="I2227" s="77">
        <v>0.56164383561643805</v>
      </c>
      <c r="J2227" s="77" t="s">
        <v>8299</v>
      </c>
      <c r="K2227" s="77" t="s">
        <v>1873</v>
      </c>
      <c r="L2227" s="77">
        <v>44</v>
      </c>
      <c r="M2227" s="77" t="s">
        <v>471</v>
      </c>
      <c r="N2227" s="77" t="s">
        <v>3448</v>
      </c>
      <c r="O2227" s="77" t="str">
        <f>_xlfn.XLOOKUP(N2227,'Error-codes'!$C$2:$C$130,'Error-codes'!$B$2:$B$130, "None")</f>
        <v>end of lane open sensor error</v>
      </c>
      <c r="P2227" s="77"/>
      <c r="Q2227" s="77"/>
      <c r="R2227" s="77"/>
      <c r="U2227" s="81">
        <f>DATEVALUE(LEFT(F2227,10))</f>
        <v>45015</v>
      </c>
    </row>
    <row r="2228" spans="1:21">
      <c r="A2228" s="77" t="s">
        <v>8300</v>
      </c>
      <c r="B2228" s="77" t="s">
        <v>29</v>
      </c>
      <c r="C2228" s="77" t="s">
        <v>8116</v>
      </c>
      <c r="D2228" s="77" t="s">
        <v>37</v>
      </c>
      <c r="E2228" s="77" t="s">
        <v>2939</v>
      </c>
      <c r="F2228" s="77" t="s">
        <v>8301</v>
      </c>
      <c r="G2228" s="77">
        <v>146</v>
      </c>
      <c r="H2228" s="77">
        <v>83</v>
      </c>
      <c r="I2228" s="77">
        <v>0.568493150684932</v>
      </c>
      <c r="J2228" s="77" t="s">
        <v>8302</v>
      </c>
      <c r="K2228" s="77" t="s">
        <v>1873</v>
      </c>
      <c r="L2228" s="77">
        <v>44</v>
      </c>
      <c r="M2228" s="77" t="s">
        <v>471</v>
      </c>
      <c r="N2228" s="77" t="s">
        <v>3448</v>
      </c>
      <c r="O2228" s="77" t="str">
        <f>_xlfn.XLOOKUP(N2228,'Error-codes'!$C$2:$C$130,'Error-codes'!$B$2:$B$130, "None")</f>
        <v>end of lane open sensor error</v>
      </c>
      <c r="P2228" s="77"/>
      <c r="Q2228" s="77"/>
      <c r="R2228" s="77"/>
      <c r="U2228" s="81">
        <f>DATEVALUE(LEFT(F2228,10))</f>
        <v>45015</v>
      </c>
    </row>
    <row r="2229" spans="1:21">
      <c r="A2229" s="77" t="s">
        <v>8303</v>
      </c>
      <c r="B2229" s="77" t="s">
        <v>29</v>
      </c>
      <c r="C2229" s="77" t="s">
        <v>8116</v>
      </c>
      <c r="D2229" s="77" t="s">
        <v>37</v>
      </c>
      <c r="E2229" s="77" t="s">
        <v>2939</v>
      </c>
      <c r="F2229" s="77" t="s">
        <v>8304</v>
      </c>
      <c r="G2229" s="77">
        <v>146</v>
      </c>
      <c r="H2229" s="77">
        <v>84</v>
      </c>
      <c r="I2229" s="77">
        <v>0.57534246575342496</v>
      </c>
      <c r="J2229" s="77" t="s">
        <v>8305</v>
      </c>
      <c r="K2229" s="77" t="s">
        <v>1873</v>
      </c>
      <c r="L2229" s="77">
        <v>44</v>
      </c>
      <c r="M2229" s="77" t="s">
        <v>471</v>
      </c>
      <c r="N2229" s="77" t="s">
        <v>3448</v>
      </c>
      <c r="O2229" s="77" t="str">
        <f>_xlfn.XLOOKUP(N2229,'Error-codes'!$C$2:$C$130,'Error-codes'!$B$2:$B$130, "None")</f>
        <v>end of lane open sensor error</v>
      </c>
      <c r="P2229" s="77"/>
      <c r="Q2229" s="77"/>
      <c r="R2229" s="77"/>
      <c r="U2229" s="81">
        <f>DATEVALUE(LEFT(F2229,10))</f>
        <v>45015</v>
      </c>
    </row>
    <row r="2230" spans="1:21">
      <c r="A2230" s="77" t="s">
        <v>8306</v>
      </c>
      <c r="B2230" s="77" t="s">
        <v>29</v>
      </c>
      <c r="C2230" s="77" t="s">
        <v>8116</v>
      </c>
      <c r="D2230" s="77" t="s">
        <v>37</v>
      </c>
      <c r="E2230" s="77" t="s">
        <v>2939</v>
      </c>
      <c r="F2230" s="77" t="s">
        <v>8307</v>
      </c>
      <c r="G2230" s="77">
        <v>146</v>
      </c>
      <c r="H2230" s="77">
        <v>85</v>
      </c>
      <c r="I2230" s="77">
        <v>0.58219178082191803</v>
      </c>
      <c r="J2230" s="77" t="s">
        <v>3173</v>
      </c>
      <c r="K2230" s="77" t="s">
        <v>1873</v>
      </c>
      <c r="L2230" s="77">
        <v>44</v>
      </c>
      <c r="M2230" s="77" t="s">
        <v>471</v>
      </c>
      <c r="N2230" s="77" t="s">
        <v>3462</v>
      </c>
      <c r="O2230" s="77" t="str">
        <f>_xlfn.XLOOKUP(N2230,'Error-codes'!$C$2:$C$130,'Error-codes'!$B$2:$B$130, "None")</f>
        <v xml:space="preserve">Vehicle HAL: motor drive: ID CONTROL ISSUE	</v>
      </c>
      <c r="P2230" s="77"/>
      <c r="Q2230" s="77"/>
      <c r="R2230" s="77"/>
      <c r="U2230" s="81">
        <f>DATEVALUE(LEFT(F2230,10))</f>
        <v>45015</v>
      </c>
    </row>
    <row r="2231" spans="1:21">
      <c r="A2231" s="77" t="s">
        <v>8308</v>
      </c>
      <c r="B2231" s="77" t="s">
        <v>29</v>
      </c>
      <c r="C2231" s="77" t="s">
        <v>8116</v>
      </c>
      <c r="D2231" s="77" t="s">
        <v>37</v>
      </c>
      <c r="E2231" s="77" t="s">
        <v>2939</v>
      </c>
      <c r="F2231" s="77" t="s">
        <v>8309</v>
      </c>
      <c r="G2231" s="77">
        <v>146</v>
      </c>
      <c r="H2231" s="77">
        <v>86</v>
      </c>
      <c r="I2231" s="77">
        <v>0.58904109589041098</v>
      </c>
      <c r="J2231" s="77" t="s">
        <v>8310</v>
      </c>
      <c r="K2231" s="77" t="s">
        <v>1873</v>
      </c>
      <c r="L2231" s="77">
        <v>44</v>
      </c>
      <c r="M2231" s="77" t="s">
        <v>471</v>
      </c>
      <c r="N2231" s="77" t="s">
        <v>3448</v>
      </c>
      <c r="O2231" s="77" t="str">
        <f>_xlfn.XLOOKUP(N2231,'Error-codes'!$C$2:$C$130,'Error-codes'!$B$2:$B$130, "None")</f>
        <v>end of lane open sensor error</v>
      </c>
      <c r="P2231" s="77"/>
      <c r="Q2231" s="77"/>
      <c r="R2231" s="77"/>
      <c r="U2231" s="81">
        <f>DATEVALUE(LEFT(F2231,10))</f>
        <v>45015</v>
      </c>
    </row>
    <row r="2232" spans="1:21">
      <c r="A2232" s="77" t="s">
        <v>8311</v>
      </c>
      <c r="B2232" s="77" t="s">
        <v>29</v>
      </c>
      <c r="C2232" s="77" t="s">
        <v>8116</v>
      </c>
      <c r="D2232" s="77" t="s">
        <v>37</v>
      </c>
      <c r="E2232" s="77" t="s">
        <v>2939</v>
      </c>
      <c r="F2232" s="77" t="s">
        <v>8312</v>
      </c>
      <c r="G2232" s="77">
        <v>146</v>
      </c>
      <c r="H2232" s="77">
        <v>89</v>
      </c>
      <c r="I2232" s="77">
        <v>0.60958904109588996</v>
      </c>
      <c r="J2232" s="77" t="s">
        <v>8313</v>
      </c>
      <c r="K2232" s="77" t="s">
        <v>1873</v>
      </c>
      <c r="L2232" s="77">
        <v>44</v>
      </c>
      <c r="M2232" s="77" t="s">
        <v>471</v>
      </c>
      <c r="N2232" s="77" t="s">
        <v>3448</v>
      </c>
      <c r="O2232" s="77" t="str">
        <f>_xlfn.XLOOKUP(N2232,'Error-codes'!$C$2:$C$130,'Error-codes'!$B$2:$B$130, "None")</f>
        <v>end of lane open sensor error</v>
      </c>
      <c r="P2232" s="77"/>
      <c r="Q2232" s="77"/>
      <c r="R2232" s="77"/>
      <c r="U2232" s="81">
        <f>DATEVALUE(LEFT(F2232,10))</f>
        <v>45015</v>
      </c>
    </row>
    <row r="2233" spans="1:21">
      <c r="A2233" s="77" t="s">
        <v>8314</v>
      </c>
      <c r="B2233" s="77" t="s">
        <v>29</v>
      </c>
      <c r="C2233" s="77" t="s">
        <v>8116</v>
      </c>
      <c r="D2233" s="77" t="s">
        <v>37</v>
      </c>
      <c r="E2233" s="77" t="s">
        <v>2939</v>
      </c>
      <c r="F2233" s="77" t="s">
        <v>8315</v>
      </c>
      <c r="G2233" s="77">
        <v>146</v>
      </c>
      <c r="H2233" s="77">
        <v>90</v>
      </c>
      <c r="I2233" s="77">
        <v>0.61643835616438403</v>
      </c>
      <c r="J2233" s="77" t="s">
        <v>8316</v>
      </c>
      <c r="K2233" s="77" t="s">
        <v>1873</v>
      </c>
      <c r="L2233" s="77">
        <v>44</v>
      </c>
      <c r="M2233" s="77" t="s">
        <v>471</v>
      </c>
      <c r="N2233" s="77" t="s">
        <v>3448</v>
      </c>
      <c r="O2233" s="77" t="str">
        <f>_xlfn.XLOOKUP(N2233,'Error-codes'!$C$2:$C$130,'Error-codes'!$B$2:$B$130, "None")</f>
        <v>end of lane open sensor error</v>
      </c>
      <c r="P2233" s="77"/>
      <c r="Q2233" s="77"/>
      <c r="R2233" s="77"/>
      <c r="U2233" s="81">
        <f>DATEVALUE(LEFT(F2233,10))</f>
        <v>45015</v>
      </c>
    </row>
    <row r="2234" spans="1:21">
      <c r="A2234" s="77" t="s">
        <v>8317</v>
      </c>
      <c r="B2234" s="77" t="s">
        <v>29</v>
      </c>
      <c r="C2234" s="77" t="s">
        <v>8116</v>
      </c>
      <c r="D2234" s="77" t="s">
        <v>37</v>
      </c>
      <c r="E2234" s="77" t="s">
        <v>2939</v>
      </c>
      <c r="F2234" s="77" t="s">
        <v>8318</v>
      </c>
      <c r="G2234" s="77">
        <v>146</v>
      </c>
      <c r="H2234" s="77">
        <v>91</v>
      </c>
      <c r="I2234" s="77">
        <v>0.62328767123287698</v>
      </c>
      <c r="J2234" s="77" t="s">
        <v>7222</v>
      </c>
      <c r="K2234" s="77" t="s">
        <v>1873</v>
      </c>
      <c r="L2234" s="77">
        <v>44</v>
      </c>
      <c r="M2234" s="77" t="s">
        <v>471</v>
      </c>
      <c r="N2234" s="77" t="s">
        <v>3426</v>
      </c>
      <c r="O2234" s="77" t="str">
        <f>_xlfn.XLOOKUP(N2234,'Error-codes'!$C$2:$C$130,'Error-codes'!$B$2:$B$130, "None")</f>
        <v>low level fsm is no longer executing the given command</v>
      </c>
      <c r="P2234" s="77"/>
      <c r="Q2234" s="77"/>
      <c r="R2234" s="77"/>
      <c r="U2234" s="81">
        <f>DATEVALUE(LEFT(F2234,10))</f>
        <v>45015</v>
      </c>
    </row>
    <row r="2235" spans="1:21">
      <c r="A2235" s="77" t="s">
        <v>8319</v>
      </c>
      <c r="B2235" s="77" t="s">
        <v>29</v>
      </c>
      <c r="C2235" s="77" t="s">
        <v>8116</v>
      </c>
      <c r="D2235" s="77" t="s">
        <v>37</v>
      </c>
      <c r="E2235" s="77" t="s">
        <v>2939</v>
      </c>
      <c r="F2235" s="77" t="s">
        <v>8320</v>
      </c>
      <c r="G2235" s="77">
        <v>146</v>
      </c>
      <c r="H2235" s="77">
        <v>93</v>
      </c>
      <c r="I2235" s="77">
        <v>0.63698630136986301</v>
      </c>
      <c r="J2235" s="77" t="s">
        <v>5108</v>
      </c>
      <c r="K2235" s="77" t="s">
        <v>1873</v>
      </c>
      <c r="L2235" s="77">
        <v>44</v>
      </c>
      <c r="M2235" s="77" t="s">
        <v>471</v>
      </c>
      <c r="N2235" s="77" t="s">
        <v>3448</v>
      </c>
      <c r="O2235" s="77" t="str">
        <f>_xlfn.XLOOKUP(N2235,'Error-codes'!$C$2:$C$130,'Error-codes'!$B$2:$B$130, "None")</f>
        <v>end of lane open sensor error</v>
      </c>
      <c r="P2235" s="77"/>
      <c r="Q2235" s="77"/>
      <c r="R2235" s="77"/>
      <c r="U2235" s="81">
        <f>DATEVALUE(LEFT(F2235,10))</f>
        <v>45015</v>
      </c>
    </row>
    <row r="2236" spans="1:21">
      <c r="A2236" s="77" t="s">
        <v>8321</v>
      </c>
      <c r="B2236" s="77" t="s">
        <v>29</v>
      </c>
      <c r="C2236" s="77" t="s">
        <v>8116</v>
      </c>
      <c r="D2236" s="77" t="s">
        <v>37</v>
      </c>
      <c r="E2236" s="77" t="s">
        <v>2939</v>
      </c>
      <c r="F2236" s="77" t="s">
        <v>8322</v>
      </c>
      <c r="G2236" s="77">
        <v>146</v>
      </c>
      <c r="H2236" s="77">
        <v>94</v>
      </c>
      <c r="I2236" s="77">
        <v>0.64383561643835596</v>
      </c>
      <c r="J2236" s="77" t="s">
        <v>8323</v>
      </c>
      <c r="K2236" s="77" t="s">
        <v>1873</v>
      </c>
      <c r="L2236" s="77">
        <v>44</v>
      </c>
      <c r="M2236" s="77" t="s">
        <v>471</v>
      </c>
      <c r="N2236" s="77" t="s">
        <v>3448</v>
      </c>
      <c r="O2236" s="77" t="str">
        <f>_xlfn.XLOOKUP(N2236,'Error-codes'!$C$2:$C$130,'Error-codes'!$B$2:$B$130, "None")</f>
        <v>end of lane open sensor error</v>
      </c>
      <c r="P2236" s="77"/>
      <c r="Q2236" s="77"/>
      <c r="R2236" s="77"/>
      <c r="U2236" s="81">
        <f>DATEVALUE(LEFT(F2236,10))</f>
        <v>45015</v>
      </c>
    </row>
    <row r="2237" spans="1:21">
      <c r="A2237" s="77" t="s">
        <v>8324</v>
      </c>
      <c r="B2237" s="77" t="s">
        <v>29</v>
      </c>
      <c r="C2237" s="77" t="s">
        <v>8116</v>
      </c>
      <c r="D2237" s="77" t="s">
        <v>37</v>
      </c>
      <c r="E2237" s="77" t="s">
        <v>2939</v>
      </c>
      <c r="F2237" s="77" t="s">
        <v>8325</v>
      </c>
      <c r="G2237" s="77">
        <v>146</v>
      </c>
      <c r="H2237" s="77">
        <v>95</v>
      </c>
      <c r="I2237" s="77">
        <v>0.65068493150684903</v>
      </c>
      <c r="J2237" s="77" t="s">
        <v>7218</v>
      </c>
      <c r="K2237" s="77" t="s">
        <v>1873</v>
      </c>
      <c r="L2237" s="77">
        <v>44</v>
      </c>
      <c r="M2237" s="77" t="s">
        <v>471</v>
      </c>
      <c r="N2237" s="77" t="s">
        <v>3448</v>
      </c>
      <c r="O2237" s="77" t="str">
        <f>_xlfn.XLOOKUP(N2237,'Error-codes'!$C$2:$C$130,'Error-codes'!$B$2:$B$130, "None")</f>
        <v>end of lane open sensor error</v>
      </c>
      <c r="P2237" s="77"/>
      <c r="Q2237" s="77"/>
      <c r="R2237" s="77"/>
      <c r="U2237" s="81">
        <f>DATEVALUE(LEFT(F2237,10))</f>
        <v>45015</v>
      </c>
    </row>
    <row r="2238" spans="1:21">
      <c r="A2238" s="77" t="s">
        <v>8326</v>
      </c>
      <c r="B2238" s="77" t="s">
        <v>29</v>
      </c>
      <c r="C2238" s="77" t="s">
        <v>8116</v>
      </c>
      <c r="D2238" s="77" t="s">
        <v>37</v>
      </c>
      <c r="E2238" s="77" t="s">
        <v>2939</v>
      </c>
      <c r="F2238" s="77" t="s">
        <v>8327</v>
      </c>
      <c r="G2238" s="77">
        <v>146</v>
      </c>
      <c r="H2238" s="77">
        <v>96</v>
      </c>
      <c r="I2238" s="77">
        <v>0.65753424657534199</v>
      </c>
      <c r="J2238" s="77" t="s">
        <v>7216</v>
      </c>
      <c r="K2238" s="77" t="s">
        <v>1873</v>
      </c>
      <c r="L2238" s="77">
        <v>44</v>
      </c>
      <c r="M2238" s="77" t="s">
        <v>471</v>
      </c>
      <c r="N2238" s="77" t="s">
        <v>3446</v>
      </c>
      <c r="O2238" s="77" t="str">
        <f>_xlfn.XLOOKUP(N2238,'Error-codes'!$C$2:$C$130,'Error-codes'!$B$2:$B$130, "None")</f>
        <v>end of lane wall sensor error</v>
      </c>
      <c r="P2238" s="77"/>
      <c r="Q2238" s="77"/>
      <c r="R2238" s="77"/>
      <c r="U2238" s="81">
        <f>DATEVALUE(LEFT(F2238,10))</f>
        <v>45015</v>
      </c>
    </row>
    <row r="2239" spans="1:21">
      <c r="A2239" s="77" t="s">
        <v>8328</v>
      </c>
      <c r="B2239" s="77" t="s">
        <v>29</v>
      </c>
      <c r="C2239" s="77" t="s">
        <v>8116</v>
      </c>
      <c r="D2239" s="77" t="s">
        <v>37</v>
      </c>
      <c r="E2239" s="77" t="s">
        <v>2939</v>
      </c>
      <c r="F2239" s="77" t="s">
        <v>8329</v>
      </c>
      <c r="G2239" s="77">
        <v>146</v>
      </c>
      <c r="H2239" s="77">
        <v>97</v>
      </c>
      <c r="I2239" s="77">
        <v>0.66438356164383605</v>
      </c>
      <c r="J2239" s="77" t="s">
        <v>8330</v>
      </c>
      <c r="K2239" s="77" t="s">
        <v>1873</v>
      </c>
      <c r="L2239" s="77">
        <v>44</v>
      </c>
      <c r="M2239" s="77" t="s">
        <v>471</v>
      </c>
      <c r="N2239" s="77" t="s">
        <v>3448</v>
      </c>
      <c r="O2239" s="77" t="str">
        <f>_xlfn.XLOOKUP(N2239,'Error-codes'!$C$2:$C$130,'Error-codes'!$B$2:$B$130, "None")</f>
        <v>end of lane open sensor error</v>
      </c>
      <c r="P2239" s="77"/>
      <c r="Q2239" s="77"/>
      <c r="R2239" s="77"/>
      <c r="U2239" s="81">
        <f>DATEVALUE(LEFT(F2239,10))</f>
        <v>45015</v>
      </c>
    </row>
    <row r="2240" spans="1:21">
      <c r="A2240" s="77" t="s">
        <v>8331</v>
      </c>
      <c r="B2240" s="77" t="s">
        <v>29</v>
      </c>
      <c r="C2240" s="77" t="s">
        <v>8116</v>
      </c>
      <c r="D2240" s="77" t="s">
        <v>37</v>
      </c>
      <c r="E2240" s="77" t="s">
        <v>2939</v>
      </c>
      <c r="F2240" s="77" t="s">
        <v>8332</v>
      </c>
      <c r="G2240" s="77">
        <v>146</v>
      </c>
      <c r="H2240" s="77">
        <v>98</v>
      </c>
      <c r="I2240" s="77">
        <v>0.67123287671232901</v>
      </c>
      <c r="J2240" s="77" t="s">
        <v>196</v>
      </c>
      <c r="K2240" s="77" t="s">
        <v>1873</v>
      </c>
      <c r="L2240" s="77">
        <v>44</v>
      </c>
      <c r="M2240" s="77" t="s">
        <v>471</v>
      </c>
      <c r="N2240" s="77" t="s">
        <v>3448</v>
      </c>
      <c r="O2240" s="77" t="str">
        <f>_xlfn.XLOOKUP(N2240,'Error-codes'!$C$2:$C$130,'Error-codes'!$B$2:$B$130, "None")</f>
        <v>end of lane open sensor error</v>
      </c>
      <c r="P2240" s="77"/>
      <c r="Q2240" s="77"/>
      <c r="R2240" s="77"/>
      <c r="U2240" s="81">
        <f>DATEVALUE(LEFT(F2240,10))</f>
        <v>45016</v>
      </c>
    </row>
    <row r="2241" spans="1:21">
      <c r="A2241" s="77" t="s">
        <v>8333</v>
      </c>
      <c r="B2241" s="77" t="s">
        <v>29</v>
      </c>
      <c r="C2241" s="77" t="s">
        <v>8116</v>
      </c>
      <c r="D2241" s="77" t="s">
        <v>37</v>
      </c>
      <c r="E2241" s="77" t="s">
        <v>2939</v>
      </c>
      <c r="F2241" s="77" t="s">
        <v>8334</v>
      </c>
      <c r="G2241" s="77">
        <v>146</v>
      </c>
      <c r="H2241" s="77">
        <v>99</v>
      </c>
      <c r="I2241" s="77">
        <v>0.67808219178082196</v>
      </c>
      <c r="J2241" s="77" t="s">
        <v>7213</v>
      </c>
      <c r="K2241" s="77" t="s">
        <v>1873</v>
      </c>
      <c r="L2241" s="77">
        <v>44</v>
      </c>
      <c r="M2241" s="77" t="s">
        <v>471</v>
      </c>
      <c r="N2241" s="77" t="s">
        <v>3448</v>
      </c>
      <c r="O2241" s="77" t="str">
        <f>_xlfn.XLOOKUP(N2241,'Error-codes'!$C$2:$C$130,'Error-codes'!$B$2:$B$130, "None")</f>
        <v>end of lane open sensor error</v>
      </c>
      <c r="P2241" s="77"/>
      <c r="Q2241" s="77"/>
      <c r="R2241" s="77"/>
      <c r="U2241" s="81">
        <f>DATEVALUE(LEFT(F2241,10))</f>
        <v>45016</v>
      </c>
    </row>
    <row r="2242" spans="1:21">
      <c r="A2242" s="77" t="s">
        <v>8335</v>
      </c>
      <c r="B2242" s="77" t="s">
        <v>29</v>
      </c>
      <c r="C2242" s="77" t="s">
        <v>8116</v>
      </c>
      <c r="D2242" s="77" t="s">
        <v>37</v>
      </c>
      <c r="E2242" s="77" t="s">
        <v>2939</v>
      </c>
      <c r="F2242" s="77" t="s">
        <v>8336</v>
      </c>
      <c r="G2242" s="77">
        <v>146</v>
      </c>
      <c r="H2242" s="77">
        <v>102</v>
      </c>
      <c r="I2242" s="77">
        <v>0.69863013698630105</v>
      </c>
      <c r="J2242" s="77" t="s">
        <v>8337</v>
      </c>
      <c r="K2242" s="77" t="s">
        <v>1873</v>
      </c>
      <c r="L2242" s="77">
        <v>44</v>
      </c>
      <c r="M2242" s="77" t="s">
        <v>471</v>
      </c>
      <c r="N2242" s="77" t="s">
        <v>3448</v>
      </c>
      <c r="O2242" s="77" t="str">
        <f>_xlfn.XLOOKUP(N2242,'Error-codes'!$C$2:$C$130,'Error-codes'!$B$2:$B$130, "None")</f>
        <v>end of lane open sensor error</v>
      </c>
      <c r="P2242" s="77"/>
      <c r="Q2242" s="77"/>
      <c r="R2242" s="77"/>
      <c r="U2242" s="81">
        <f>DATEVALUE(LEFT(F2242,10))</f>
        <v>45016</v>
      </c>
    </row>
    <row r="2243" spans="1:21">
      <c r="A2243" s="77" t="s">
        <v>8338</v>
      </c>
      <c r="B2243" s="77" t="s">
        <v>29</v>
      </c>
      <c r="C2243" s="77" t="s">
        <v>8116</v>
      </c>
      <c r="D2243" s="77" t="s">
        <v>37</v>
      </c>
      <c r="E2243" s="77" t="s">
        <v>2939</v>
      </c>
      <c r="F2243" s="77" t="s">
        <v>8339</v>
      </c>
      <c r="G2243" s="77">
        <v>146</v>
      </c>
      <c r="H2243" s="77">
        <v>103</v>
      </c>
      <c r="I2243" s="77">
        <v>0.70547945205479501</v>
      </c>
      <c r="J2243" s="77" t="s">
        <v>5187</v>
      </c>
      <c r="K2243" s="77" t="s">
        <v>1873</v>
      </c>
      <c r="L2243" s="77">
        <v>44</v>
      </c>
      <c r="M2243" s="77" t="s">
        <v>471</v>
      </c>
      <c r="N2243" s="77" t="s">
        <v>3448</v>
      </c>
      <c r="O2243" s="77" t="str">
        <f>_xlfn.XLOOKUP(N2243,'Error-codes'!$C$2:$C$130,'Error-codes'!$B$2:$B$130, "None")</f>
        <v>end of lane open sensor error</v>
      </c>
      <c r="P2243" s="77"/>
      <c r="Q2243" s="77"/>
      <c r="R2243" s="77"/>
      <c r="U2243" s="81">
        <f>DATEVALUE(LEFT(F2243,10))</f>
        <v>45016</v>
      </c>
    </row>
    <row r="2244" spans="1:21">
      <c r="A2244" s="77" t="s">
        <v>8340</v>
      </c>
      <c r="B2244" s="77" t="s">
        <v>29</v>
      </c>
      <c r="C2244" s="77" t="s">
        <v>8116</v>
      </c>
      <c r="D2244" s="77" t="s">
        <v>37</v>
      </c>
      <c r="E2244" s="77" t="s">
        <v>2939</v>
      </c>
      <c r="F2244" s="77" t="s">
        <v>8341</v>
      </c>
      <c r="G2244" s="77">
        <v>146</v>
      </c>
      <c r="H2244" s="77">
        <v>104</v>
      </c>
      <c r="I2244" s="77">
        <v>0.71232876712328796</v>
      </c>
      <c r="J2244" s="77" t="s">
        <v>4960</v>
      </c>
      <c r="K2244" s="77" t="s">
        <v>1873</v>
      </c>
      <c r="L2244" s="77">
        <v>44</v>
      </c>
      <c r="M2244" s="77" t="s">
        <v>471</v>
      </c>
      <c r="N2244" s="77" t="s">
        <v>3448</v>
      </c>
      <c r="O2244" s="77" t="str">
        <f>_xlfn.XLOOKUP(N2244,'Error-codes'!$C$2:$C$130,'Error-codes'!$B$2:$B$130, "None")</f>
        <v>end of lane open sensor error</v>
      </c>
      <c r="P2244" s="77"/>
      <c r="Q2244" s="77"/>
      <c r="R2244" s="77"/>
      <c r="U2244" s="81">
        <f>DATEVALUE(LEFT(F2244,10))</f>
        <v>45016</v>
      </c>
    </row>
    <row r="2245" spans="1:21">
      <c r="A2245" s="77" t="s">
        <v>8342</v>
      </c>
      <c r="B2245" s="77" t="s">
        <v>29</v>
      </c>
      <c r="C2245" s="77" t="s">
        <v>8116</v>
      </c>
      <c r="D2245" s="77" t="s">
        <v>37</v>
      </c>
      <c r="E2245" s="77" t="s">
        <v>2939</v>
      </c>
      <c r="F2245" s="77" t="s">
        <v>8343</v>
      </c>
      <c r="G2245" s="77">
        <v>146</v>
      </c>
      <c r="H2245" s="77">
        <v>105</v>
      </c>
      <c r="I2245" s="77">
        <v>0.71917808219178103</v>
      </c>
      <c r="J2245" s="77" t="s">
        <v>7209</v>
      </c>
      <c r="K2245" s="77" t="s">
        <v>1873</v>
      </c>
      <c r="L2245" s="77">
        <v>44</v>
      </c>
      <c r="M2245" s="77" t="s">
        <v>471</v>
      </c>
      <c r="N2245" s="77" t="s">
        <v>3448</v>
      </c>
      <c r="O2245" s="77" t="str">
        <f>_xlfn.XLOOKUP(N2245,'Error-codes'!$C$2:$C$130,'Error-codes'!$B$2:$B$130, "None")</f>
        <v>end of lane open sensor error</v>
      </c>
      <c r="P2245" s="77"/>
      <c r="Q2245" s="77"/>
      <c r="R2245" s="77"/>
      <c r="U2245" s="81">
        <f>DATEVALUE(LEFT(F2245,10))</f>
        <v>45016</v>
      </c>
    </row>
    <row r="2246" spans="1:21">
      <c r="A2246" s="77" t="s">
        <v>8344</v>
      </c>
      <c r="B2246" s="77" t="s">
        <v>29</v>
      </c>
      <c r="C2246" s="77" t="s">
        <v>8116</v>
      </c>
      <c r="D2246" s="77" t="s">
        <v>37</v>
      </c>
      <c r="E2246" s="77" t="s">
        <v>2939</v>
      </c>
      <c r="F2246" s="77" t="s">
        <v>8345</v>
      </c>
      <c r="G2246" s="77">
        <v>146</v>
      </c>
      <c r="H2246" s="77">
        <v>106</v>
      </c>
      <c r="I2246" s="77">
        <v>0.72602739726027399</v>
      </c>
      <c r="J2246" s="77" t="s">
        <v>7207</v>
      </c>
      <c r="K2246" s="77" t="s">
        <v>1873</v>
      </c>
      <c r="L2246" s="77">
        <v>44</v>
      </c>
      <c r="M2246" s="77" t="s">
        <v>471</v>
      </c>
      <c r="N2246" s="77" t="s">
        <v>3446</v>
      </c>
      <c r="O2246" s="77" t="str">
        <f>_xlfn.XLOOKUP(N2246,'Error-codes'!$C$2:$C$130,'Error-codes'!$B$2:$B$130, "None")</f>
        <v>end of lane wall sensor error</v>
      </c>
      <c r="P2246" s="77"/>
      <c r="Q2246" s="77"/>
      <c r="R2246" s="77"/>
      <c r="U2246" s="81">
        <f>DATEVALUE(LEFT(F2246,10))</f>
        <v>45016</v>
      </c>
    </row>
    <row r="2247" spans="1:21">
      <c r="A2247" s="77" t="s">
        <v>8346</v>
      </c>
      <c r="B2247" s="77" t="s">
        <v>29</v>
      </c>
      <c r="C2247" s="77" t="s">
        <v>8116</v>
      </c>
      <c r="D2247" s="77" t="s">
        <v>37</v>
      </c>
      <c r="E2247" s="77" t="s">
        <v>2939</v>
      </c>
      <c r="F2247" s="77" t="s">
        <v>8347</v>
      </c>
      <c r="G2247" s="77">
        <v>146</v>
      </c>
      <c r="H2247" s="77">
        <v>107</v>
      </c>
      <c r="I2247" s="77">
        <v>0.73287671232876705</v>
      </c>
      <c r="J2247" s="77" t="s">
        <v>5024</v>
      </c>
      <c r="K2247" s="77" t="s">
        <v>1873</v>
      </c>
      <c r="L2247" s="77">
        <v>44</v>
      </c>
      <c r="M2247" s="77" t="s">
        <v>471</v>
      </c>
      <c r="N2247" s="77" t="s">
        <v>3446</v>
      </c>
      <c r="O2247" s="77" t="str">
        <f>_xlfn.XLOOKUP(N2247,'Error-codes'!$C$2:$C$130,'Error-codes'!$B$2:$B$130, "None")</f>
        <v>end of lane wall sensor error</v>
      </c>
      <c r="P2247" s="77"/>
      <c r="Q2247" s="77"/>
      <c r="R2247" s="77"/>
      <c r="U2247" s="81">
        <f>DATEVALUE(LEFT(F2247,10))</f>
        <v>45016</v>
      </c>
    </row>
    <row r="2248" spans="1:21">
      <c r="A2248" s="77" t="s">
        <v>8348</v>
      </c>
      <c r="B2248" s="77" t="s">
        <v>29</v>
      </c>
      <c r="C2248" s="77" t="s">
        <v>8116</v>
      </c>
      <c r="D2248" s="77" t="s">
        <v>37</v>
      </c>
      <c r="E2248" s="77" t="s">
        <v>2939</v>
      </c>
      <c r="F2248" s="77" t="s">
        <v>8349</v>
      </c>
      <c r="G2248" s="77">
        <v>146</v>
      </c>
      <c r="H2248" s="77">
        <v>109</v>
      </c>
      <c r="I2248" s="77">
        <v>0.74657534246575297</v>
      </c>
      <c r="J2248" s="77" t="s">
        <v>8350</v>
      </c>
      <c r="K2248" s="77" t="s">
        <v>1873</v>
      </c>
      <c r="L2248" s="77">
        <v>44</v>
      </c>
      <c r="M2248" s="77" t="s">
        <v>471</v>
      </c>
      <c r="N2248" s="77" t="s">
        <v>3446</v>
      </c>
      <c r="O2248" s="77" t="str">
        <f>_xlfn.XLOOKUP(N2248,'Error-codes'!$C$2:$C$130,'Error-codes'!$B$2:$B$130, "None")</f>
        <v>end of lane wall sensor error</v>
      </c>
      <c r="P2248" s="77"/>
      <c r="Q2248" s="77"/>
      <c r="R2248" s="77"/>
      <c r="U2248" s="81">
        <f>DATEVALUE(LEFT(F2248,10))</f>
        <v>45016</v>
      </c>
    </row>
    <row r="2249" spans="1:21">
      <c r="A2249" s="77" t="s">
        <v>8351</v>
      </c>
      <c r="B2249" s="77" t="s">
        <v>29</v>
      </c>
      <c r="C2249" s="77" t="s">
        <v>8116</v>
      </c>
      <c r="D2249" s="77" t="s">
        <v>37</v>
      </c>
      <c r="E2249" s="77" t="s">
        <v>2939</v>
      </c>
      <c r="F2249" s="77" t="s">
        <v>8352</v>
      </c>
      <c r="G2249" s="77">
        <v>146</v>
      </c>
      <c r="H2249" s="77">
        <v>110</v>
      </c>
      <c r="I2249" s="77">
        <v>0.75342465753424703</v>
      </c>
      <c r="J2249" s="77" t="s">
        <v>8353</v>
      </c>
      <c r="K2249" s="77" t="s">
        <v>1873</v>
      </c>
      <c r="L2249" s="77">
        <v>44</v>
      </c>
      <c r="M2249" s="77" t="s">
        <v>471</v>
      </c>
      <c r="N2249" s="77" t="s">
        <v>3448</v>
      </c>
      <c r="O2249" s="77" t="str">
        <f>_xlfn.XLOOKUP(N2249,'Error-codes'!$C$2:$C$130,'Error-codes'!$B$2:$B$130, "None")</f>
        <v>end of lane open sensor error</v>
      </c>
      <c r="P2249" s="77"/>
      <c r="Q2249" s="77"/>
      <c r="R2249" s="77"/>
      <c r="U2249" s="81">
        <f>DATEVALUE(LEFT(F2249,10))</f>
        <v>45016</v>
      </c>
    </row>
    <row r="2250" spans="1:21">
      <c r="A2250" s="77" t="s">
        <v>8354</v>
      </c>
      <c r="B2250" s="77" t="s">
        <v>29</v>
      </c>
      <c r="C2250" s="77" t="s">
        <v>8116</v>
      </c>
      <c r="D2250" s="77" t="s">
        <v>37</v>
      </c>
      <c r="E2250" s="77" t="s">
        <v>2939</v>
      </c>
      <c r="F2250" s="77" t="s">
        <v>8355</v>
      </c>
      <c r="G2250" s="77">
        <v>146</v>
      </c>
      <c r="H2250" s="77">
        <v>111</v>
      </c>
      <c r="I2250" s="77">
        <v>0.76027397260273999</v>
      </c>
      <c r="J2250" s="77" t="s">
        <v>8356</v>
      </c>
      <c r="K2250" s="77" t="s">
        <v>1873</v>
      </c>
      <c r="L2250" s="77">
        <v>44</v>
      </c>
      <c r="M2250" s="77" t="s">
        <v>471</v>
      </c>
      <c r="N2250" s="77" t="s">
        <v>3448</v>
      </c>
      <c r="O2250" s="77" t="str">
        <f>_xlfn.XLOOKUP(N2250,'Error-codes'!$C$2:$C$130,'Error-codes'!$B$2:$B$130, "None")</f>
        <v>end of lane open sensor error</v>
      </c>
      <c r="P2250" s="77"/>
      <c r="Q2250" s="77"/>
      <c r="R2250" s="77"/>
      <c r="U2250" s="81">
        <f>DATEVALUE(LEFT(F2250,10))</f>
        <v>45016</v>
      </c>
    </row>
    <row r="2251" spans="1:21">
      <c r="A2251" s="77" t="s">
        <v>8357</v>
      </c>
      <c r="B2251" s="77" t="s">
        <v>29</v>
      </c>
      <c r="C2251" s="77" t="s">
        <v>8116</v>
      </c>
      <c r="D2251" s="77" t="s">
        <v>37</v>
      </c>
      <c r="E2251" s="77" t="s">
        <v>2939</v>
      </c>
      <c r="F2251" s="77" t="s">
        <v>8358</v>
      </c>
      <c r="G2251" s="77">
        <v>146</v>
      </c>
      <c r="H2251" s="77">
        <v>112</v>
      </c>
      <c r="I2251" s="77">
        <v>0.76712328767123295</v>
      </c>
      <c r="J2251" s="77" t="s">
        <v>8359</v>
      </c>
      <c r="K2251" s="77" t="s">
        <v>1873</v>
      </c>
      <c r="L2251" s="77">
        <v>44</v>
      </c>
      <c r="M2251" s="77" t="s">
        <v>471</v>
      </c>
      <c r="N2251" s="77" t="s">
        <v>3448</v>
      </c>
      <c r="O2251" s="77" t="str">
        <f>_xlfn.XLOOKUP(N2251,'Error-codes'!$C$2:$C$130,'Error-codes'!$B$2:$B$130, "None")</f>
        <v>end of lane open sensor error</v>
      </c>
      <c r="P2251" s="77"/>
      <c r="Q2251" s="77"/>
      <c r="R2251" s="77"/>
      <c r="U2251" s="81">
        <f>DATEVALUE(LEFT(F2251,10))</f>
        <v>45016</v>
      </c>
    </row>
    <row r="2252" spans="1:21">
      <c r="A2252" s="84" t="s">
        <v>8360</v>
      </c>
      <c r="B2252" s="77" t="s">
        <v>29</v>
      </c>
      <c r="C2252" s="77" t="s">
        <v>8116</v>
      </c>
      <c r="D2252" s="77" t="s">
        <v>37</v>
      </c>
      <c r="E2252" s="77" t="s">
        <v>2939</v>
      </c>
      <c r="F2252" s="77" t="s">
        <v>8361</v>
      </c>
      <c r="G2252" s="77">
        <v>146</v>
      </c>
      <c r="H2252" s="77">
        <v>113</v>
      </c>
      <c r="I2252" s="77">
        <v>0.77397260273972601</v>
      </c>
      <c r="J2252" s="77" t="s">
        <v>5100</v>
      </c>
      <c r="K2252" s="77" t="s">
        <v>1873</v>
      </c>
      <c r="L2252" s="77">
        <v>44</v>
      </c>
      <c r="M2252" s="77" t="s">
        <v>471</v>
      </c>
      <c r="N2252" s="77" t="s">
        <v>3446</v>
      </c>
      <c r="O2252" s="77" t="str">
        <f>_xlfn.XLOOKUP(N2252,'Error-codes'!$C$2:$C$130,'Error-codes'!$B$2:$B$130, "None")</f>
        <v>end of lane wall sensor error</v>
      </c>
      <c r="P2252" s="77"/>
      <c r="Q2252" s="77"/>
      <c r="R2252" s="77"/>
      <c r="U2252" s="81">
        <f>DATEVALUE(LEFT(F2252,10))</f>
        <v>45016</v>
      </c>
    </row>
    <row r="2253" spans="1:21">
      <c r="A2253" s="77" t="s">
        <v>8362</v>
      </c>
      <c r="B2253" s="77" t="s">
        <v>29</v>
      </c>
      <c r="C2253" s="77" t="s">
        <v>8116</v>
      </c>
      <c r="D2253" s="77" t="s">
        <v>37</v>
      </c>
      <c r="E2253" s="77" t="s">
        <v>2939</v>
      </c>
      <c r="F2253" s="77" t="s">
        <v>8363</v>
      </c>
      <c r="G2253" s="77">
        <v>146</v>
      </c>
      <c r="H2253" s="77">
        <v>114</v>
      </c>
      <c r="I2253" s="77">
        <v>0.78082191780821897</v>
      </c>
      <c r="J2253" s="77" t="s">
        <v>176</v>
      </c>
      <c r="K2253" s="77" t="s">
        <v>1873</v>
      </c>
      <c r="L2253" s="77">
        <v>44</v>
      </c>
      <c r="M2253" s="77" t="s">
        <v>471</v>
      </c>
      <c r="N2253" s="77" t="s">
        <v>3448</v>
      </c>
      <c r="O2253" s="77" t="str">
        <f>_xlfn.XLOOKUP(N2253,'Error-codes'!$C$2:$C$130,'Error-codes'!$B$2:$B$130, "None")</f>
        <v>end of lane open sensor error</v>
      </c>
      <c r="P2253" s="77"/>
      <c r="Q2253" s="77"/>
      <c r="R2253" s="77"/>
      <c r="U2253" s="81">
        <f>DATEVALUE(LEFT(F2253,10))</f>
        <v>45016</v>
      </c>
    </row>
    <row r="2254" spans="1:21">
      <c r="A2254" s="77" t="s">
        <v>8364</v>
      </c>
      <c r="B2254" s="77" t="s">
        <v>29</v>
      </c>
      <c r="C2254" s="77" t="s">
        <v>8116</v>
      </c>
      <c r="D2254" s="77" t="s">
        <v>37</v>
      </c>
      <c r="E2254" s="77" t="s">
        <v>2939</v>
      </c>
      <c r="F2254" s="77" t="s">
        <v>8365</v>
      </c>
      <c r="G2254" s="77">
        <v>146</v>
      </c>
      <c r="H2254" s="77">
        <v>117</v>
      </c>
      <c r="I2254" s="77">
        <v>0.80136986301369895</v>
      </c>
      <c r="J2254" s="77" t="s">
        <v>52</v>
      </c>
      <c r="K2254" s="77" t="s">
        <v>1873</v>
      </c>
      <c r="L2254" s="77">
        <v>44</v>
      </c>
      <c r="M2254" s="77" t="s">
        <v>471</v>
      </c>
      <c r="N2254" s="77" t="s">
        <v>3446</v>
      </c>
      <c r="O2254" s="77" t="str">
        <f>_xlfn.XLOOKUP(N2254,'Error-codes'!$C$2:$C$130,'Error-codes'!$B$2:$B$130, "None")</f>
        <v>end of lane wall sensor error</v>
      </c>
      <c r="P2254" s="77"/>
      <c r="Q2254" s="77"/>
      <c r="R2254" s="77"/>
      <c r="U2254" s="81">
        <f>DATEVALUE(LEFT(F2254,10))</f>
        <v>45016</v>
      </c>
    </row>
    <row r="2255" spans="1:21">
      <c r="A2255" s="77" t="s">
        <v>8366</v>
      </c>
      <c r="B2255" s="77" t="s">
        <v>29</v>
      </c>
      <c r="C2255" s="77" t="s">
        <v>8116</v>
      </c>
      <c r="D2255" s="77" t="s">
        <v>37</v>
      </c>
      <c r="E2255" s="77" t="s">
        <v>2939</v>
      </c>
      <c r="F2255" s="77" t="s">
        <v>8367</v>
      </c>
      <c r="G2255" s="77">
        <v>146</v>
      </c>
      <c r="H2255" s="77">
        <v>118</v>
      </c>
      <c r="I2255" s="77">
        <v>0.80821917808219201</v>
      </c>
      <c r="J2255" s="77" t="s">
        <v>7200</v>
      </c>
      <c r="K2255" s="77" t="s">
        <v>1873</v>
      </c>
      <c r="L2255" s="77">
        <v>44</v>
      </c>
      <c r="M2255" s="77" t="s">
        <v>471</v>
      </c>
      <c r="N2255" s="77" t="s">
        <v>3448</v>
      </c>
      <c r="O2255" s="77" t="str">
        <f>_xlfn.XLOOKUP(N2255,'Error-codes'!$C$2:$C$130,'Error-codes'!$B$2:$B$130, "None")</f>
        <v>end of lane open sensor error</v>
      </c>
      <c r="P2255" s="77"/>
      <c r="Q2255" s="77"/>
      <c r="R2255" s="77"/>
      <c r="U2255" s="81">
        <f>DATEVALUE(LEFT(F2255,10))</f>
        <v>45016</v>
      </c>
    </row>
    <row r="2256" spans="1:21">
      <c r="A2256" s="77" t="s">
        <v>8368</v>
      </c>
      <c r="B2256" s="77" t="s">
        <v>29</v>
      </c>
      <c r="C2256" s="77" t="s">
        <v>8116</v>
      </c>
      <c r="D2256" s="77" t="s">
        <v>37</v>
      </c>
      <c r="E2256" s="77" t="s">
        <v>2939</v>
      </c>
      <c r="F2256" s="77" t="s">
        <v>8369</v>
      </c>
      <c r="G2256" s="77">
        <v>146</v>
      </c>
      <c r="H2256" s="77">
        <v>119</v>
      </c>
      <c r="I2256" s="77">
        <v>0.81506849315068497</v>
      </c>
      <c r="J2256" s="77" t="s">
        <v>7198</v>
      </c>
      <c r="K2256" s="77" t="s">
        <v>1873</v>
      </c>
      <c r="L2256" s="77">
        <v>44</v>
      </c>
      <c r="M2256" s="77" t="s">
        <v>471</v>
      </c>
      <c r="N2256" s="77" t="s">
        <v>3446</v>
      </c>
      <c r="O2256" s="77" t="str">
        <f>_xlfn.XLOOKUP(N2256,'Error-codes'!$C$2:$C$130,'Error-codes'!$B$2:$B$130, "None")</f>
        <v>end of lane wall sensor error</v>
      </c>
      <c r="P2256" s="77"/>
      <c r="Q2256" s="77"/>
      <c r="R2256" s="77"/>
      <c r="U2256" s="81">
        <f>DATEVALUE(LEFT(F2256,10))</f>
        <v>45016</v>
      </c>
    </row>
    <row r="2257" spans="1:21">
      <c r="A2257" s="77" t="s">
        <v>8370</v>
      </c>
      <c r="B2257" s="77" t="s">
        <v>29</v>
      </c>
      <c r="C2257" s="77" t="s">
        <v>8116</v>
      </c>
      <c r="D2257" s="77" t="s">
        <v>37</v>
      </c>
      <c r="E2257" s="77" t="s">
        <v>2939</v>
      </c>
      <c r="F2257" s="77" t="s">
        <v>8371</v>
      </c>
      <c r="G2257" s="77">
        <v>146</v>
      </c>
      <c r="H2257" s="77">
        <v>120</v>
      </c>
      <c r="I2257" s="77">
        <v>0.82191780821917804</v>
      </c>
      <c r="J2257" s="77" t="s">
        <v>7196</v>
      </c>
      <c r="K2257" s="77" t="s">
        <v>1873</v>
      </c>
      <c r="L2257" s="77">
        <v>44</v>
      </c>
      <c r="M2257" s="77" t="s">
        <v>471</v>
      </c>
      <c r="N2257" s="77" t="s">
        <v>3446</v>
      </c>
      <c r="O2257" s="77" t="str">
        <f>_xlfn.XLOOKUP(N2257,'Error-codes'!$C$2:$C$130,'Error-codes'!$B$2:$B$130, "None")</f>
        <v>end of lane wall sensor error</v>
      </c>
      <c r="P2257" s="77"/>
      <c r="Q2257" s="77"/>
      <c r="R2257" s="77"/>
      <c r="U2257" s="81">
        <f>DATEVALUE(LEFT(F2257,10))</f>
        <v>45016</v>
      </c>
    </row>
    <row r="2258" spans="1:21">
      <c r="A2258" s="77" t="s">
        <v>8372</v>
      </c>
      <c r="B2258" s="77" t="s">
        <v>29</v>
      </c>
      <c r="C2258" s="77" t="s">
        <v>8116</v>
      </c>
      <c r="D2258" s="77" t="s">
        <v>37</v>
      </c>
      <c r="E2258" s="77" t="s">
        <v>2939</v>
      </c>
      <c r="F2258" s="77" t="s">
        <v>8373</v>
      </c>
      <c r="G2258" s="77">
        <v>146</v>
      </c>
      <c r="H2258" s="77">
        <v>121</v>
      </c>
      <c r="I2258" s="77">
        <v>0.82876712328767099</v>
      </c>
      <c r="J2258" s="77" t="s">
        <v>5021</v>
      </c>
      <c r="K2258" s="77" t="s">
        <v>1873</v>
      </c>
      <c r="L2258" s="77">
        <v>44</v>
      </c>
      <c r="M2258" s="77" t="s">
        <v>471</v>
      </c>
      <c r="N2258" s="77" t="s">
        <v>3448</v>
      </c>
      <c r="O2258" s="77" t="str">
        <f>_xlfn.XLOOKUP(N2258,'Error-codes'!$C$2:$C$130,'Error-codes'!$B$2:$B$130, "None")</f>
        <v>end of lane open sensor error</v>
      </c>
      <c r="P2258" s="77"/>
      <c r="Q2258" s="77"/>
      <c r="R2258" s="77"/>
      <c r="U2258" s="81">
        <f>DATEVALUE(LEFT(F2258,10))</f>
        <v>45016</v>
      </c>
    </row>
    <row r="2259" spans="1:21">
      <c r="A2259" s="77" t="s">
        <v>8374</v>
      </c>
      <c r="B2259" s="77" t="s">
        <v>29</v>
      </c>
      <c r="C2259" s="77" t="s">
        <v>8116</v>
      </c>
      <c r="D2259" s="77" t="s">
        <v>37</v>
      </c>
      <c r="E2259" s="77" t="s">
        <v>2939</v>
      </c>
      <c r="F2259" s="77" t="s">
        <v>8375</v>
      </c>
      <c r="G2259" s="77">
        <v>146</v>
      </c>
      <c r="H2259" s="77">
        <v>123</v>
      </c>
      <c r="I2259" s="77">
        <v>0.84246575342465801</v>
      </c>
      <c r="J2259" s="77" t="s">
        <v>8376</v>
      </c>
      <c r="K2259" s="77" t="s">
        <v>1873</v>
      </c>
      <c r="L2259" s="77">
        <v>44</v>
      </c>
      <c r="M2259" s="77" t="s">
        <v>471</v>
      </c>
      <c r="N2259" s="77" t="s">
        <v>3448</v>
      </c>
      <c r="O2259" s="77" t="str">
        <f>_xlfn.XLOOKUP(N2259,'Error-codes'!$C$2:$C$130,'Error-codes'!$B$2:$B$130, "None")</f>
        <v>end of lane open sensor error</v>
      </c>
      <c r="P2259" s="77"/>
      <c r="Q2259" s="77"/>
      <c r="R2259" s="77"/>
      <c r="U2259" s="81">
        <f>DATEVALUE(LEFT(F2259,10))</f>
        <v>45016</v>
      </c>
    </row>
    <row r="2260" spans="1:21">
      <c r="A2260" s="77" t="s">
        <v>8377</v>
      </c>
      <c r="B2260" s="77" t="s">
        <v>29</v>
      </c>
      <c r="C2260" s="77" t="s">
        <v>8116</v>
      </c>
      <c r="D2260" s="77" t="s">
        <v>37</v>
      </c>
      <c r="E2260" s="77" t="s">
        <v>2939</v>
      </c>
      <c r="F2260" s="77" t="s">
        <v>8378</v>
      </c>
      <c r="G2260" s="77">
        <v>146</v>
      </c>
      <c r="H2260" s="77">
        <v>124</v>
      </c>
      <c r="I2260" s="77">
        <v>0.84931506849315097</v>
      </c>
      <c r="J2260" s="77" t="s">
        <v>7193</v>
      </c>
      <c r="K2260" s="77" t="s">
        <v>1873</v>
      </c>
      <c r="L2260" s="77">
        <v>44</v>
      </c>
      <c r="M2260" s="77" t="s">
        <v>471</v>
      </c>
      <c r="N2260" s="77" t="s">
        <v>3446</v>
      </c>
      <c r="O2260" s="77" t="str">
        <f>_xlfn.XLOOKUP(N2260,'Error-codes'!$C$2:$C$130,'Error-codes'!$B$2:$B$130, "None")</f>
        <v>end of lane wall sensor error</v>
      </c>
      <c r="P2260" s="77"/>
      <c r="Q2260" s="77"/>
      <c r="R2260" s="77"/>
      <c r="U2260" s="81">
        <f>DATEVALUE(LEFT(F2260,10))</f>
        <v>45016</v>
      </c>
    </row>
    <row r="2261" spans="1:21">
      <c r="A2261" s="77" t="s">
        <v>8379</v>
      </c>
      <c r="B2261" s="77" t="s">
        <v>29</v>
      </c>
      <c r="C2261" s="77" t="s">
        <v>8116</v>
      </c>
      <c r="D2261" s="77" t="s">
        <v>37</v>
      </c>
      <c r="E2261" s="77" t="s">
        <v>2939</v>
      </c>
      <c r="F2261" s="77" t="s">
        <v>8380</v>
      </c>
      <c r="G2261" s="77">
        <v>146</v>
      </c>
      <c r="H2261" s="77">
        <v>125</v>
      </c>
      <c r="I2261" s="77">
        <v>0.85616438356164404</v>
      </c>
      <c r="J2261" s="77" t="s">
        <v>5089</v>
      </c>
      <c r="K2261" s="77" t="s">
        <v>1873</v>
      </c>
      <c r="L2261" s="77">
        <v>44</v>
      </c>
      <c r="M2261" s="77" t="s">
        <v>471</v>
      </c>
      <c r="N2261" s="77" t="s">
        <v>3448</v>
      </c>
      <c r="O2261" s="77" t="str">
        <f>_xlfn.XLOOKUP(N2261,'Error-codes'!$C$2:$C$130,'Error-codes'!$B$2:$B$130, "None")</f>
        <v>end of lane open sensor error</v>
      </c>
      <c r="P2261" s="77"/>
      <c r="Q2261" s="77"/>
      <c r="R2261" s="77"/>
      <c r="U2261" s="81">
        <f>DATEVALUE(LEFT(F2261,10))</f>
        <v>45016</v>
      </c>
    </row>
    <row r="2262" spans="1:21">
      <c r="A2262" s="77" t="s">
        <v>8381</v>
      </c>
      <c r="B2262" s="77" t="s">
        <v>29</v>
      </c>
      <c r="C2262" s="77" t="s">
        <v>8116</v>
      </c>
      <c r="D2262" s="77" t="s">
        <v>37</v>
      </c>
      <c r="E2262" s="77" t="s">
        <v>2939</v>
      </c>
      <c r="F2262" s="77" t="s">
        <v>8382</v>
      </c>
      <c r="G2262" s="77">
        <v>146</v>
      </c>
      <c r="H2262" s="77">
        <v>126</v>
      </c>
      <c r="I2262" s="77">
        <v>0.86301369863013699</v>
      </c>
      <c r="J2262" s="77" t="s">
        <v>7190</v>
      </c>
      <c r="K2262" s="77" t="s">
        <v>1873</v>
      </c>
      <c r="L2262" s="77">
        <v>44</v>
      </c>
      <c r="M2262" s="77" t="s">
        <v>471</v>
      </c>
      <c r="N2262" s="77" t="s">
        <v>3446</v>
      </c>
      <c r="O2262" s="77" t="str">
        <f>_xlfn.XLOOKUP(N2262,'Error-codes'!$C$2:$C$130,'Error-codes'!$B$2:$B$130, "None")</f>
        <v>end of lane wall sensor error</v>
      </c>
      <c r="P2262" s="77"/>
      <c r="Q2262" s="77"/>
      <c r="R2262" s="77"/>
      <c r="U2262" s="81">
        <f>DATEVALUE(LEFT(F2262,10))</f>
        <v>45016</v>
      </c>
    </row>
    <row r="2263" spans="1:21">
      <c r="A2263" s="77" t="s">
        <v>8383</v>
      </c>
      <c r="B2263" s="77" t="s">
        <v>29</v>
      </c>
      <c r="C2263" s="77" t="s">
        <v>8116</v>
      </c>
      <c r="D2263" s="77" t="s">
        <v>37</v>
      </c>
      <c r="E2263" s="77" t="s">
        <v>2939</v>
      </c>
      <c r="F2263" s="77" t="s">
        <v>8384</v>
      </c>
      <c r="G2263" s="77">
        <v>146</v>
      </c>
      <c r="H2263" s="77">
        <v>127</v>
      </c>
      <c r="I2263" s="77">
        <v>0.86986301369862995</v>
      </c>
      <c r="J2263" s="77" t="s">
        <v>7188</v>
      </c>
      <c r="K2263" s="77" t="s">
        <v>1873</v>
      </c>
      <c r="L2263" s="77">
        <v>44</v>
      </c>
      <c r="M2263" s="77" t="s">
        <v>471</v>
      </c>
      <c r="N2263" s="77" t="s">
        <v>3446</v>
      </c>
      <c r="O2263" s="77" t="str">
        <f>_xlfn.XLOOKUP(N2263,'Error-codes'!$C$2:$C$130,'Error-codes'!$B$2:$B$130, "None")</f>
        <v>end of lane wall sensor error</v>
      </c>
      <c r="P2263" s="77"/>
      <c r="Q2263" s="77"/>
      <c r="R2263" s="77"/>
      <c r="U2263" s="81">
        <f>DATEVALUE(LEFT(F2263,10))</f>
        <v>45016</v>
      </c>
    </row>
    <row r="2264" spans="1:21">
      <c r="A2264" s="77" t="s">
        <v>8385</v>
      </c>
      <c r="B2264" s="77" t="s">
        <v>29</v>
      </c>
      <c r="C2264" s="77" t="s">
        <v>8116</v>
      </c>
      <c r="D2264" s="77" t="s">
        <v>37</v>
      </c>
      <c r="E2264" s="77" t="s">
        <v>2939</v>
      </c>
      <c r="F2264" s="77" t="s">
        <v>8386</v>
      </c>
      <c r="G2264" s="77">
        <v>146</v>
      </c>
      <c r="H2264" s="77">
        <v>128</v>
      </c>
      <c r="I2264" s="77">
        <v>0.87671232876712302</v>
      </c>
      <c r="J2264" s="77" t="s">
        <v>7186</v>
      </c>
      <c r="K2264" s="77" t="s">
        <v>1873</v>
      </c>
      <c r="L2264" s="77">
        <v>44</v>
      </c>
      <c r="M2264" s="77" t="s">
        <v>471</v>
      </c>
      <c r="N2264" s="77" t="s">
        <v>3448</v>
      </c>
      <c r="O2264" s="77" t="str">
        <f>_xlfn.XLOOKUP(N2264,'Error-codes'!$C$2:$C$130,'Error-codes'!$B$2:$B$130, "None")</f>
        <v>end of lane open sensor error</v>
      </c>
      <c r="P2264" s="77"/>
      <c r="Q2264" s="77"/>
      <c r="R2264" s="77"/>
      <c r="U2264" s="81">
        <f>DATEVALUE(LEFT(F2264,10))</f>
        <v>45016</v>
      </c>
    </row>
    <row r="2265" spans="1:21">
      <c r="A2265" s="77" t="s">
        <v>8387</v>
      </c>
      <c r="B2265" s="77" t="s">
        <v>29</v>
      </c>
      <c r="C2265" s="77" t="s">
        <v>8116</v>
      </c>
      <c r="D2265" s="77" t="s">
        <v>37</v>
      </c>
      <c r="E2265" s="77" t="s">
        <v>2939</v>
      </c>
      <c r="F2265" s="77" t="s">
        <v>8388</v>
      </c>
      <c r="G2265" s="77">
        <v>146</v>
      </c>
      <c r="H2265" s="77">
        <v>130</v>
      </c>
      <c r="I2265" s="77">
        <v>0.89041095890411004</v>
      </c>
      <c r="J2265" s="77" t="s">
        <v>5183</v>
      </c>
      <c r="K2265" s="77" t="s">
        <v>1873</v>
      </c>
      <c r="L2265" s="77">
        <v>44</v>
      </c>
      <c r="M2265" s="77" t="s">
        <v>471</v>
      </c>
      <c r="N2265" s="77" t="s">
        <v>3472</v>
      </c>
      <c r="O2265" s="77" t="str">
        <f>_xlfn.XLOOKUP(N2265,'Error-codes'!$C$2:$C$130,'Error-codes'!$B$2:$B$130, "None")</f>
        <v>Excessive slip detected</v>
      </c>
      <c r="P2265" s="77"/>
      <c r="Q2265" s="77"/>
      <c r="R2265" s="77"/>
      <c r="U2265" s="81">
        <f>DATEVALUE(LEFT(F2265,10))</f>
        <v>45016</v>
      </c>
    </row>
    <row r="2266" spans="1:21">
      <c r="A2266" s="77" t="s">
        <v>8389</v>
      </c>
      <c r="B2266" s="77" t="s">
        <v>29</v>
      </c>
      <c r="C2266" s="77" t="s">
        <v>8116</v>
      </c>
      <c r="D2266" s="77" t="s">
        <v>37</v>
      </c>
      <c r="E2266" s="77" t="s">
        <v>2939</v>
      </c>
      <c r="F2266" s="77" t="s">
        <v>8390</v>
      </c>
      <c r="G2266" s="77">
        <v>146</v>
      </c>
      <c r="H2266" s="77">
        <v>131</v>
      </c>
      <c r="I2266" s="77">
        <v>0.897260273972603</v>
      </c>
      <c r="J2266" s="77" t="s">
        <v>7183</v>
      </c>
      <c r="K2266" s="77" t="s">
        <v>1873</v>
      </c>
      <c r="L2266" s="77">
        <v>44</v>
      </c>
      <c r="M2266" s="77" t="s">
        <v>471</v>
      </c>
      <c r="N2266" s="77" t="s">
        <v>3448</v>
      </c>
      <c r="O2266" s="77" t="str">
        <f>_xlfn.XLOOKUP(N2266,'Error-codes'!$C$2:$C$130,'Error-codes'!$B$2:$B$130, "None")</f>
        <v>end of lane open sensor error</v>
      </c>
      <c r="P2266" s="77"/>
      <c r="Q2266" s="77"/>
      <c r="R2266" s="77"/>
      <c r="U2266" s="81">
        <f>DATEVALUE(LEFT(F2266,10))</f>
        <v>45016</v>
      </c>
    </row>
    <row r="2267" spans="1:21">
      <c r="A2267" s="77" t="s">
        <v>8391</v>
      </c>
      <c r="B2267" s="77" t="s">
        <v>29</v>
      </c>
      <c r="C2267" s="77" t="s">
        <v>8116</v>
      </c>
      <c r="D2267" s="77" t="s">
        <v>37</v>
      </c>
      <c r="E2267" s="77" t="s">
        <v>2939</v>
      </c>
      <c r="F2267" s="77" t="s">
        <v>8392</v>
      </c>
      <c r="G2267" s="77">
        <v>146</v>
      </c>
      <c r="H2267" s="77">
        <v>132</v>
      </c>
      <c r="I2267" s="77">
        <v>0.90410958904109595</v>
      </c>
      <c r="J2267" s="77" t="s">
        <v>7181</v>
      </c>
      <c r="K2267" s="77" t="s">
        <v>1873</v>
      </c>
      <c r="L2267" s="77">
        <v>44</v>
      </c>
      <c r="M2267" s="77" t="s">
        <v>471</v>
      </c>
      <c r="N2267" s="77" t="s">
        <v>3448</v>
      </c>
      <c r="O2267" s="77" t="str">
        <f>_xlfn.XLOOKUP(N2267,'Error-codes'!$C$2:$C$130,'Error-codes'!$B$2:$B$130, "None")</f>
        <v>end of lane open sensor error</v>
      </c>
      <c r="P2267" s="77"/>
      <c r="Q2267" s="77"/>
      <c r="R2267" s="77"/>
      <c r="U2267" s="81">
        <f>DATEVALUE(LEFT(F2267,10))</f>
        <v>45016</v>
      </c>
    </row>
    <row r="2268" spans="1:21">
      <c r="A2268" s="77" t="s">
        <v>8393</v>
      </c>
      <c r="B2268" s="77" t="s">
        <v>29</v>
      </c>
      <c r="C2268" s="77" t="s">
        <v>8116</v>
      </c>
      <c r="D2268" s="77" t="s">
        <v>37</v>
      </c>
      <c r="E2268" s="77" t="s">
        <v>2939</v>
      </c>
      <c r="F2268" s="77" t="s">
        <v>8394</v>
      </c>
      <c r="G2268" s="77">
        <v>146</v>
      </c>
      <c r="H2268" s="77">
        <v>133</v>
      </c>
      <c r="I2268" s="77">
        <v>0.91095890410958902</v>
      </c>
      <c r="J2268" s="77" t="s">
        <v>7179</v>
      </c>
      <c r="K2268" s="77" t="s">
        <v>1873</v>
      </c>
      <c r="L2268" s="77">
        <v>44</v>
      </c>
      <c r="M2268" s="77" t="s">
        <v>471</v>
      </c>
      <c r="N2268" s="77" t="s">
        <v>3446</v>
      </c>
      <c r="O2268" s="77" t="str">
        <f>_xlfn.XLOOKUP(N2268,'Error-codes'!$C$2:$C$130,'Error-codes'!$B$2:$B$130, "None")</f>
        <v>end of lane wall sensor error</v>
      </c>
      <c r="P2268" s="77"/>
      <c r="Q2268" s="77"/>
      <c r="R2268" s="77"/>
      <c r="U2268" s="81">
        <f>DATEVALUE(LEFT(F2268,10))</f>
        <v>45016</v>
      </c>
    </row>
    <row r="2269" spans="1:21">
      <c r="A2269" s="77" t="s">
        <v>8395</v>
      </c>
      <c r="B2269" s="77" t="s">
        <v>29</v>
      </c>
      <c r="C2269" s="77" t="s">
        <v>8116</v>
      </c>
      <c r="D2269" s="77" t="s">
        <v>37</v>
      </c>
      <c r="E2269" s="77" t="s">
        <v>2939</v>
      </c>
      <c r="F2269" s="77" t="s">
        <v>8396</v>
      </c>
      <c r="G2269" s="77">
        <v>146</v>
      </c>
      <c r="H2269" s="77">
        <v>134</v>
      </c>
      <c r="I2269" s="77">
        <v>0.91780821917808197</v>
      </c>
      <c r="J2269" s="77" t="s">
        <v>7177</v>
      </c>
      <c r="K2269" s="77" t="s">
        <v>1873</v>
      </c>
      <c r="L2269" s="77">
        <v>44</v>
      </c>
      <c r="M2269" s="77" t="s">
        <v>471</v>
      </c>
      <c r="N2269" s="77" t="s">
        <v>3448</v>
      </c>
      <c r="O2269" s="77" t="str">
        <f>_xlfn.XLOOKUP(N2269,'Error-codes'!$C$2:$C$130,'Error-codes'!$B$2:$B$130, "None")</f>
        <v>end of lane open sensor error</v>
      </c>
      <c r="P2269" s="77"/>
      <c r="Q2269" s="77"/>
      <c r="R2269" s="77"/>
      <c r="U2269" s="81">
        <f>DATEVALUE(LEFT(F2269,10))</f>
        <v>45016</v>
      </c>
    </row>
    <row r="2270" spans="1:21">
      <c r="A2270" s="77" t="s">
        <v>8397</v>
      </c>
      <c r="B2270" s="77" t="s">
        <v>29</v>
      </c>
      <c r="C2270" s="77" t="s">
        <v>8116</v>
      </c>
      <c r="D2270" s="77" t="s">
        <v>37</v>
      </c>
      <c r="E2270" s="77" t="s">
        <v>2939</v>
      </c>
      <c r="F2270" s="77" t="s">
        <v>8398</v>
      </c>
      <c r="G2270" s="77">
        <v>146</v>
      </c>
      <c r="H2270" s="77">
        <v>135</v>
      </c>
      <c r="I2270" s="77">
        <v>0.92465753424657504</v>
      </c>
      <c r="J2270" s="77" t="s">
        <v>1622</v>
      </c>
      <c r="K2270" s="77" t="s">
        <v>1873</v>
      </c>
      <c r="L2270" s="77">
        <v>44</v>
      </c>
      <c r="M2270" s="77" t="s">
        <v>471</v>
      </c>
      <c r="N2270" s="77" t="s">
        <v>3448</v>
      </c>
      <c r="O2270" s="77" t="str">
        <f>_xlfn.XLOOKUP(N2270,'Error-codes'!$C$2:$C$130,'Error-codes'!$B$2:$B$130, "None")</f>
        <v>end of lane open sensor error</v>
      </c>
      <c r="P2270" s="77"/>
      <c r="Q2270" s="77"/>
      <c r="R2270" s="77"/>
      <c r="U2270" s="81">
        <f>DATEVALUE(LEFT(F2270,10))</f>
        <v>45016</v>
      </c>
    </row>
    <row r="2271" spans="1:21">
      <c r="A2271" s="77" t="s">
        <v>8399</v>
      </c>
      <c r="B2271" s="77" t="s">
        <v>29</v>
      </c>
      <c r="C2271" s="77" t="s">
        <v>8116</v>
      </c>
      <c r="D2271" s="77" t="s">
        <v>37</v>
      </c>
      <c r="E2271" s="77" t="s">
        <v>2939</v>
      </c>
      <c r="F2271" s="77" t="s">
        <v>8400</v>
      </c>
      <c r="G2271" s="77">
        <v>146</v>
      </c>
      <c r="H2271" s="77">
        <v>137</v>
      </c>
      <c r="I2271" s="77">
        <v>0.93835616438356195</v>
      </c>
      <c r="J2271" s="77" t="s">
        <v>7174</v>
      </c>
      <c r="K2271" s="77" t="s">
        <v>1873</v>
      </c>
      <c r="L2271" s="77">
        <v>44</v>
      </c>
      <c r="M2271" s="77" t="s">
        <v>471</v>
      </c>
      <c r="N2271" s="77" t="s">
        <v>3448</v>
      </c>
      <c r="O2271" s="77" t="str">
        <f>_xlfn.XLOOKUP(N2271,'Error-codes'!$C$2:$C$130,'Error-codes'!$B$2:$B$130, "None")</f>
        <v>end of lane open sensor error</v>
      </c>
      <c r="P2271" s="77"/>
      <c r="Q2271" s="77"/>
      <c r="R2271" s="77"/>
      <c r="U2271" s="81">
        <f>DATEVALUE(LEFT(F2271,10))</f>
        <v>45016</v>
      </c>
    </row>
    <row r="2272" spans="1:21">
      <c r="A2272" s="77" t="s">
        <v>8401</v>
      </c>
      <c r="B2272" s="77" t="s">
        <v>29</v>
      </c>
      <c r="C2272" s="77" t="s">
        <v>8116</v>
      </c>
      <c r="D2272" s="77" t="s">
        <v>37</v>
      </c>
      <c r="E2272" s="77" t="s">
        <v>2939</v>
      </c>
      <c r="F2272" s="77" t="s">
        <v>8402</v>
      </c>
      <c r="G2272" s="77">
        <v>146</v>
      </c>
      <c r="H2272" s="77">
        <v>138</v>
      </c>
      <c r="I2272" s="77">
        <v>0.94520547945205502</v>
      </c>
      <c r="J2272" s="77" t="s">
        <v>7172</v>
      </c>
      <c r="K2272" s="77" t="s">
        <v>1873</v>
      </c>
      <c r="L2272" s="77">
        <v>44</v>
      </c>
      <c r="M2272" s="77" t="s">
        <v>471</v>
      </c>
      <c r="N2272" s="77" t="s">
        <v>3446</v>
      </c>
      <c r="O2272" s="77" t="str">
        <f>_xlfn.XLOOKUP(N2272,'Error-codes'!$C$2:$C$130,'Error-codes'!$B$2:$B$130, "None")</f>
        <v>end of lane wall sensor error</v>
      </c>
      <c r="P2272" s="77"/>
      <c r="Q2272" s="77"/>
      <c r="R2272" s="77"/>
      <c r="U2272" s="81">
        <f>DATEVALUE(LEFT(F2272,10))</f>
        <v>45016</v>
      </c>
    </row>
    <row r="2273" spans="1:21">
      <c r="A2273" s="77" t="s">
        <v>8403</v>
      </c>
      <c r="B2273" s="77" t="s">
        <v>29</v>
      </c>
      <c r="C2273" s="77" t="s">
        <v>8116</v>
      </c>
      <c r="D2273" s="77" t="s">
        <v>37</v>
      </c>
      <c r="E2273" s="77" t="s">
        <v>5174</v>
      </c>
      <c r="F2273" s="77" t="s">
        <v>8404</v>
      </c>
      <c r="G2273" s="77">
        <v>146</v>
      </c>
      <c r="H2273" s="77">
        <v>139</v>
      </c>
      <c r="I2273" s="77">
        <v>0.95205479452054798</v>
      </c>
      <c r="J2273" s="77" t="s">
        <v>5017</v>
      </c>
      <c r="K2273" s="77" t="s">
        <v>1873</v>
      </c>
      <c r="L2273" s="77">
        <v>44</v>
      </c>
      <c r="M2273" s="77" t="s">
        <v>471</v>
      </c>
      <c r="N2273" s="77" t="s">
        <v>3426</v>
      </c>
      <c r="O2273" s="77" t="str">
        <f>_xlfn.XLOOKUP(N2273,'Error-codes'!$C$2:$C$130,'Error-codes'!$B$2:$B$130, "None")</f>
        <v>low level fsm is no longer executing the given command</v>
      </c>
      <c r="P2273" s="77"/>
      <c r="Q2273" s="77"/>
      <c r="R2273" s="77"/>
      <c r="U2273" s="81">
        <f>DATEVALUE(LEFT(F2273,10))</f>
        <v>45016</v>
      </c>
    </row>
    <row r="2274" spans="1:21">
      <c r="A2274" s="77" t="s">
        <v>8405</v>
      </c>
      <c r="B2274" s="77" t="s">
        <v>29</v>
      </c>
      <c r="C2274" s="77" t="s">
        <v>8406</v>
      </c>
      <c r="D2274" s="77" t="s">
        <v>37</v>
      </c>
      <c r="E2274" s="77" t="s">
        <v>2939</v>
      </c>
      <c r="F2274" s="77" t="s">
        <v>8407</v>
      </c>
      <c r="G2274" s="77">
        <v>38</v>
      </c>
      <c r="H2274" s="77">
        <v>0</v>
      </c>
      <c r="I2274" s="77">
        <v>0</v>
      </c>
      <c r="J2274" s="77" t="s">
        <v>5000</v>
      </c>
      <c r="K2274" s="77" t="s">
        <v>1893</v>
      </c>
      <c r="L2274" s="77">
        <v>44</v>
      </c>
      <c r="M2274" s="77" t="s">
        <v>471</v>
      </c>
      <c r="N2274" s="77" t="s">
        <v>3462</v>
      </c>
      <c r="O2274" s="77" t="str">
        <f>_xlfn.XLOOKUP(N2274,'Error-codes'!$C$2:$C$130,'Error-codes'!$B$2:$B$130, "None")</f>
        <v xml:space="preserve">Vehicle HAL: motor drive: ID CONTROL ISSUE	</v>
      </c>
      <c r="P2274" s="77"/>
      <c r="Q2274" s="77"/>
      <c r="R2274" s="77"/>
      <c r="U2274" s="81">
        <f>DATEVALUE(LEFT(F2274,10))</f>
        <v>45015</v>
      </c>
    </row>
    <row r="2275" spans="1:21">
      <c r="A2275" s="77" t="s">
        <v>8408</v>
      </c>
      <c r="B2275" s="77" t="s">
        <v>29</v>
      </c>
      <c r="C2275" s="77" t="s">
        <v>8406</v>
      </c>
      <c r="D2275" s="77" t="s">
        <v>37</v>
      </c>
      <c r="E2275" s="77" t="s">
        <v>2939</v>
      </c>
      <c r="F2275" s="77" t="s">
        <v>8409</v>
      </c>
      <c r="G2275" s="77">
        <v>38</v>
      </c>
      <c r="H2275" s="77">
        <v>1</v>
      </c>
      <c r="I2275" s="77">
        <v>2.6315789473684001E-2</v>
      </c>
      <c r="J2275" s="77" t="s">
        <v>98</v>
      </c>
      <c r="K2275" s="77" t="s">
        <v>1893</v>
      </c>
      <c r="L2275" s="77">
        <v>44</v>
      </c>
      <c r="M2275" s="77" t="s">
        <v>471</v>
      </c>
      <c r="N2275" s="77" t="s">
        <v>3448</v>
      </c>
      <c r="O2275" s="77" t="str">
        <f>_xlfn.XLOOKUP(N2275,'Error-codes'!$C$2:$C$130,'Error-codes'!$B$2:$B$130, "None")</f>
        <v>end of lane open sensor error</v>
      </c>
      <c r="P2275" s="77"/>
      <c r="Q2275" s="77"/>
      <c r="R2275" s="77"/>
      <c r="U2275" s="81">
        <f>DATEVALUE(LEFT(F2275,10))</f>
        <v>45015</v>
      </c>
    </row>
    <row r="2276" spans="1:21">
      <c r="A2276" s="77" t="s">
        <v>8410</v>
      </c>
      <c r="B2276" s="77" t="s">
        <v>29</v>
      </c>
      <c r="C2276" s="77" t="s">
        <v>8406</v>
      </c>
      <c r="D2276" s="77" t="s">
        <v>37</v>
      </c>
      <c r="E2276" s="77" t="s">
        <v>2939</v>
      </c>
      <c r="F2276" s="77" t="s">
        <v>8411</v>
      </c>
      <c r="G2276" s="77">
        <v>38</v>
      </c>
      <c r="H2276" s="77">
        <v>2</v>
      </c>
      <c r="I2276" s="77">
        <v>5.2631578947369001E-2</v>
      </c>
      <c r="J2276" s="77" t="s">
        <v>7354</v>
      </c>
      <c r="K2276" s="77" t="s">
        <v>1893</v>
      </c>
      <c r="L2276" s="77">
        <v>44</v>
      </c>
      <c r="M2276" s="77" t="s">
        <v>471</v>
      </c>
      <c r="N2276" s="77" t="s">
        <v>3448</v>
      </c>
      <c r="O2276" s="77" t="str">
        <f>_xlfn.XLOOKUP(N2276,'Error-codes'!$C$2:$C$130,'Error-codes'!$B$2:$B$130, "None")</f>
        <v>end of lane open sensor error</v>
      </c>
      <c r="P2276" s="77"/>
      <c r="Q2276" s="77"/>
      <c r="R2276" s="77"/>
      <c r="U2276" s="81">
        <f>DATEVALUE(LEFT(F2276,10))</f>
        <v>45015</v>
      </c>
    </row>
    <row r="2277" spans="1:21">
      <c r="A2277" s="77" t="s">
        <v>8412</v>
      </c>
      <c r="B2277" s="77" t="s">
        <v>29</v>
      </c>
      <c r="C2277" s="77" t="s">
        <v>8406</v>
      </c>
      <c r="D2277" s="77" t="s">
        <v>37</v>
      </c>
      <c r="E2277" s="77" t="s">
        <v>2939</v>
      </c>
      <c r="F2277" s="77" t="s">
        <v>8413</v>
      </c>
      <c r="G2277" s="77">
        <v>38</v>
      </c>
      <c r="H2277" s="77">
        <v>3</v>
      </c>
      <c r="I2277" s="77">
        <v>7.8947368421053002E-2</v>
      </c>
      <c r="J2277" s="77" t="s">
        <v>7356</v>
      </c>
      <c r="K2277" s="77" t="s">
        <v>1893</v>
      </c>
      <c r="L2277" s="77">
        <v>44</v>
      </c>
      <c r="M2277" s="77" t="s">
        <v>471</v>
      </c>
      <c r="N2277" s="77" t="s">
        <v>3448</v>
      </c>
      <c r="O2277" s="77" t="str">
        <f>_xlfn.XLOOKUP(N2277,'Error-codes'!$C$2:$C$130,'Error-codes'!$B$2:$B$130, "None")</f>
        <v>end of lane open sensor error</v>
      </c>
      <c r="P2277" s="77"/>
      <c r="Q2277" s="77"/>
      <c r="R2277" s="77"/>
      <c r="U2277" s="81">
        <f>DATEVALUE(LEFT(F2277,10))</f>
        <v>45015</v>
      </c>
    </row>
    <row r="2278" spans="1:21">
      <c r="A2278" s="77" t="s">
        <v>8414</v>
      </c>
      <c r="B2278" s="77" t="s">
        <v>29</v>
      </c>
      <c r="C2278" s="77" t="s">
        <v>8406</v>
      </c>
      <c r="D2278" s="77" t="s">
        <v>37</v>
      </c>
      <c r="E2278" s="77" t="s">
        <v>2939</v>
      </c>
      <c r="F2278" s="77" t="s">
        <v>8415</v>
      </c>
      <c r="G2278" s="77">
        <v>38</v>
      </c>
      <c r="H2278" s="77">
        <v>4</v>
      </c>
      <c r="I2278" s="77">
        <v>0.105263157894737</v>
      </c>
      <c r="J2278" s="77" t="s">
        <v>88</v>
      </c>
      <c r="K2278" s="77" t="s">
        <v>1893</v>
      </c>
      <c r="L2278" s="77">
        <v>44</v>
      </c>
      <c r="M2278" s="77" t="s">
        <v>471</v>
      </c>
      <c r="N2278" s="77" t="s">
        <v>3448</v>
      </c>
      <c r="O2278" s="77" t="str">
        <f>_xlfn.XLOOKUP(N2278,'Error-codes'!$C$2:$C$130,'Error-codes'!$B$2:$B$130, "None")</f>
        <v>end of lane open sensor error</v>
      </c>
      <c r="P2278" s="77"/>
      <c r="Q2278" s="77"/>
      <c r="R2278" s="77"/>
      <c r="U2278" s="81">
        <f>DATEVALUE(LEFT(F2278,10))</f>
        <v>45015</v>
      </c>
    </row>
    <row r="2279" spans="1:21">
      <c r="A2279" s="77" t="s">
        <v>8416</v>
      </c>
      <c r="B2279" s="77" t="s">
        <v>29</v>
      </c>
      <c r="C2279" s="77" t="s">
        <v>8406</v>
      </c>
      <c r="D2279" s="77" t="s">
        <v>37</v>
      </c>
      <c r="E2279" s="77" t="s">
        <v>2939</v>
      </c>
      <c r="F2279" s="77" t="s">
        <v>8417</v>
      </c>
      <c r="G2279" s="77">
        <v>38</v>
      </c>
      <c r="H2279" s="77">
        <v>7</v>
      </c>
      <c r="I2279" s="77">
        <v>0.18421052631578899</v>
      </c>
      <c r="J2279" s="77" t="s">
        <v>7360</v>
      </c>
      <c r="K2279" s="77" t="s">
        <v>1893</v>
      </c>
      <c r="L2279" s="77">
        <v>44</v>
      </c>
      <c r="M2279" s="77" t="s">
        <v>471</v>
      </c>
      <c r="N2279" s="77" t="s">
        <v>3448</v>
      </c>
      <c r="O2279" s="77" t="str">
        <f>_xlfn.XLOOKUP(N2279,'Error-codes'!$C$2:$C$130,'Error-codes'!$B$2:$B$130, "None")</f>
        <v>end of lane open sensor error</v>
      </c>
      <c r="P2279" s="77"/>
      <c r="Q2279" s="77"/>
      <c r="R2279" s="77"/>
      <c r="U2279" s="81">
        <f>DATEVALUE(LEFT(F2279,10))</f>
        <v>45015</v>
      </c>
    </row>
    <row r="2280" spans="1:21">
      <c r="A2280" s="77" t="s">
        <v>8418</v>
      </c>
      <c r="B2280" s="77" t="s">
        <v>29</v>
      </c>
      <c r="C2280" s="77" t="s">
        <v>8406</v>
      </c>
      <c r="D2280" s="77" t="s">
        <v>37</v>
      </c>
      <c r="E2280" s="77" t="s">
        <v>2939</v>
      </c>
      <c r="F2280" s="77" t="s">
        <v>8419</v>
      </c>
      <c r="G2280" s="77">
        <v>38</v>
      </c>
      <c r="H2280" s="77">
        <v>8</v>
      </c>
      <c r="I2280" s="77">
        <v>0.21052631578947401</v>
      </c>
      <c r="J2280" s="77" t="s">
        <v>7362</v>
      </c>
      <c r="K2280" s="77" t="s">
        <v>1893</v>
      </c>
      <c r="L2280" s="77">
        <v>44</v>
      </c>
      <c r="M2280" s="77" t="s">
        <v>471</v>
      </c>
      <c r="N2280" s="77" t="s">
        <v>3448</v>
      </c>
      <c r="O2280" s="77" t="str">
        <f>_xlfn.XLOOKUP(N2280,'Error-codes'!$C$2:$C$130,'Error-codes'!$B$2:$B$130, "None")</f>
        <v>end of lane open sensor error</v>
      </c>
      <c r="P2280" s="77"/>
      <c r="Q2280" s="77"/>
      <c r="R2280" s="77"/>
      <c r="U2280" s="81">
        <f>DATEVALUE(LEFT(F2280,10))</f>
        <v>45015</v>
      </c>
    </row>
    <row r="2281" spans="1:21">
      <c r="A2281" s="77" t="s">
        <v>8420</v>
      </c>
      <c r="B2281" s="77" t="s">
        <v>29</v>
      </c>
      <c r="C2281" s="77" t="s">
        <v>8406</v>
      </c>
      <c r="D2281" s="77" t="s">
        <v>37</v>
      </c>
      <c r="E2281" s="77" t="s">
        <v>8421</v>
      </c>
      <c r="F2281" s="77" t="s">
        <v>8422</v>
      </c>
      <c r="G2281" s="77">
        <v>38</v>
      </c>
      <c r="H2281" s="77">
        <v>10</v>
      </c>
      <c r="I2281" s="77">
        <v>0.26315789473684198</v>
      </c>
      <c r="J2281" s="77" t="s">
        <v>7366</v>
      </c>
      <c r="K2281" s="77" t="s">
        <v>1893</v>
      </c>
      <c r="L2281" s="77">
        <v>44</v>
      </c>
      <c r="M2281" s="77" t="s">
        <v>471</v>
      </c>
      <c r="N2281" s="77" t="s">
        <v>7417</v>
      </c>
      <c r="O2281" s="77" t="str">
        <f>_xlfn.XLOOKUP(N2281,'Error-codes'!$C$2:$C$130,'Error-codes'!$B$2:$B$130, "None")</f>
        <v>None</v>
      </c>
      <c r="P2281" s="77"/>
      <c r="Q2281" s="77"/>
      <c r="R2281" s="77"/>
      <c r="U2281" s="81">
        <f>DATEVALUE(LEFT(F2281,10))</f>
        <v>45015</v>
      </c>
    </row>
    <row r="2282" spans="1:21" hidden="1">
      <c r="A2282" s="77"/>
      <c r="B2282" s="56" t="s">
        <v>2886</v>
      </c>
      <c r="C2282" s="56" t="s">
        <v>8423</v>
      </c>
      <c r="D2282" s="56" t="s">
        <v>37</v>
      </c>
      <c r="E2282" s="77" t="s">
        <v>7033</v>
      </c>
      <c r="F2282" s="56" t="s">
        <v>8424</v>
      </c>
      <c r="G2282" s="56">
        <v>202</v>
      </c>
      <c r="H2282" s="56">
        <v>15</v>
      </c>
      <c r="I2282" s="56">
        <v>7.4257425742574004E-2</v>
      </c>
      <c r="J2282" s="77" t="s">
        <v>8425</v>
      </c>
      <c r="K2282" s="56" t="s">
        <v>6828</v>
      </c>
      <c r="L2282" s="56">
        <v>47</v>
      </c>
      <c r="M2282" s="77"/>
      <c r="N2282" s="77" t="s">
        <v>3462</v>
      </c>
      <c r="O2282" t="str">
        <f>_xlfn.XLOOKUP(N2282,'Error-codes'!$C$2:$C$130,'Error-codes'!$B$2:$B$130, "None")</f>
        <v xml:space="preserve">Vehicle HAL: motor drive: ID CONTROL ISSUE	</v>
      </c>
      <c r="U2282" s="81">
        <f>DATEVALUE(LEFT(F2282,10))</f>
        <v>45017</v>
      </c>
    </row>
    <row r="2283" spans="1:21">
      <c r="A2283" s="77" t="s">
        <v>8426</v>
      </c>
      <c r="B2283" s="56" t="s">
        <v>2886</v>
      </c>
      <c r="C2283" s="56" t="s">
        <v>8427</v>
      </c>
      <c r="D2283" s="56" t="s">
        <v>37</v>
      </c>
      <c r="E2283" s="77" t="s">
        <v>4222</v>
      </c>
      <c r="F2283" s="56" t="s">
        <v>8428</v>
      </c>
      <c r="G2283" s="56">
        <v>202</v>
      </c>
      <c r="H2283" s="56">
        <v>48</v>
      </c>
      <c r="I2283" s="56">
        <v>0.237623762376238</v>
      </c>
      <c r="J2283" s="77" t="s">
        <v>2289</v>
      </c>
      <c r="K2283" s="56" t="s">
        <v>7738</v>
      </c>
      <c r="L2283" s="56">
        <v>48</v>
      </c>
      <c r="M2283" s="77" t="s">
        <v>471</v>
      </c>
      <c r="N2283" s="77" t="s">
        <v>3458</v>
      </c>
      <c r="O2283" t="str">
        <f>_xlfn.XLOOKUP(N2283,'Error-codes'!$C$2:$C$130,'Error-codes'!$B$2:$B$130, "None")</f>
        <v>motor drive: UNDER VOLTAGE</v>
      </c>
      <c r="U2283" s="81">
        <f>DATEVALUE(LEFT(F2283,10))</f>
        <v>45016</v>
      </c>
    </row>
    <row r="2284" spans="1:21">
      <c r="A2284" s="77" t="s">
        <v>8429</v>
      </c>
      <c r="B2284" s="56" t="s">
        <v>228</v>
      </c>
      <c r="C2284" s="56" t="s">
        <v>8430</v>
      </c>
      <c r="D2284" s="56" t="s">
        <v>37</v>
      </c>
      <c r="E2284" s="77" t="s">
        <v>3288</v>
      </c>
      <c r="F2284" s="56" t="s">
        <v>8431</v>
      </c>
      <c r="G2284" s="56">
        <v>202</v>
      </c>
      <c r="H2284" s="56">
        <v>35</v>
      </c>
      <c r="I2284" s="56">
        <v>0.173267326732673</v>
      </c>
      <c r="J2284" s="77" t="s">
        <v>8432</v>
      </c>
      <c r="K2284" s="56" t="s">
        <v>6592</v>
      </c>
      <c r="L2284" s="56">
        <v>48</v>
      </c>
      <c r="M2284" s="77" t="s">
        <v>471</v>
      </c>
      <c r="N2284" s="77" t="s">
        <v>2933</v>
      </c>
      <c r="O2284" t="str">
        <f>_xlfn.XLOOKUP(N2284,'Error-codes'!$C$2:$C$130,'Error-codes'!$B$2:$B$130, "None")</f>
        <v>inductive sensor error</v>
      </c>
      <c r="U2284" s="81">
        <f>DATEVALUE(LEFT(F2284,10))</f>
        <v>45016</v>
      </c>
    </row>
    <row r="2285" spans="1:21">
      <c r="A2285" s="77" t="s">
        <v>8433</v>
      </c>
      <c r="B2285" s="56" t="s">
        <v>228</v>
      </c>
      <c r="C2285" s="56" t="s">
        <v>8434</v>
      </c>
      <c r="D2285" s="56" t="s">
        <v>37</v>
      </c>
      <c r="E2285" s="77" t="s">
        <v>4222</v>
      </c>
      <c r="F2285" s="56" t="s">
        <v>8435</v>
      </c>
      <c r="G2285" s="56">
        <v>103</v>
      </c>
      <c r="H2285" s="56">
        <v>51</v>
      </c>
      <c r="I2285" s="56">
        <v>0.495145631067961</v>
      </c>
      <c r="J2285" s="77" t="s">
        <v>8436</v>
      </c>
      <c r="K2285" s="56" t="s">
        <v>2166</v>
      </c>
      <c r="L2285" s="56">
        <v>47</v>
      </c>
      <c r="M2285" s="77" t="s">
        <v>471</v>
      </c>
      <c r="N2285" s="77" t="s">
        <v>3458</v>
      </c>
      <c r="O2285" t="str">
        <f>_xlfn.XLOOKUP(N2285,'Error-codes'!$C$2:$C$130,'Error-codes'!$B$2:$B$130, "None")</f>
        <v>motor drive: UNDER VOLTAGE</v>
      </c>
      <c r="U2285" s="81">
        <f>DATEVALUE(LEFT(F2285,10))</f>
        <v>45015</v>
      </c>
    </row>
    <row r="2286" spans="1:21" hidden="1">
      <c r="A2286" s="77" t="s">
        <v>8437</v>
      </c>
      <c r="B2286" s="56" t="s">
        <v>3293</v>
      </c>
      <c r="C2286" s="56" t="s">
        <v>8438</v>
      </c>
      <c r="D2286" s="56" t="s">
        <v>388</v>
      </c>
      <c r="E2286" s="77" t="s">
        <v>2939</v>
      </c>
      <c r="F2286" s="56" t="s">
        <v>8439</v>
      </c>
      <c r="G2286" s="56">
        <v>22</v>
      </c>
      <c r="H2286" s="56">
        <v>16</v>
      </c>
      <c r="I2286" s="56">
        <v>0.72727272727272696</v>
      </c>
      <c r="J2286" s="77" t="s">
        <v>5224</v>
      </c>
      <c r="K2286" s="56" t="s">
        <v>3207</v>
      </c>
      <c r="L2286" s="56">
        <v>51</v>
      </c>
      <c r="M2286" s="77" t="s">
        <v>471</v>
      </c>
      <c r="N2286" s="77" t="s">
        <v>3446</v>
      </c>
      <c r="O2286" t="str">
        <f>_xlfn.XLOOKUP(N2286,'Error-codes'!$C$2:$C$130,'Error-codes'!$B$2:$B$130, "None")</f>
        <v>end of lane wall sensor error</v>
      </c>
      <c r="U2286" s="81">
        <f>DATEVALUE(LEFT(F2286,10))</f>
        <v>45018</v>
      </c>
    </row>
    <row r="2287" spans="1:21" hidden="1">
      <c r="A2287" s="77"/>
      <c r="B2287" s="56" t="s">
        <v>3293</v>
      </c>
      <c r="C2287" s="56" t="s">
        <v>8438</v>
      </c>
      <c r="D2287" s="56" t="s">
        <v>388</v>
      </c>
      <c r="E2287" s="77"/>
      <c r="F2287" s="56" t="s">
        <v>8440</v>
      </c>
      <c r="G2287" s="56">
        <v>22</v>
      </c>
      <c r="H2287" s="56">
        <v>21</v>
      </c>
      <c r="I2287" s="56">
        <v>0.95454545454545503</v>
      </c>
      <c r="J2287" s="77"/>
      <c r="K2287" s="56" t="s">
        <v>3207</v>
      </c>
      <c r="L2287" s="56">
        <v>51</v>
      </c>
      <c r="M2287" s="77"/>
      <c r="N2287" s="77"/>
      <c r="O2287">
        <f>_xlfn.XLOOKUP(N2287,'Error-codes'!$C$2:$C$130,'Error-codes'!$B$2:$B$130, "None")</f>
        <v>0</v>
      </c>
      <c r="U2287" s="81">
        <f>DATEVALUE(LEFT(F2287,10))</f>
        <v>45018</v>
      </c>
    </row>
    <row r="2288" spans="1:21" hidden="1">
      <c r="A2288" s="77" t="s">
        <v>8441</v>
      </c>
      <c r="B2288" s="56" t="s">
        <v>3293</v>
      </c>
      <c r="C2288" s="56" t="s">
        <v>8442</v>
      </c>
      <c r="D2288" s="56" t="s">
        <v>388</v>
      </c>
      <c r="E2288" s="77" t="s">
        <v>2939</v>
      </c>
      <c r="F2288" s="56" t="s">
        <v>8443</v>
      </c>
      <c r="G2288" s="56">
        <v>11</v>
      </c>
      <c r="H2288" s="56">
        <v>2</v>
      </c>
      <c r="I2288" s="56">
        <v>0.18181818181818199</v>
      </c>
      <c r="J2288" s="77" t="s">
        <v>6102</v>
      </c>
      <c r="K2288" s="56" t="s">
        <v>3207</v>
      </c>
      <c r="L2288" s="56">
        <v>53</v>
      </c>
      <c r="M2288" s="77" t="s">
        <v>471</v>
      </c>
      <c r="N2288" s="77" t="s">
        <v>2933</v>
      </c>
      <c r="O2288" t="str">
        <f>_xlfn.XLOOKUP(N2288,'Error-codes'!$C$2:$C$130,'Error-codes'!$B$2:$B$130, "None")</f>
        <v>inductive sensor error</v>
      </c>
      <c r="U2288" s="81">
        <f>DATEVALUE(LEFT(F2288,10))</f>
        <v>45017</v>
      </c>
    </row>
    <row r="2289" spans="1:21" hidden="1">
      <c r="A2289" s="77"/>
      <c r="B2289" s="56" t="s">
        <v>3293</v>
      </c>
      <c r="C2289" s="56" t="s">
        <v>8442</v>
      </c>
      <c r="D2289" s="56" t="s">
        <v>388</v>
      </c>
      <c r="E2289" s="77"/>
      <c r="F2289" s="56" t="s">
        <v>8444</v>
      </c>
      <c r="G2289" s="56">
        <v>11</v>
      </c>
      <c r="H2289" s="56">
        <v>10</v>
      </c>
      <c r="I2289" s="56">
        <v>0.90909090909090895</v>
      </c>
      <c r="J2289" s="77"/>
      <c r="K2289" s="56" t="s">
        <v>3207</v>
      </c>
      <c r="L2289" s="56">
        <v>53</v>
      </c>
      <c r="M2289" s="77"/>
      <c r="N2289" s="77"/>
      <c r="O2289">
        <f>_xlfn.XLOOKUP(N2289,'Error-codes'!$C$2:$C$130,'Error-codes'!$B$2:$B$130, "None")</f>
        <v>0</v>
      </c>
      <c r="U2289" s="81">
        <f>DATEVALUE(LEFT(F2289,10))</f>
        <v>45017</v>
      </c>
    </row>
    <row r="2290" spans="1:21" hidden="1">
      <c r="A2290" s="77"/>
      <c r="B2290" s="56" t="s">
        <v>3293</v>
      </c>
      <c r="C2290" s="56" t="s">
        <v>8445</v>
      </c>
      <c r="D2290" s="56" t="s">
        <v>22</v>
      </c>
      <c r="E2290" s="77"/>
      <c r="F2290" s="56" t="s">
        <v>8446</v>
      </c>
      <c r="G2290" s="56">
        <v>10</v>
      </c>
      <c r="H2290" s="56">
        <v>0</v>
      </c>
      <c r="I2290" s="56">
        <v>0</v>
      </c>
      <c r="J2290" s="77"/>
      <c r="K2290" s="56" t="s">
        <v>3207</v>
      </c>
      <c r="L2290" s="56">
        <v>53</v>
      </c>
      <c r="M2290" s="77"/>
      <c r="N2290" s="77"/>
      <c r="O2290">
        <f>_xlfn.XLOOKUP(N2290,'Error-codes'!$C$2:$C$130,'Error-codes'!$B$2:$B$130, "None")</f>
        <v>0</v>
      </c>
      <c r="U2290" s="81">
        <f>DATEVALUE(LEFT(F2290,10))</f>
        <v>45017</v>
      </c>
    </row>
    <row r="2291" spans="1:21" hidden="1">
      <c r="A2291" s="77" t="s">
        <v>8447</v>
      </c>
      <c r="B2291" s="56" t="s">
        <v>3293</v>
      </c>
      <c r="C2291" s="69" t="s">
        <v>8448</v>
      </c>
      <c r="D2291" s="56"/>
      <c r="E2291" s="77"/>
      <c r="F2291" s="56" t="s">
        <v>8449</v>
      </c>
      <c r="G2291" s="56">
        <v>10</v>
      </c>
      <c r="H2291" s="56">
        <v>9</v>
      </c>
      <c r="I2291" s="56">
        <v>0.9</v>
      </c>
      <c r="J2291" s="77" t="s">
        <v>5252</v>
      </c>
      <c r="K2291" s="56" t="s">
        <v>3207</v>
      </c>
      <c r="L2291" s="56">
        <v>53</v>
      </c>
      <c r="M2291" s="77" t="s">
        <v>471</v>
      </c>
      <c r="N2291" s="77" t="s">
        <v>3446</v>
      </c>
      <c r="O2291" t="str">
        <f>_xlfn.XLOOKUP(N2291,'Error-codes'!$C$2:$C$130,'Error-codes'!$B$2:$B$130, "None")</f>
        <v>end of lane wall sensor error</v>
      </c>
      <c r="U2291" s="81">
        <f>DATEVALUE(LEFT(F2291,10))</f>
        <v>45017</v>
      </c>
    </row>
    <row r="2292" spans="1:21">
      <c r="A2292" s="77"/>
      <c r="B2292" s="56" t="s">
        <v>3293</v>
      </c>
      <c r="C2292" s="56" t="s">
        <v>8450</v>
      </c>
      <c r="D2292" s="56" t="s">
        <v>388</v>
      </c>
      <c r="E2292" s="77"/>
      <c r="F2292" s="56" t="s">
        <v>8451</v>
      </c>
      <c r="G2292" s="56">
        <v>11</v>
      </c>
      <c r="H2292" s="56">
        <v>11</v>
      </c>
      <c r="I2292" s="56">
        <v>1</v>
      </c>
      <c r="J2292" s="77"/>
      <c r="K2292" s="56" t="s">
        <v>3207</v>
      </c>
      <c r="L2292" s="56">
        <v>54</v>
      </c>
      <c r="M2292" s="77"/>
      <c r="N2292" s="77"/>
      <c r="O2292">
        <f>_xlfn.XLOOKUP(N2292,'Error-codes'!$C$2:$C$130,'Error-codes'!$B$2:$B$130, "None")</f>
        <v>0</v>
      </c>
      <c r="U2292" s="81">
        <f>DATEVALUE(LEFT(F2292,10))</f>
        <v>45016</v>
      </c>
    </row>
    <row r="2293" spans="1:21">
      <c r="A2293" s="77"/>
      <c r="B2293" s="56" t="s">
        <v>3293</v>
      </c>
      <c r="C2293" s="56" t="s">
        <v>8450</v>
      </c>
      <c r="D2293" s="56" t="s">
        <v>388</v>
      </c>
      <c r="E2293" s="77"/>
      <c r="F2293" s="56" t="s">
        <v>8451</v>
      </c>
      <c r="G2293" s="56">
        <v>11</v>
      </c>
      <c r="H2293" s="56">
        <v>11</v>
      </c>
      <c r="I2293" s="56">
        <v>1</v>
      </c>
      <c r="J2293" s="77"/>
      <c r="K2293" s="56" t="s">
        <v>3207</v>
      </c>
      <c r="L2293" s="56">
        <v>54</v>
      </c>
      <c r="M2293" s="77"/>
      <c r="N2293" s="77"/>
      <c r="O2293">
        <f>_xlfn.XLOOKUP(N2293,'Error-codes'!$C$2:$C$130,'Error-codes'!$B$2:$B$130, "None")</f>
        <v>0</v>
      </c>
      <c r="U2293" s="81">
        <f>DATEVALUE(LEFT(F2293,10))</f>
        <v>45016</v>
      </c>
    </row>
    <row r="2294" spans="1:21">
      <c r="A2294" s="77" t="s">
        <v>8452</v>
      </c>
      <c r="B2294" s="56" t="s">
        <v>3293</v>
      </c>
      <c r="C2294" s="56" t="s">
        <v>8453</v>
      </c>
      <c r="D2294" s="56" t="s">
        <v>388</v>
      </c>
      <c r="E2294" s="77" t="s">
        <v>2939</v>
      </c>
      <c r="F2294" s="56" t="s">
        <v>8454</v>
      </c>
      <c r="G2294" s="56">
        <v>11</v>
      </c>
      <c r="H2294" s="56">
        <v>2</v>
      </c>
      <c r="I2294" s="56">
        <v>0.18181818181818199</v>
      </c>
      <c r="J2294" s="77" t="s">
        <v>6102</v>
      </c>
      <c r="K2294" s="56" t="s">
        <v>3207</v>
      </c>
      <c r="L2294" s="56">
        <v>53</v>
      </c>
      <c r="M2294" s="77" t="s">
        <v>471</v>
      </c>
      <c r="N2294" s="77" t="s">
        <v>2933</v>
      </c>
      <c r="O2294" t="str">
        <f>_xlfn.XLOOKUP(N2294,'Error-codes'!$C$2:$C$130,'Error-codes'!$B$2:$B$130, "None")</f>
        <v>inductive sensor error</v>
      </c>
      <c r="U2294" s="81">
        <f>DATEVALUE(LEFT(F2294,10))</f>
        <v>45015</v>
      </c>
    </row>
    <row r="2295" spans="1:21">
      <c r="A2295" s="84" t="s">
        <v>8455</v>
      </c>
      <c r="B2295" s="56" t="s">
        <v>3293</v>
      </c>
      <c r="C2295" s="56" t="s">
        <v>8453</v>
      </c>
      <c r="D2295" s="56" t="s">
        <v>388</v>
      </c>
      <c r="E2295" s="77" t="s">
        <v>2939</v>
      </c>
      <c r="F2295" s="56" t="s">
        <v>8456</v>
      </c>
      <c r="G2295" s="56">
        <v>11</v>
      </c>
      <c r="H2295" s="56">
        <v>3</v>
      </c>
      <c r="I2295" s="56">
        <v>0.27272727272727298</v>
      </c>
      <c r="J2295" s="77" t="s">
        <v>6217</v>
      </c>
      <c r="K2295" s="56" t="s">
        <v>3207</v>
      </c>
      <c r="L2295" s="56">
        <v>53</v>
      </c>
      <c r="M2295" s="77" t="s">
        <v>471</v>
      </c>
      <c r="N2295" s="77" t="s">
        <v>2933</v>
      </c>
      <c r="O2295" t="str">
        <f>_xlfn.XLOOKUP(N2295,'Error-codes'!$C$2:$C$130,'Error-codes'!$B$2:$B$130, "None")</f>
        <v>inductive sensor error</v>
      </c>
      <c r="U2295" s="81">
        <f>DATEVALUE(LEFT(F2295,10))</f>
        <v>45015</v>
      </c>
    </row>
    <row r="2296" spans="1:21">
      <c r="A2296" s="77"/>
      <c r="B2296" s="56" t="s">
        <v>3293</v>
      </c>
      <c r="C2296" s="56" t="s">
        <v>8453</v>
      </c>
      <c r="D2296" s="56" t="s">
        <v>388</v>
      </c>
      <c r="E2296" s="77"/>
      <c r="F2296" s="56" t="s">
        <v>8457</v>
      </c>
      <c r="G2296" s="56">
        <v>11</v>
      </c>
      <c r="H2296" s="56">
        <v>9</v>
      </c>
      <c r="I2296" s="56">
        <v>0.81818181818181801</v>
      </c>
      <c r="J2296" s="77"/>
      <c r="K2296" s="56" t="s">
        <v>3207</v>
      </c>
      <c r="L2296" s="56">
        <v>53</v>
      </c>
      <c r="M2296" s="77"/>
      <c r="N2296" s="77"/>
      <c r="O2296">
        <f>_xlfn.XLOOKUP(N2296,'Error-codes'!$C$2:$C$130,'Error-codes'!$B$2:$B$130, "None")</f>
        <v>0</v>
      </c>
      <c r="U2296" s="81">
        <f>DATEVALUE(LEFT(F2296,10))</f>
        <v>45015</v>
      </c>
    </row>
    <row r="2297" spans="1:21">
      <c r="A2297" s="77"/>
      <c r="B2297" s="56" t="s">
        <v>3771</v>
      </c>
      <c r="C2297" s="56" t="s">
        <v>8458</v>
      </c>
      <c r="D2297" s="56" t="s">
        <v>22</v>
      </c>
      <c r="E2297" s="77"/>
      <c r="F2297" s="56" t="s">
        <v>8459</v>
      </c>
      <c r="G2297" s="56">
        <v>137</v>
      </c>
      <c r="H2297" s="56">
        <v>15</v>
      </c>
      <c r="I2297" s="56">
        <v>0.109489051094891</v>
      </c>
      <c r="J2297" s="77"/>
      <c r="K2297" s="56" t="s">
        <v>6550</v>
      </c>
      <c r="L2297" s="56">
        <v>13</v>
      </c>
      <c r="M2297" s="77"/>
      <c r="N2297" s="77"/>
      <c r="O2297">
        <f>_xlfn.XLOOKUP(N2297,'Error-codes'!$C$2:$C$130,'Error-codes'!$B$2:$B$130, "None")</f>
        <v>0</v>
      </c>
      <c r="U2297" s="81">
        <f>DATEVALUE(LEFT(F2297,10))</f>
        <v>45015</v>
      </c>
    </row>
    <row r="2298" spans="1:21">
      <c r="A2298" s="77"/>
      <c r="B2298" s="56" t="s">
        <v>3771</v>
      </c>
      <c r="C2298" s="56" t="s">
        <v>8460</v>
      </c>
      <c r="D2298" s="56" t="s">
        <v>22</v>
      </c>
      <c r="E2298" s="77"/>
      <c r="F2298" s="56" t="s">
        <v>8461</v>
      </c>
      <c r="G2298" s="56">
        <v>56</v>
      </c>
      <c r="H2298" s="56">
        <v>1</v>
      </c>
      <c r="I2298" s="56">
        <v>1.7857142857142998E-2</v>
      </c>
      <c r="J2298" s="77"/>
      <c r="K2298" s="56" t="s">
        <v>8462</v>
      </c>
      <c r="L2298" s="56">
        <v>13</v>
      </c>
      <c r="M2298" s="77"/>
      <c r="N2298" s="77"/>
      <c r="O2298">
        <f>_xlfn.XLOOKUP(N2298,'Error-codes'!$C$2:$C$130,'Error-codes'!$B$2:$B$130, "None")</f>
        <v>0</v>
      </c>
      <c r="U2298" s="81">
        <f>DATEVALUE(LEFT(F2298,10))</f>
        <v>45015</v>
      </c>
    </row>
    <row r="2299" spans="1:21">
      <c r="A2299" s="77"/>
      <c r="B2299" s="56" t="s">
        <v>3771</v>
      </c>
      <c r="C2299" s="56" t="s">
        <v>8463</v>
      </c>
      <c r="D2299" s="56" t="s">
        <v>22</v>
      </c>
      <c r="E2299" s="77"/>
      <c r="F2299" s="56" t="s">
        <v>8464</v>
      </c>
      <c r="G2299" s="56">
        <v>56</v>
      </c>
      <c r="H2299" s="56">
        <v>1</v>
      </c>
      <c r="I2299" s="56">
        <v>1.7857142857142998E-2</v>
      </c>
      <c r="J2299" s="77"/>
      <c r="K2299" s="56" t="s">
        <v>8462</v>
      </c>
      <c r="L2299" s="56">
        <v>13</v>
      </c>
      <c r="M2299" s="77"/>
      <c r="N2299" s="77"/>
      <c r="O2299">
        <f>_xlfn.XLOOKUP(N2299,'Error-codes'!$C$2:$C$130,'Error-codes'!$B$2:$B$130, "None")</f>
        <v>0</v>
      </c>
      <c r="U2299" s="81">
        <f>DATEVALUE(LEFT(F2299,10))</f>
        <v>45015</v>
      </c>
    </row>
    <row r="2300" spans="1:21">
      <c r="A2300" s="77"/>
      <c r="B2300" s="56" t="s">
        <v>3771</v>
      </c>
      <c r="C2300" s="56" t="s">
        <v>8465</v>
      </c>
      <c r="D2300" s="56" t="s">
        <v>22</v>
      </c>
      <c r="E2300" s="77"/>
      <c r="F2300" s="56" t="s">
        <v>8466</v>
      </c>
      <c r="G2300" s="56">
        <v>59</v>
      </c>
      <c r="H2300" s="56">
        <v>3</v>
      </c>
      <c r="I2300" s="56">
        <v>5.0847457627119001E-2</v>
      </c>
      <c r="J2300" s="77"/>
      <c r="K2300" s="56" t="s">
        <v>8462</v>
      </c>
      <c r="L2300" s="56">
        <v>13</v>
      </c>
      <c r="M2300" s="77"/>
      <c r="N2300" s="77"/>
      <c r="O2300">
        <f>_xlfn.XLOOKUP(N2300,'Error-codes'!$C$2:$C$130,'Error-codes'!$B$2:$B$130, "None")</f>
        <v>0</v>
      </c>
      <c r="U2300" s="81">
        <f>DATEVALUE(LEFT(F2300,10))</f>
        <v>45015</v>
      </c>
    </row>
    <row r="2301" spans="1:21">
      <c r="A2301" s="77" t="s">
        <v>8467</v>
      </c>
      <c r="B2301" s="56" t="s">
        <v>3771</v>
      </c>
      <c r="C2301" s="56" t="s">
        <v>8468</v>
      </c>
      <c r="D2301" s="56" t="s">
        <v>37</v>
      </c>
      <c r="E2301" s="77" t="s">
        <v>4564</v>
      </c>
      <c r="F2301" s="56" t="s">
        <v>8469</v>
      </c>
      <c r="G2301" s="56">
        <v>138</v>
      </c>
      <c r="H2301" s="56">
        <v>72</v>
      </c>
      <c r="I2301" s="56">
        <v>0.52173913043478304</v>
      </c>
      <c r="J2301" s="77" t="s">
        <v>8470</v>
      </c>
      <c r="K2301" s="56" t="s">
        <v>6550</v>
      </c>
      <c r="L2301" s="56">
        <v>13</v>
      </c>
      <c r="M2301" s="77" t="s">
        <v>471</v>
      </c>
      <c r="N2301" s="77" t="s">
        <v>3458</v>
      </c>
      <c r="O2301" t="str">
        <f>_xlfn.XLOOKUP(N2301,'Error-codes'!$C$2:$C$130,'Error-codes'!$B$2:$B$130, "None")</f>
        <v>motor drive: UNDER VOLTAGE</v>
      </c>
      <c r="U2301" s="81">
        <f>DATEVALUE(LEFT(F2301,10))</f>
        <v>45015</v>
      </c>
    </row>
    <row r="2302" spans="1:21">
      <c r="A2302" s="77" t="s">
        <v>8471</v>
      </c>
      <c r="B2302" s="56" t="s">
        <v>3771</v>
      </c>
      <c r="C2302" s="56" t="s">
        <v>8472</v>
      </c>
      <c r="D2302" s="56" t="s">
        <v>37</v>
      </c>
      <c r="E2302" s="77" t="s">
        <v>4564</v>
      </c>
      <c r="F2302" s="56" t="s">
        <v>8473</v>
      </c>
      <c r="G2302" s="56">
        <v>65</v>
      </c>
      <c r="H2302" s="56">
        <v>32</v>
      </c>
      <c r="I2302" s="56">
        <v>0.492307692307692</v>
      </c>
      <c r="J2302" s="77" t="s">
        <v>8474</v>
      </c>
      <c r="K2302" s="56" t="s">
        <v>7010</v>
      </c>
      <c r="L2302" s="56">
        <v>13</v>
      </c>
      <c r="M2302" s="77" t="s">
        <v>471</v>
      </c>
      <c r="N2302" s="77" t="s">
        <v>3452</v>
      </c>
      <c r="O2302" t="str">
        <f>_xlfn.XLOOKUP(N2302,'Error-codes'!$C$2:$C$130,'Error-codes'!$B$2:$B$130, "None")</f>
        <v>ytheta sensor error</v>
      </c>
      <c r="U2302" s="81">
        <f>DATEVALUE(LEFT(F2302,10))</f>
        <v>45016</v>
      </c>
    </row>
    <row r="2303" spans="1:21" hidden="1">
      <c r="A2303" s="77" t="s">
        <v>8475</v>
      </c>
      <c r="B2303" s="56" t="s">
        <v>5394</v>
      </c>
      <c r="C2303" s="56" t="s">
        <v>8476</v>
      </c>
      <c r="D2303" s="56" t="s">
        <v>37</v>
      </c>
      <c r="E2303" s="77" t="s">
        <v>4371</v>
      </c>
      <c r="F2303" s="56" t="s">
        <v>8477</v>
      </c>
      <c r="G2303" s="56">
        <v>119</v>
      </c>
      <c r="H2303" s="56">
        <v>113</v>
      </c>
      <c r="I2303" s="56">
        <v>0.94957983193277296</v>
      </c>
      <c r="J2303" s="77" t="s">
        <v>3315</v>
      </c>
      <c r="K2303" s="56" t="s">
        <v>1893</v>
      </c>
      <c r="L2303" s="56">
        <v>10</v>
      </c>
      <c r="M2303" s="77" t="s">
        <v>471</v>
      </c>
      <c r="N2303" s="77" t="s">
        <v>3470</v>
      </c>
      <c r="O2303" t="str">
        <f>_xlfn.XLOOKUP(N2303,'Error-codes'!$C$2:$C$130,'Error-codes'!$B$2:$B$130, "None")</f>
        <v>battery level critical low</v>
      </c>
      <c r="U2303" s="81">
        <f t="shared" ref="U2303:U2308" si="0">DATEVALUE(LEFT(F2303,10))</f>
        <v>45019</v>
      </c>
    </row>
    <row r="2304" spans="1:21" hidden="1">
      <c r="A2304" s="77"/>
      <c r="B2304" s="56" t="s">
        <v>5394</v>
      </c>
      <c r="C2304" s="56" t="s">
        <v>8478</v>
      </c>
      <c r="D2304" s="56" t="s">
        <v>388</v>
      </c>
      <c r="E2304" s="77"/>
      <c r="F2304" s="56" t="s">
        <v>8479</v>
      </c>
      <c r="G2304" s="56">
        <v>120</v>
      </c>
      <c r="H2304" s="56">
        <v>120</v>
      </c>
      <c r="I2304" s="56">
        <v>1</v>
      </c>
      <c r="J2304" s="77"/>
      <c r="K2304" s="56" t="s">
        <v>1873</v>
      </c>
      <c r="L2304" s="56">
        <v>10</v>
      </c>
      <c r="M2304" s="77"/>
      <c r="N2304" s="77"/>
      <c r="O2304">
        <f>_xlfn.XLOOKUP(N2304,'Error-codes'!$C$2:$C$130,'Error-codes'!$B$2:$B$130, "None")</f>
        <v>0</v>
      </c>
      <c r="U2304" s="81">
        <f t="shared" si="0"/>
        <v>45017</v>
      </c>
    </row>
    <row r="2305" spans="1:21" hidden="1">
      <c r="A2305" s="77"/>
      <c r="B2305" s="56" t="s">
        <v>5394</v>
      </c>
      <c r="C2305" s="56" t="s">
        <v>8478</v>
      </c>
      <c r="D2305" s="56" t="s">
        <v>388</v>
      </c>
      <c r="E2305" s="77"/>
      <c r="F2305" s="56" t="s">
        <v>8479</v>
      </c>
      <c r="G2305" s="56">
        <v>120</v>
      </c>
      <c r="H2305" s="56">
        <v>120</v>
      </c>
      <c r="I2305" s="56">
        <v>1</v>
      </c>
      <c r="J2305" s="77"/>
      <c r="K2305" s="56" t="s">
        <v>1873</v>
      </c>
      <c r="L2305" s="56">
        <v>10</v>
      </c>
      <c r="M2305" s="77"/>
      <c r="N2305" s="77"/>
      <c r="O2305">
        <f>_xlfn.XLOOKUP(N2305,'Error-codes'!$C$2:$C$130,'Error-codes'!$B$2:$B$130, "None")</f>
        <v>0</v>
      </c>
      <c r="U2305" s="81">
        <f t="shared" si="0"/>
        <v>45017</v>
      </c>
    </row>
    <row r="2306" spans="1:21">
      <c r="A2306" s="77"/>
      <c r="B2306" s="56" t="s">
        <v>5394</v>
      </c>
      <c r="C2306" s="56" t="s">
        <v>8480</v>
      </c>
      <c r="D2306" s="56" t="s">
        <v>388</v>
      </c>
      <c r="E2306" s="77"/>
      <c r="F2306" s="56" t="s">
        <v>8481</v>
      </c>
      <c r="G2306" s="56">
        <v>120</v>
      </c>
      <c r="H2306" s="56">
        <v>120</v>
      </c>
      <c r="I2306" s="56">
        <v>1</v>
      </c>
      <c r="J2306" s="77"/>
      <c r="K2306" s="56" t="s">
        <v>1893</v>
      </c>
      <c r="L2306" s="56">
        <v>10</v>
      </c>
      <c r="M2306" s="77"/>
      <c r="N2306" s="77"/>
      <c r="O2306">
        <f>_xlfn.XLOOKUP(N2306,'Error-codes'!$C$2:$C$130,'Error-codes'!$B$2:$B$130, "None")</f>
        <v>0</v>
      </c>
      <c r="U2306" s="81">
        <f t="shared" si="0"/>
        <v>45016</v>
      </c>
    </row>
    <row r="2307" spans="1:21">
      <c r="A2307" s="77"/>
      <c r="B2307" s="56" t="s">
        <v>5394</v>
      </c>
      <c r="C2307" s="56" t="s">
        <v>8480</v>
      </c>
      <c r="D2307" s="56" t="s">
        <v>388</v>
      </c>
      <c r="E2307" s="77"/>
      <c r="F2307" s="56" t="s">
        <v>8481</v>
      </c>
      <c r="G2307" s="56">
        <v>120</v>
      </c>
      <c r="H2307" s="56">
        <v>120</v>
      </c>
      <c r="I2307" s="56">
        <v>1</v>
      </c>
      <c r="J2307" s="77"/>
      <c r="K2307" s="56" t="s">
        <v>1893</v>
      </c>
      <c r="L2307" s="56">
        <v>10</v>
      </c>
      <c r="M2307" s="77"/>
      <c r="N2307" s="77"/>
      <c r="O2307">
        <f>_xlfn.XLOOKUP(N2307,'Error-codes'!$C$2:$C$130,'Error-codes'!$B$2:$B$130, "None")</f>
        <v>0</v>
      </c>
      <c r="U2307" s="81">
        <f t="shared" si="0"/>
        <v>45016</v>
      </c>
    </row>
    <row r="2308" spans="1:21">
      <c r="A2308" s="77"/>
      <c r="B2308" s="56" t="s">
        <v>5394</v>
      </c>
      <c r="C2308" s="56" t="s">
        <v>8482</v>
      </c>
      <c r="D2308" s="56" t="s">
        <v>22</v>
      </c>
      <c r="E2308" s="77"/>
      <c r="F2308" s="56" t="s">
        <v>8483</v>
      </c>
      <c r="G2308" s="56">
        <v>119</v>
      </c>
      <c r="H2308" s="56">
        <v>4</v>
      </c>
      <c r="I2308" s="56">
        <v>3.3613445378151002E-2</v>
      </c>
      <c r="J2308" s="77"/>
      <c r="K2308" s="56" t="s">
        <v>1873</v>
      </c>
      <c r="L2308" s="56">
        <v>10</v>
      </c>
      <c r="M2308" s="77"/>
      <c r="N2308" s="77"/>
      <c r="O2308">
        <f>_xlfn.XLOOKUP(N2308,'Error-codes'!$C$2:$C$130,'Error-codes'!$B$2:$B$130, "None")</f>
        <v>0</v>
      </c>
      <c r="U2308" s="81">
        <f t="shared" si="0"/>
        <v>45015</v>
      </c>
    </row>
    <row r="2309" spans="1:21" hidden="1">
      <c r="A2309" s="77"/>
      <c r="B2309" s="56" t="s">
        <v>3263</v>
      </c>
      <c r="C2309" s="56" t="s">
        <v>8484</v>
      </c>
      <c r="D2309" s="56" t="s">
        <v>388</v>
      </c>
      <c r="E2309" s="77"/>
      <c r="F2309" s="56" t="s">
        <v>8485</v>
      </c>
      <c r="G2309" s="56">
        <v>81</v>
      </c>
      <c r="H2309" s="56">
        <v>81</v>
      </c>
      <c r="I2309" s="56">
        <v>1</v>
      </c>
      <c r="J2309" s="77"/>
      <c r="K2309" s="56" t="s">
        <v>3268</v>
      </c>
      <c r="L2309" s="56">
        <v>22</v>
      </c>
      <c r="M2309" s="77"/>
      <c r="N2309" s="77"/>
      <c r="O2309">
        <f>_xlfn.XLOOKUP(N2309,'Error-codes'!$C$2:$C$130,'Error-codes'!$B$2:$B$130, "None")</f>
        <v>0</v>
      </c>
      <c r="U2309" s="81">
        <f t="shared" ref="U2309:U2316" si="1">DATEVALUE(LEFT(F2309,10))</f>
        <v>45018</v>
      </c>
    </row>
    <row r="2310" spans="1:21" hidden="1">
      <c r="A2310" s="77"/>
      <c r="B2310" s="56" t="s">
        <v>3263</v>
      </c>
      <c r="C2310" s="56" t="s">
        <v>8484</v>
      </c>
      <c r="D2310" s="56" t="s">
        <v>388</v>
      </c>
      <c r="E2310" s="77"/>
      <c r="F2310" s="56" t="s">
        <v>8485</v>
      </c>
      <c r="G2310" s="56">
        <v>81</v>
      </c>
      <c r="H2310" s="56">
        <v>81</v>
      </c>
      <c r="I2310" s="56">
        <v>1</v>
      </c>
      <c r="J2310" s="77"/>
      <c r="K2310" s="56" t="s">
        <v>3268</v>
      </c>
      <c r="L2310" s="56">
        <v>22</v>
      </c>
      <c r="M2310" s="77"/>
      <c r="N2310" s="77"/>
      <c r="O2310">
        <f>_xlfn.XLOOKUP(N2310,'Error-codes'!$C$2:$C$130,'Error-codes'!$B$2:$B$130, "None")</f>
        <v>0</v>
      </c>
      <c r="U2310" s="81">
        <f t="shared" si="1"/>
        <v>45018</v>
      </c>
    </row>
    <row r="2311" spans="1:21" hidden="1">
      <c r="A2311" s="77"/>
      <c r="B2311" s="56" t="s">
        <v>3263</v>
      </c>
      <c r="C2311" s="56" t="s">
        <v>8486</v>
      </c>
      <c r="D2311" s="56"/>
      <c r="E2311" s="77"/>
      <c r="F2311" s="56" t="s">
        <v>8487</v>
      </c>
      <c r="G2311" s="56">
        <v>7</v>
      </c>
      <c r="H2311" s="56">
        <v>5</v>
      </c>
      <c r="I2311" s="56">
        <v>0.71428571428571397</v>
      </c>
      <c r="J2311" s="77"/>
      <c r="K2311" s="56" t="s">
        <v>3280</v>
      </c>
      <c r="L2311" s="56">
        <v>22</v>
      </c>
      <c r="M2311" s="77"/>
      <c r="N2311" s="77"/>
      <c r="O2311">
        <f>_xlfn.XLOOKUP(N2311,'Error-codes'!$C$2:$C$130,'Error-codes'!$B$2:$B$130, "None")</f>
        <v>0</v>
      </c>
      <c r="U2311" s="81">
        <f t="shared" si="1"/>
        <v>45017</v>
      </c>
    </row>
    <row r="2312" spans="1:21" hidden="1">
      <c r="A2312" s="77" t="s">
        <v>8488</v>
      </c>
      <c r="B2312" s="56" t="s">
        <v>3263</v>
      </c>
      <c r="C2312" s="56" t="s">
        <v>8489</v>
      </c>
      <c r="D2312" s="56" t="s">
        <v>37</v>
      </c>
      <c r="E2312" s="77" t="s">
        <v>4398</v>
      </c>
      <c r="F2312" s="56" t="s">
        <v>8490</v>
      </c>
      <c r="G2312" s="56">
        <v>6</v>
      </c>
      <c r="H2312" s="56">
        <v>1</v>
      </c>
      <c r="I2312" s="56">
        <v>0.16666666666666699</v>
      </c>
      <c r="J2312" s="77" t="s">
        <v>3279</v>
      </c>
      <c r="K2312" s="56" t="s">
        <v>3280</v>
      </c>
      <c r="L2312" s="56">
        <v>22</v>
      </c>
      <c r="M2312" s="77" t="s">
        <v>471</v>
      </c>
      <c r="N2312" s="77" t="s">
        <v>3466</v>
      </c>
      <c r="O2312" t="str">
        <f>_xlfn.XLOOKUP(N2312,'Error-codes'!$C$2:$C$130,'Error-codes'!$B$2:$B$130, "None")</f>
        <v>vision error</v>
      </c>
      <c r="U2312" s="81">
        <f t="shared" si="1"/>
        <v>45017</v>
      </c>
    </row>
    <row r="2313" spans="1:21" hidden="1">
      <c r="A2313" s="77" t="s">
        <v>8488</v>
      </c>
      <c r="B2313" s="56" t="s">
        <v>3263</v>
      </c>
      <c r="C2313" s="56" t="s">
        <v>8491</v>
      </c>
      <c r="D2313" s="56" t="s">
        <v>37</v>
      </c>
      <c r="E2313" s="77" t="s">
        <v>4398</v>
      </c>
      <c r="F2313" s="56" t="s">
        <v>8490</v>
      </c>
      <c r="G2313" s="56">
        <v>7</v>
      </c>
      <c r="H2313" s="56">
        <v>1</v>
      </c>
      <c r="I2313" s="56">
        <v>0.14285714285714299</v>
      </c>
      <c r="J2313" s="77" t="s">
        <v>3279</v>
      </c>
      <c r="K2313" s="56" t="s">
        <v>3280</v>
      </c>
      <c r="L2313" s="56">
        <v>22</v>
      </c>
      <c r="M2313" s="77" t="s">
        <v>471</v>
      </c>
      <c r="N2313" s="77" t="s">
        <v>3466</v>
      </c>
      <c r="O2313" t="str">
        <f>_xlfn.XLOOKUP(N2313,'Error-codes'!$C$2:$C$130,'Error-codes'!$B$2:$B$130, "None")</f>
        <v>vision error</v>
      </c>
      <c r="U2313" s="81">
        <f t="shared" si="1"/>
        <v>45017</v>
      </c>
    </row>
    <row r="2314" spans="1:21" hidden="1">
      <c r="A2314" s="77" t="s">
        <v>8492</v>
      </c>
      <c r="B2314" s="56" t="s">
        <v>3263</v>
      </c>
      <c r="C2314" s="56" t="s">
        <v>8493</v>
      </c>
      <c r="D2314" s="56" t="s">
        <v>37</v>
      </c>
      <c r="E2314" s="77" t="s">
        <v>4398</v>
      </c>
      <c r="F2314" s="56" t="s">
        <v>8494</v>
      </c>
      <c r="G2314" s="56">
        <v>82</v>
      </c>
      <c r="H2314" s="56">
        <v>2</v>
      </c>
      <c r="I2314" s="56">
        <v>2.4390243902439001E-2</v>
      </c>
      <c r="J2314" s="77" t="s">
        <v>3279</v>
      </c>
      <c r="K2314" s="56" t="s">
        <v>3280</v>
      </c>
      <c r="L2314" s="56">
        <v>22</v>
      </c>
      <c r="M2314" s="77" t="s">
        <v>471</v>
      </c>
      <c r="N2314" s="77" t="s">
        <v>3466</v>
      </c>
      <c r="O2314" t="str">
        <f>_xlfn.XLOOKUP(N2314,'Error-codes'!$C$2:$C$130,'Error-codes'!$B$2:$B$130, "None")</f>
        <v>vision error</v>
      </c>
      <c r="U2314" s="81">
        <f t="shared" si="1"/>
        <v>45017</v>
      </c>
    </row>
    <row r="2315" spans="1:21">
      <c r="A2315" s="77"/>
      <c r="B2315" s="56" t="s">
        <v>3263</v>
      </c>
      <c r="C2315" s="56" t="s">
        <v>8495</v>
      </c>
      <c r="D2315" s="56" t="s">
        <v>388</v>
      </c>
      <c r="E2315" s="77"/>
      <c r="F2315" s="56" t="s">
        <v>8496</v>
      </c>
      <c r="G2315" s="56">
        <v>81</v>
      </c>
      <c r="H2315" s="56">
        <v>81</v>
      </c>
      <c r="I2315" s="56">
        <v>1</v>
      </c>
      <c r="J2315" s="77"/>
      <c r="K2315" s="56" t="s">
        <v>3268</v>
      </c>
      <c r="L2315" s="56">
        <v>22</v>
      </c>
      <c r="M2315" s="77"/>
      <c r="N2315" s="77"/>
      <c r="O2315">
        <f>_xlfn.XLOOKUP(N2315,'Error-codes'!$C$2:$C$130,'Error-codes'!$B$2:$B$130, "None")</f>
        <v>0</v>
      </c>
      <c r="U2315" s="81">
        <f t="shared" si="1"/>
        <v>45016</v>
      </c>
    </row>
    <row r="2316" spans="1:21">
      <c r="A2316" s="77"/>
      <c r="B2316" s="56" t="s">
        <v>3263</v>
      </c>
      <c r="C2316" s="56" t="s">
        <v>8495</v>
      </c>
      <c r="D2316" s="56" t="s">
        <v>388</v>
      </c>
      <c r="E2316" s="77"/>
      <c r="F2316" s="56" t="s">
        <v>8496</v>
      </c>
      <c r="G2316" s="56">
        <v>81</v>
      </c>
      <c r="H2316" s="56">
        <v>81</v>
      </c>
      <c r="I2316" s="56">
        <v>1</v>
      </c>
      <c r="J2316" s="77"/>
      <c r="K2316" s="56" t="s">
        <v>3268</v>
      </c>
      <c r="L2316" s="56">
        <v>22</v>
      </c>
      <c r="M2316" s="77"/>
      <c r="N2316" s="77"/>
      <c r="O2316">
        <f>_xlfn.XLOOKUP(N2316,'Error-codes'!$C$2:$C$130,'Error-codes'!$B$2:$B$130, "None")</f>
        <v>0</v>
      </c>
      <c r="U2316" s="81">
        <f t="shared" si="1"/>
        <v>45016</v>
      </c>
    </row>
  </sheetData>
  <hyperlinks>
    <hyperlink ref="Q20" r:id="rId1" xr:uid="{6B874DD1-FE8B-4022-973E-9A9EC3E7302A}"/>
    <hyperlink ref="Q12" r:id="rId2" xr:uid="{39B806A3-9E72-46AF-AC0E-79C1C4632FEA}"/>
    <hyperlink ref="Q39" r:id="rId3" xr:uid="{A763A40F-F3DD-45F0-BF10-C7C7B442EC75}"/>
    <hyperlink ref="Q41" r:id="rId4" xr:uid="{01D66910-26C5-456E-981E-0386C9904C87}"/>
    <hyperlink ref="Q53" r:id="rId5" xr:uid="{AD0BCF30-8C6D-4648-B1F1-05A91921B63D}"/>
    <hyperlink ref="T72" r:id="rId6" xr:uid="{43460F9B-BCCE-43C1-9E32-51830E13ACFE}"/>
    <hyperlink ref="T65" r:id="rId7" xr:uid="{1C48B237-3BBC-4B57-9CA0-3D87418B09D0}"/>
    <hyperlink ref="Q73" r:id="rId8" xr:uid="{126F033C-F218-4460-9E27-8C40EA199C2C}"/>
    <hyperlink ref="Q75" r:id="rId9" xr:uid="{8A929E3F-AC43-4FB7-8311-560EB054012A}"/>
    <hyperlink ref="Q80" r:id="rId10" xr:uid="{40B799E7-C5D6-4841-8B7E-EEECC1C7B7BB}"/>
    <hyperlink ref="Q87" r:id="rId11" xr:uid="{46154DF9-93B8-4058-BF83-CA4E1DFE4246}"/>
    <hyperlink ref="Q123" r:id="rId12" xr:uid="{BE876CA5-4878-4869-8D41-7B5564DB02A3}"/>
    <hyperlink ref="Q168" r:id="rId13" display="20221024" xr:uid="{087D8637-8649-4835-BDEE-938A90FAD7EC}"/>
    <hyperlink ref="Q153" r:id="rId14" display="20221024" xr:uid="{E9025F5B-5523-4B9F-A487-CEAC87B0F6CC}"/>
    <hyperlink ref="Q149" r:id="rId15" display="20221024" xr:uid="{21C315DA-EC8E-4365-911A-77916DC0A7D8}"/>
    <hyperlink ref="Q117" r:id="rId16" display="20221024" xr:uid="{BA6ED27E-BF69-4F22-B14F-E3D97B8CDE5A}"/>
    <hyperlink ref="Q111" r:id="rId17" display="20221024" xr:uid="{E47CC104-78B5-4EDC-8F96-7737F0EE7FB2}"/>
    <hyperlink ref="Q178" r:id="rId18" display="20221024" xr:uid="{30440774-BAAF-4FBC-8898-767BAF6BFD34}"/>
    <hyperlink ref="Q131" r:id="rId19" xr:uid="{2D74911A-FBE4-48A1-A7F3-2AF6093FB5B5}"/>
    <hyperlink ref="Q175" r:id="rId20" display="20221026" xr:uid="{8E251D2E-5B5B-4B9C-B373-47EA3FDD2725}"/>
    <hyperlink ref="Q213" r:id="rId21" xr:uid="{81294B35-07EF-46D4-97E0-542B7F837F2B}"/>
    <hyperlink ref="Q209" r:id="rId22" xr:uid="{FDF7AF4A-69F3-4FE1-ADB8-70214FCE50A7}"/>
    <hyperlink ref="Q152" r:id="rId23" display="20221024" xr:uid="{4B0AA6EC-254E-4E7D-B8C4-95BD479A3BC4}"/>
    <hyperlink ref="Q189" r:id="rId24" xr:uid="{CCB1F6E0-F06F-4CF0-9841-D126A6AFEEC1}"/>
    <hyperlink ref="Q190" r:id="rId25" xr:uid="{A3773012-9E35-46FA-A7A4-9C60CA935C5F}"/>
    <hyperlink ref="Q192" r:id="rId26" xr:uid="{6A491A31-5006-49B4-80E7-744C47CE8527}"/>
    <hyperlink ref="Q193" r:id="rId27" xr:uid="{319929AE-9F9F-428F-A9A3-3C061B854A29}"/>
    <hyperlink ref="Q204" r:id="rId28" xr:uid="{FCA2696F-5BEC-4B9D-96C6-C847F448089C}"/>
    <hyperlink ref="Q211" r:id="rId29" xr:uid="{5A85FA60-D2B4-4A50-81AA-9ADAB152637C}"/>
    <hyperlink ref="Q223" r:id="rId30" xr:uid="{FF43259B-95CD-4764-A70A-97C70844378B}"/>
    <hyperlink ref="Q225" r:id="rId31" xr:uid="{0ECB0511-DD93-4827-9703-5A19DC3CA51B}"/>
    <hyperlink ref="Q227" r:id="rId32" xr:uid="{C150652C-EB6C-4D2E-9A52-620DFE3549AE}"/>
    <hyperlink ref="Q279" r:id="rId33" xr:uid="{78668CEB-2C5B-4DB2-9E6C-9D0CD88E1BCF}"/>
    <hyperlink ref="Q280" r:id="rId34" xr:uid="{D8CC9635-4753-4497-9C57-D64A55737FC5}"/>
    <hyperlink ref="Q414" r:id="rId35" xr:uid="{0467BFDA-613C-452C-8D8B-524F0807343C}"/>
    <hyperlink ref="Q420" r:id="rId36" xr:uid="{65EFF90D-9B03-44B7-9C7D-28ECAD9AE10F}"/>
    <hyperlink ref="Q419" r:id="rId37" xr:uid="{540AA26D-FB29-4EA8-974B-1D126A8FFBE9}"/>
    <hyperlink ref="Q455" r:id="rId38" xr:uid="{A02AB0E9-3152-4E17-829E-535E7A1ED525}"/>
    <hyperlink ref="Q454" r:id="rId39" xr:uid="{E58D5C9E-FAEC-4B96-8D3C-1754716CD7DD}"/>
    <hyperlink ref="Q448" r:id="rId40" xr:uid="{051BE640-6F64-4DB8-96DB-FF45CBBB5152}"/>
    <hyperlink ref="Q456" r:id="rId41" xr:uid="{CA504B2C-3A3C-44C6-ADAE-E59FE69A4EB0}"/>
    <hyperlink ref="Q446" r:id="rId42" xr:uid="{209B0167-D937-4742-A87D-DC198928E9E7}"/>
    <hyperlink ref="Q445" r:id="rId43" xr:uid="{2A6691C7-B1E6-43D0-B254-DEA6003EA8E3}"/>
    <hyperlink ref="Q444" r:id="rId44" xr:uid="{BAABC184-4D83-4E1D-840B-A0706442BD48}"/>
    <hyperlink ref="Q443" r:id="rId45" xr:uid="{DB8BF6D7-55F4-48F1-B9D6-F5D453315254}"/>
    <hyperlink ref="Q571" r:id="rId46" xr:uid="{32F03A30-E3A9-49A2-80B3-7FF823165726}"/>
    <hyperlink ref="Q603" r:id="rId47" xr:uid="{6BD583DE-CCC9-4BE6-BD77-A05AFDE6C2AE}"/>
    <hyperlink ref="Q549" r:id="rId48" xr:uid="{A3BFA94E-2598-4E7F-9D7E-7197F1BB1B32}"/>
  </hyperlinks>
  <pageMargins left="0.7" right="0.7" top="0.75" bottom="0.75" header="0.3" footer="0.3"/>
  <tableParts count="1">
    <tablePart r:id="rId49"/>
  </tableParts>
  <extLst>
    <ext xmlns:x14="http://schemas.microsoft.com/office/spreadsheetml/2009/9/main" uri="{CCE6A557-97BC-4b89-ADB6-D9C93CAAB3DF}">
      <x14:dataValidations xmlns:xm="http://schemas.microsoft.com/office/excel/2006/main" count="2">
        <x14:dataValidation type="list" allowBlank="1" showInputMessage="1" showErrorMessage="1" xr:uid="{F2636DD8-6737-46E6-B064-745F07DF203D}">
          <x14:formula1>
            <xm:f>ProblemIDs!$B$2:$B$111</xm:f>
          </x14:formula1>
          <xm:sqref>R1399:R1401 R1203:R1385 R1416:R1623 R865:R1201</xm:sqref>
        </x14:dataValidation>
        <x14:dataValidation type="list" showInputMessage="1" showErrorMessage="1" xr:uid="{11658BB2-E6C2-43D2-8E82-D2F4F49EE6CA}">
          <x14:formula1>
            <xm:f>ProblemIDs!$B$2:$B$111</xm:f>
          </x14:formula1>
          <xm:sqref>R1202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A8066-20ED-4777-9FD9-529B2CE242BB}">
  <dimension ref="A4:L34"/>
  <sheetViews>
    <sheetView workbookViewId="0">
      <selection activeCell="A8" sqref="A8"/>
    </sheetView>
  </sheetViews>
  <sheetFormatPr defaultRowHeight="15"/>
  <cols>
    <col min="1" max="1" width="13.5703125" bestFit="1" customWidth="1"/>
    <col min="2" max="2" width="18.42578125" bestFit="1" customWidth="1"/>
    <col min="3" max="11" width="14.140625" bestFit="1" customWidth="1"/>
    <col min="12" max="13" width="11.7109375" bestFit="1" customWidth="1"/>
    <col min="14" max="14" width="18.5703125" bestFit="1" customWidth="1"/>
    <col min="15" max="15" width="7.42578125" bestFit="1" customWidth="1"/>
    <col min="16" max="16" width="11.7109375" bestFit="1" customWidth="1"/>
  </cols>
  <sheetData>
    <row r="4" spans="1:12">
      <c r="A4" s="80" t="s">
        <v>2914</v>
      </c>
      <c r="B4" t="s">
        <v>3480</v>
      </c>
    </row>
    <row r="6" spans="1:12">
      <c r="A6" s="80" t="s">
        <v>8497</v>
      </c>
      <c r="C6" s="80" t="s">
        <v>2911</v>
      </c>
    </row>
    <row r="7" spans="1:12">
      <c r="A7" s="80" t="s">
        <v>2923</v>
      </c>
      <c r="B7" s="80" t="s">
        <v>3481</v>
      </c>
      <c r="C7" t="s">
        <v>295</v>
      </c>
      <c r="D7" t="s">
        <v>29</v>
      </c>
      <c r="E7" t="s">
        <v>2886</v>
      </c>
      <c r="F7" t="s">
        <v>228</v>
      </c>
      <c r="G7" t="s">
        <v>3202</v>
      </c>
      <c r="H7" t="s">
        <v>3293</v>
      </c>
      <c r="I7" t="s">
        <v>5394</v>
      </c>
      <c r="J7" t="s">
        <v>3771</v>
      </c>
      <c r="K7" t="s">
        <v>3263</v>
      </c>
      <c r="L7" t="s">
        <v>3483</v>
      </c>
    </row>
    <row r="8" spans="1:12">
      <c r="A8" t="s">
        <v>3454</v>
      </c>
      <c r="C8">
        <v>5</v>
      </c>
      <c r="D8">
        <v>1</v>
      </c>
      <c r="E8">
        <v>2</v>
      </c>
      <c r="G8">
        <v>1</v>
      </c>
      <c r="H8">
        <v>1</v>
      </c>
      <c r="I8">
        <v>1</v>
      </c>
      <c r="J8">
        <v>1</v>
      </c>
      <c r="K8">
        <v>1</v>
      </c>
      <c r="L8">
        <v>13</v>
      </c>
    </row>
    <row r="9" spans="1:12">
      <c r="A9" t="s">
        <v>2933</v>
      </c>
      <c r="D9">
        <v>1</v>
      </c>
      <c r="E9">
        <v>4</v>
      </c>
      <c r="F9">
        <v>3</v>
      </c>
      <c r="G9">
        <v>1</v>
      </c>
      <c r="H9">
        <v>2</v>
      </c>
      <c r="K9">
        <v>1</v>
      </c>
      <c r="L9">
        <v>12</v>
      </c>
    </row>
    <row r="10" spans="1:12">
      <c r="A10" t="s">
        <v>3458</v>
      </c>
      <c r="D10">
        <v>5</v>
      </c>
      <c r="E10">
        <v>2</v>
      </c>
      <c r="F10">
        <v>1</v>
      </c>
      <c r="H10">
        <v>1</v>
      </c>
      <c r="J10">
        <v>3</v>
      </c>
      <c r="L10">
        <v>12</v>
      </c>
    </row>
    <row r="11" spans="1:12">
      <c r="A11" t="s">
        <v>3452</v>
      </c>
      <c r="J11">
        <v>10</v>
      </c>
      <c r="L11">
        <v>10</v>
      </c>
    </row>
    <row r="12" spans="1:12">
      <c r="A12" t="s">
        <v>3466</v>
      </c>
      <c r="C12">
        <v>2</v>
      </c>
      <c r="D12">
        <v>1</v>
      </c>
      <c r="E12">
        <v>1</v>
      </c>
      <c r="F12">
        <v>2</v>
      </c>
      <c r="I12">
        <v>3</v>
      </c>
      <c r="L12">
        <v>9</v>
      </c>
    </row>
    <row r="13" spans="1:12">
      <c r="A13" t="s">
        <v>3432</v>
      </c>
      <c r="I13">
        <v>2</v>
      </c>
      <c r="J13">
        <v>7</v>
      </c>
      <c r="L13">
        <v>9</v>
      </c>
    </row>
    <row r="14" spans="1:12">
      <c r="A14" t="s">
        <v>3460</v>
      </c>
      <c r="E14">
        <v>2</v>
      </c>
      <c r="F14">
        <v>1</v>
      </c>
      <c r="H14">
        <v>2</v>
      </c>
      <c r="I14">
        <v>2</v>
      </c>
      <c r="J14">
        <v>1</v>
      </c>
      <c r="L14">
        <v>8</v>
      </c>
    </row>
    <row r="15" spans="1:12">
      <c r="A15" t="s">
        <v>3450</v>
      </c>
      <c r="C15">
        <v>1</v>
      </c>
      <c r="D15">
        <v>1</v>
      </c>
      <c r="F15">
        <v>1</v>
      </c>
      <c r="G15">
        <v>1</v>
      </c>
      <c r="H15">
        <v>1</v>
      </c>
      <c r="I15">
        <v>2</v>
      </c>
      <c r="L15">
        <v>7</v>
      </c>
    </row>
    <row r="16" spans="1:12">
      <c r="A16" t="s">
        <v>3456</v>
      </c>
      <c r="D16">
        <v>3</v>
      </c>
      <c r="E16">
        <v>1</v>
      </c>
      <c r="G16">
        <v>3</v>
      </c>
      <c r="L16">
        <v>7</v>
      </c>
    </row>
    <row r="17" spans="1:12">
      <c r="A17" t="s">
        <v>3470</v>
      </c>
      <c r="C17">
        <v>1</v>
      </c>
      <c r="D17">
        <v>1</v>
      </c>
      <c r="E17">
        <v>1</v>
      </c>
      <c r="F17">
        <v>2</v>
      </c>
      <c r="K17">
        <v>1</v>
      </c>
      <c r="L17">
        <v>6</v>
      </c>
    </row>
    <row r="18" spans="1:12">
      <c r="A18" t="s">
        <v>3472</v>
      </c>
      <c r="C18">
        <v>1</v>
      </c>
      <c r="D18">
        <v>2</v>
      </c>
      <c r="I18">
        <v>2</v>
      </c>
      <c r="L18">
        <v>5</v>
      </c>
    </row>
    <row r="19" spans="1:12">
      <c r="A19" t="s">
        <v>7417</v>
      </c>
      <c r="D19">
        <v>5</v>
      </c>
      <c r="L19">
        <v>5</v>
      </c>
    </row>
    <row r="20" spans="1:12">
      <c r="A20" t="s">
        <v>3438</v>
      </c>
      <c r="J20">
        <v>4</v>
      </c>
      <c r="L20">
        <v>4</v>
      </c>
    </row>
    <row r="21" spans="1:12">
      <c r="A21" t="s">
        <v>3476</v>
      </c>
      <c r="D21">
        <v>1</v>
      </c>
      <c r="I21">
        <v>1</v>
      </c>
      <c r="J21">
        <v>2</v>
      </c>
      <c r="L21">
        <v>4</v>
      </c>
    </row>
    <row r="22" spans="1:12">
      <c r="A22" t="s">
        <v>3440</v>
      </c>
      <c r="C22">
        <v>1</v>
      </c>
      <c r="J22">
        <v>2</v>
      </c>
      <c r="K22">
        <v>1</v>
      </c>
      <c r="L22">
        <v>4</v>
      </c>
    </row>
    <row r="23" spans="1:12">
      <c r="A23" t="s">
        <v>3462</v>
      </c>
      <c r="D23">
        <v>2</v>
      </c>
      <c r="F23">
        <v>2</v>
      </c>
      <c r="L23">
        <v>4</v>
      </c>
    </row>
    <row r="24" spans="1:12">
      <c r="A24" t="s">
        <v>3468</v>
      </c>
      <c r="C24">
        <v>1</v>
      </c>
      <c r="D24">
        <v>2</v>
      </c>
      <c r="E24">
        <v>1</v>
      </c>
      <c r="L24">
        <v>4</v>
      </c>
    </row>
    <row r="25" spans="1:12">
      <c r="A25" t="s">
        <v>3444</v>
      </c>
      <c r="C25">
        <v>1</v>
      </c>
      <c r="D25">
        <v>2</v>
      </c>
      <c r="H25">
        <v>1</v>
      </c>
      <c r="L25">
        <v>4</v>
      </c>
    </row>
    <row r="26" spans="1:12">
      <c r="A26" t="s">
        <v>3426</v>
      </c>
      <c r="D26">
        <v>1</v>
      </c>
      <c r="F26">
        <v>1</v>
      </c>
      <c r="J26">
        <v>1</v>
      </c>
      <c r="L26">
        <v>3</v>
      </c>
    </row>
    <row r="27" spans="1:12">
      <c r="A27" t="s">
        <v>3446</v>
      </c>
      <c r="D27">
        <v>2</v>
      </c>
      <c r="I27">
        <v>1</v>
      </c>
      <c r="L27">
        <v>3</v>
      </c>
    </row>
    <row r="28" spans="1:12">
      <c r="A28" t="s">
        <v>3442</v>
      </c>
      <c r="D28">
        <v>2</v>
      </c>
      <c r="L28">
        <v>2</v>
      </c>
    </row>
    <row r="29" spans="1:12">
      <c r="A29" t="s">
        <v>3448</v>
      </c>
      <c r="D29">
        <v>1</v>
      </c>
      <c r="J29">
        <v>1</v>
      </c>
      <c r="L29">
        <v>2</v>
      </c>
    </row>
    <row r="30" spans="1:12">
      <c r="A30" t="s">
        <v>3474</v>
      </c>
      <c r="F30">
        <v>1</v>
      </c>
      <c r="L30">
        <v>1</v>
      </c>
    </row>
    <row r="31" spans="1:12">
      <c r="A31" t="s">
        <v>6820</v>
      </c>
      <c r="I31">
        <v>1</v>
      </c>
      <c r="L31">
        <v>1</v>
      </c>
    </row>
    <row r="32" spans="1:12">
      <c r="A32" t="s">
        <v>7061</v>
      </c>
      <c r="I32">
        <v>1</v>
      </c>
      <c r="L32">
        <v>1</v>
      </c>
    </row>
    <row r="33" spans="1:12">
      <c r="A33" t="s">
        <v>5798</v>
      </c>
      <c r="J33">
        <v>1</v>
      </c>
      <c r="L33">
        <v>1</v>
      </c>
    </row>
    <row r="34" spans="1:12">
      <c r="A34" t="s">
        <v>3483</v>
      </c>
      <c r="C34">
        <v>13</v>
      </c>
      <c r="D34">
        <v>33</v>
      </c>
      <c r="E34">
        <v>14</v>
      </c>
      <c r="F34">
        <v>14</v>
      </c>
      <c r="G34">
        <v>6</v>
      </c>
      <c r="H34">
        <v>8</v>
      </c>
      <c r="I34">
        <v>16</v>
      </c>
      <c r="J34">
        <v>33</v>
      </c>
      <c r="K34">
        <v>4</v>
      </c>
      <c r="L34">
        <v>141</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4A494-C795-4F53-AFCC-A8579E4525D1}">
  <dimension ref="A1:C9"/>
  <sheetViews>
    <sheetView workbookViewId="0">
      <selection activeCell="A9" sqref="A9"/>
    </sheetView>
  </sheetViews>
  <sheetFormatPr defaultRowHeight="15"/>
  <cols>
    <col min="1" max="1" width="40.28515625" bestFit="1" customWidth="1"/>
    <col min="2" max="2" width="13.5703125" bestFit="1" customWidth="1"/>
    <col min="3" max="3" width="17.7109375" bestFit="1" customWidth="1"/>
    <col min="4" max="22" width="11.85546875" bestFit="1" customWidth="1"/>
    <col min="23" max="23" width="12" bestFit="1" customWidth="1"/>
    <col min="24" max="33" width="11.85546875" bestFit="1" customWidth="1"/>
    <col min="34" max="34" width="7.42578125" bestFit="1" customWidth="1"/>
    <col min="35" max="35" width="11.7109375" bestFit="1" customWidth="1"/>
  </cols>
  <sheetData>
    <row r="1" spans="1:3">
      <c r="A1" s="80" t="s">
        <v>2911</v>
      </c>
      <c r="B1" t="s">
        <v>3479</v>
      </c>
    </row>
    <row r="2" spans="1:3">
      <c r="A2" s="80" t="s">
        <v>2914</v>
      </c>
      <c r="B2" t="s">
        <v>3479</v>
      </c>
    </row>
    <row r="3" spans="1:3">
      <c r="A3" s="80" t="s">
        <v>2923</v>
      </c>
      <c r="B3" t="s">
        <v>3479</v>
      </c>
    </row>
    <row r="5" spans="1:3">
      <c r="A5" s="80" t="s">
        <v>2927</v>
      </c>
      <c r="B5" s="80" t="s">
        <v>3481</v>
      </c>
      <c r="C5" t="s">
        <v>8498</v>
      </c>
    </row>
    <row r="6" spans="1:3">
      <c r="A6" t="s">
        <v>2901</v>
      </c>
      <c r="C6">
        <v>15</v>
      </c>
    </row>
    <row r="7" spans="1:3">
      <c r="A7" t="s">
        <v>2908</v>
      </c>
      <c r="C7">
        <v>1</v>
      </c>
    </row>
    <row r="8" spans="1:3">
      <c r="A8" t="s">
        <v>2897</v>
      </c>
      <c r="C8">
        <v>1</v>
      </c>
    </row>
    <row r="9" spans="1:3">
      <c r="A9" t="s">
        <v>3483</v>
      </c>
      <c r="C9">
        <v>17</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EDEC3-02B0-4409-A34E-DAA111E54918}">
  <dimension ref="A1:E43"/>
  <sheetViews>
    <sheetView workbookViewId="0">
      <selection activeCell="B12" sqref="B12"/>
    </sheetView>
  </sheetViews>
  <sheetFormatPr defaultRowHeight="15"/>
  <cols>
    <col min="1" max="1" width="13.5703125" bestFit="1" customWidth="1"/>
    <col min="2" max="2" width="40.28515625" bestFit="1" customWidth="1"/>
    <col min="4" max="4" width="40.28515625" bestFit="1" customWidth="1"/>
    <col min="5" max="5" width="13.5703125" bestFit="1" customWidth="1"/>
    <col min="6" max="6" width="57.42578125" bestFit="1" customWidth="1"/>
    <col min="8" max="8" width="11.85546875" bestFit="1" customWidth="1"/>
    <col min="9" max="9" width="40.28515625" bestFit="1" customWidth="1"/>
    <col min="10" max="10" width="48.7109375" bestFit="1" customWidth="1"/>
  </cols>
  <sheetData>
    <row r="1" spans="1:5">
      <c r="A1" s="80" t="s">
        <v>2911</v>
      </c>
      <c r="B1" t="s">
        <v>3479</v>
      </c>
      <c r="D1" s="80" t="s">
        <v>2911</v>
      </c>
      <c r="E1" t="s">
        <v>3479</v>
      </c>
    </row>
    <row r="3" spans="1:5">
      <c r="A3" s="80" t="s">
        <v>2923</v>
      </c>
      <c r="B3" s="80" t="s">
        <v>2927</v>
      </c>
      <c r="D3" s="80" t="s">
        <v>2927</v>
      </c>
      <c r="E3" s="80" t="s">
        <v>2923</v>
      </c>
    </row>
    <row r="4" spans="1:5">
      <c r="A4" t="s">
        <v>3440</v>
      </c>
      <c r="B4" t="s">
        <v>2897</v>
      </c>
      <c r="D4" t="s">
        <v>2899</v>
      </c>
      <c r="E4" t="s">
        <v>3444</v>
      </c>
    </row>
    <row r="5" spans="1:5">
      <c r="A5" t="s">
        <v>8499</v>
      </c>
      <c r="E5" t="s">
        <v>3472</v>
      </c>
    </row>
    <row r="6" spans="1:5">
      <c r="A6" t="s">
        <v>3444</v>
      </c>
      <c r="B6" t="s">
        <v>2899</v>
      </c>
      <c r="D6" t="s">
        <v>8500</v>
      </c>
    </row>
    <row r="7" spans="1:5">
      <c r="B7" t="s">
        <v>2897</v>
      </c>
      <c r="D7" t="s">
        <v>2894</v>
      </c>
      <c r="E7" t="s">
        <v>3460</v>
      </c>
    </row>
    <row r="8" spans="1:5">
      <c r="B8" t="s">
        <v>2907</v>
      </c>
      <c r="D8" t="s">
        <v>8501</v>
      </c>
    </row>
    <row r="9" spans="1:5">
      <c r="B9" t="s">
        <v>2908</v>
      </c>
      <c r="D9" t="s">
        <v>2892</v>
      </c>
      <c r="E9" t="s">
        <v>3454</v>
      </c>
    </row>
    <row r="10" spans="1:5">
      <c r="B10" t="s">
        <v>2900</v>
      </c>
      <c r="D10" t="s">
        <v>8502</v>
      </c>
    </row>
    <row r="11" spans="1:5">
      <c r="A11" t="s">
        <v>8503</v>
      </c>
      <c r="D11" t="s">
        <v>2901</v>
      </c>
      <c r="E11" t="s">
        <v>2933</v>
      </c>
    </row>
    <row r="12" spans="1:5">
      <c r="A12" t="s">
        <v>2933</v>
      </c>
      <c r="B12" t="s">
        <v>2901</v>
      </c>
      <c r="D12" t="s">
        <v>8504</v>
      </c>
    </row>
    <row r="13" spans="1:5">
      <c r="B13" t="s">
        <v>2896</v>
      </c>
      <c r="D13" t="s">
        <v>2902</v>
      </c>
      <c r="E13" t="s">
        <v>3446</v>
      </c>
    </row>
    <row r="14" spans="1:5">
      <c r="A14" t="s">
        <v>8505</v>
      </c>
      <c r="D14" t="s">
        <v>8506</v>
      </c>
    </row>
    <row r="15" spans="1:5">
      <c r="A15" t="s">
        <v>3446</v>
      </c>
      <c r="B15" t="s">
        <v>2902</v>
      </c>
      <c r="D15" t="s">
        <v>2898</v>
      </c>
      <c r="E15" t="s">
        <v>3446</v>
      </c>
    </row>
    <row r="16" spans="1:5">
      <c r="B16" t="s">
        <v>2898</v>
      </c>
      <c r="D16" t="s">
        <v>8507</v>
      </c>
    </row>
    <row r="17" spans="1:5">
      <c r="B17" t="s">
        <v>2897</v>
      </c>
      <c r="D17" t="s">
        <v>2897</v>
      </c>
      <c r="E17" t="s">
        <v>3440</v>
      </c>
    </row>
    <row r="18" spans="1:5">
      <c r="A18" t="s">
        <v>8508</v>
      </c>
      <c r="E18" t="s">
        <v>3444</v>
      </c>
    </row>
    <row r="19" spans="1:5">
      <c r="A19" t="s">
        <v>3450</v>
      </c>
      <c r="B19" t="s">
        <v>2908</v>
      </c>
      <c r="E19" t="s">
        <v>3446</v>
      </c>
    </row>
    <row r="20" spans="1:5">
      <c r="A20" t="s">
        <v>8509</v>
      </c>
      <c r="E20" t="s">
        <v>3472</v>
      </c>
    </row>
    <row r="21" spans="1:5">
      <c r="A21" t="s">
        <v>3454</v>
      </c>
      <c r="B21" t="s">
        <v>2892</v>
      </c>
      <c r="D21" t="s">
        <v>8510</v>
      </c>
    </row>
    <row r="22" spans="1:5">
      <c r="B22" t="s">
        <v>2893</v>
      </c>
      <c r="D22" t="s">
        <v>2896</v>
      </c>
      <c r="E22" t="s">
        <v>2933</v>
      </c>
    </row>
    <row r="23" spans="1:5">
      <c r="A23" t="s">
        <v>8511</v>
      </c>
      <c r="D23" t="s">
        <v>8512</v>
      </c>
    </row>
    <row r="24" spans="1:5">
      <c r="A24" t="s">
        <v>3460</v>
      </c>
      <c r="B24" t="s">
        <v>2894</v>
      </c>
      <c r="D24" t="s">
        <v>2905</v>
      </c>
      <c r="E24" t="s">
        <v>3468</v>
      </c>
    </row>
    <row r="25" spans="1:5">
      <c r="A25" t="s">
        <v>8513</v>
      </c>
      <c r="D25" t="s">
        <v>8514</v>
      </c>
    </row>
    <row r="26" spans="1:5">
      <c r="A26" t="s">
        <v>5870</v>
      </c>
      <c r="B26" t="s">
        <v>2903</v>
      </c>
      <c r="D26" t="s">
        <v>2907</v>
      </c>
      <c r="E26" t="s">
        <v>3444</v>
      </c>
    </row>
    <row r="27" spans="1:5">
      <c r="A27" t="s">
        <v>8515</v>
      </c>
      <c r="D27" t="s">
        <v>8516</v>
      </c>
    </row>
    <row r="28" spans="1:5">
      <c r="A28" t="s">
        <v>3466</v>
      </c>
      <c r="B28" t="s">
        <v>2906</v>
      </c>
      <c r="D28" t="s">
        <v>2903</v>
      </c>
      <c r="E28" t="s">
        <v>5870</v>
      </c>
    </row>
    <row r="29" spans="1:5">
      <c r="A29" t="s">
        <v>8517</v>
      </c>
      <c r="D29" t="s">
        <v>8518</v>
      </c>
    </row>
    <row r="30" spans="1:5">
      <c r="A30" t="s">
        <v>3468</v>
      </c>
      <c r="B30" t="s">
        <v>2905</v>
      </c>
      <c r="D30" t="s">
        <v>2906</v>
      </c>
      <c r="E30" t="s">
        <v>3466</v>
      </c>
    </row>
    <row r="31" spans="1:5">
      <c r="A31" t="s">
        <v>8519</v>
      </c>
      <c r="D31" t="s">
        <v>8520</v>
      </c>
    </row>
    <row r="32" spans="1:5">
      <c r="A32" t="s">
        <v>3472</v>
      </c>
      <c r="B32" t="s">
        <v>2899</v>
      </c>
      <c r="D32" t="s">
        <v>2908</v>
      </c>
      <c r="E32" t="s">
        <v>3444</v>
      </c>
    </row>
    <row r="33" spans="1:5">
      <c r="B33" t="s">
        <v>2897</v>
      </c>
      <c r="E33" t="s">
        <v>3450</v>
      </c>
    </row>
    <row r="34" spans="1:5">
      <c r="B34" t="s">
        <v>2895</v>
      </c>
      <c r="D34" t="s">
        <v>8521</v>
      </c>
    </row>
    <row r="35" spans="1:5">
      <c r="A35" t="s">
        <v>8522</v>
      </c>
      <c r="D35" t="s">
        <v>2893</v>
      </c>
      <c r="E35" t="s">
        <v>3454</v>
      </c>
    </row>
    <row r="36" spans="1:5">
      <c r="A36" t="s">
        <v>3464</v>
      </c>
      <c r="B36" t="s">
        <v>2904</v>
      </c>
      <c r="D36" t="s">
        <v>8523</v>
      </c>
    </row>
    <row r="37" spans="1:5">
      <c r="A37" t="s">
        <v>8524</v>
      </c>
      <c r="D37" t="s">
        <v>2904</v>
      </c>
      <c r="E37" t="s">
        <v>3464</v>
      </c>
    </row>
    <row r="38" spans="1:5">
      <c r="A38" t="s">
        <v>3483</v>
      </c>
      <c r="D38" t="s">
        <v>8525</v>
      </c>
    </row>
    <row r="39" spans="1:5">
      <c r="D39" t="s">
        <v>2895</v>
      </c>
      <c r="E39" t="s">
        <v>3472</v>
      </c>
    </row>
    <row r="40" spans="1:5">
      <c r="D40" t="s">
        <v>8526</v>
      </c>
    </row>
    <row r="41" spans="1:5">
      <c r="D41" t="s">
        <v>2900</v>
      </c>
      <c r="E41" t="s">
        <v>3444</v>
      </c>
    </row>
    <row r="42" spans="1:5">
      <c r="D42" t="s">
        <v>8527</v>
      </c>
    </row>
    <row r="43" spans="1:5">
      <c r="D43" t="s">
        <v>3483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6A734-2C92-4D90-82C4-4910C344F50C}">
  <dimension ref="A1:AC1304"/>
  <sheetViews>
    <sheetView workbookViewId="0">
      <selection activeCell="I13" sqref="I13"/>
    </sheetView>
  </sheetViews>
  <sheetFormatPr defaultRowHeight="15"/>
  <cols>
    <col min="1" max="1" width="13.5703125" bestFit="1" customWidth="1"/>
    <col min="2" max="2" width="17" bestFit="1" customWidth="1"/>
    <col min="3" max="3" width="13.5703125" bestFit="1" customWidth="1"/>
    <col min="4" max="19" width="11.85546875" bestFit="1" customWidth="1"/>
    <col min="20" max="20" width="12" bestFit="1" customWidth="1"/>
    <col min="21" max="26" width="11.85546875" bestFit="1" customWidth="1"/>
    <col min="27" max="27" width="7.42578125" bestFit="1" customWidth="1"/>
    <col min="28" max="28" width="11.85546875" bestFit="1" customWidth="1"/>
    <col min="29" max="29" width="11.7109375" bestFit="1" customWidth="1"/>
    <col min="30" max="31" width="13.5703125" bestFit="1" customWidth="1"/>
    <col min="32" max="92" width="10.7109375" bestFit="1" customWidth="1"/>
    <col min="93" max="93" width="20.5703125" bestFit="1" customWidth="1"/>
    <col min="94" max="95" width="21.85546875" bestFit="1" customWidth="1"/>
    <col min="96" max="96" width="20.5703125" bestFit="1" customWidth="1"/>
    <col min="97" max="102" width="21.85546875" bestFit="1" customWidth="1"/>
    <col min="103" max="104" width="20.5703125" bestFit="1" customWidth="1"/>
    <col min="105" max="105" width="9.5703125" bestFit="1" customWidth="1"/>
    <col min="106" max="106" width="28.140625" bestFit="1" customWidth="1"/>
    <col min="107" max="107" width="7.42578125" bestFit="1" customWidth="1"/>
    <col min="108" max="108" width="11.7109375" bestFit="1" customWidth="1"/>
    <col min="109" max="129" width="18.42578125" bestFit="1" customWidth="1"/>
    <col min="130" max="131" width="17.140625" bestFit="1" customWidth="1"/>
    <col min="132" max="132" width="18.42578125" bestFit="1" customWidth="1"/>
    <col min="133" max="137" width="17.140625" bestFit="1" customWidth="1"/>
    <col min="138" max="207" width="13.5703125" bestFit="1" customWidth="1"/>
    <col min="208" max="208" width="10.7109375" bestFit="1" customWidth="1"/>
    <col min="209" max="209" width="17.7109375" bestFit="1" customWidth="1"/>
    <col min="210" max="210" width="16.5703125" bestFit="1" customWidth="1"/>
    <col min="211" max="289" width="10.7109375" bestFit="1" customWidth="1"/>
    <col min="290" max="294" width="20.5703125" bestFit="1" customWidth="1"/>
    <col min="295" max="296" width="21.85546875" bestFit="1" customWidth="1"/>
    <col min="297" max="299" width="20.5703125" bestFit="1" customWidth="1"/>
    <col min="300" max="314" width="21.85546875" bestFit="1" customWidth="1"/>
    <col min="315" max="319" width="20.5703125" bestFit="1" customWidth="1"/>
    <col min="320" max="321" width="18.42578125" bestFit="1" customWidth="1"/>
    <col min="322" max="329" width="19.5703125" bestFit="1" customWidth="1"/>
    <col min="330" max="330" width="18.42578125" bestFit="1" customWidth="1"/>
    <col min="331" max="345" width="19.5703125" bestFit="1" customWidth="1"/>
    <col min="346" max="346" width="18.42578125" bestFit="1" customWidth="1"/>
    <col min="347" max="351" width="19.5703125" bestFit="1" customWidth="1"/>
    <col min="352" max="353" width="18.42578125" bestFit="1" customWidth="1"/>
    <col min="354" max="364" width="19.5703125" bestFit="1" customWidth="1"/>
    <col min="365" max="366" width="18.42578125" bestFit="1" customWidth="1"/>
    <col min="367" max="367" width="10.140625" bestFit="1" customWidth="1"/>
    <col min="368" max="376" width="9" bestFit="1" customWidth="1"/>
    <col min="377" max="379" width="10.140625" bestFit="1" customWidth="1"/>
    <col min="380" max="390" width="9" bestFit="1" customWidth="1"/>
    <col min="391" max="391" width="12.28515625" bestFit="1" customWidth="1"/>
    <col min="392" max="392" width="9.5703125" bestFit="1" customWidth="1"/>
    <col min="393" max="393" width="32" bestFit="1" customWidth="1"/>
    <col min="394" max="394" width="28.140625" bestFit="1" customWidth="1"/>
    <col min="395" max="395" width="7.42578125" bestFit="1" customWidth="1"/>
    <col min="396" max="396" width="11.7109375" bestFit="1" customWidth="1"/>
  </cols>
  <sheetData>
    <row r="1" spans="1:29">
      <c r="A1" s="80" t="s">
        <v>2911</v>
      </c>
      <c r="B1" t="s">
        <v>29</v>
      </c>
    </row>
    <row r="2" spans="1:29">
      <c r="A2" s="80" t="s">
        <v>2920</v>
      </c>
      <c r="B2" t="s">
        <v>3479</v>
      </c>
    </row>
    <row r="4" spans="1:29">
      <c r="A4" s="80" t="s">
        <v>8528</v>
      </c>
      <c r="C4" s="80" t="s">
        <v>2923</v>
      </c>
    </row>
    <row r="5" spans="1:29">
      <c r="A5" s="80" t="s">
        <v>2919</v>
      </c>
      <c r="B5" s="80" t="s">
        <v>3481</v>
      </c>
      <c r="C5" t="s">
        <v>4514</v>
      </c>
      <c r="D5" t="s">
        <v>3426</v>
      </c>
      <c r="E5" t="s">
        <v>3428</v>
      </c>
      <c r="F5" t="s">
        <v>3434</v>
      </c>
      <c r="G5" t="s">
        <v>3436</v>
      </c>
      <c r="H5" t="s">
        <v>3438</v>
      </c>
      <c r="I5" t="s">
        <v>3440</v>
      </c>
      <c r="J5" t="s">
        <v>3442</v>
      </c>
      <c r="K5" t="s">
        <v>3444</v>
      </c>
      <c r="L5" t="s">
        <v>2933</v>
      </c>
      <c r="M5" t="s">
        <v>3446</v>
      </c>
      <c r="N5" t="s">
        <v>3448</v>
      </c>
      <c r="O5" t="s">
        <v>3450</v>
      </c>
      <c r="P5" t="s">
        <v>3454</v>
      </c>
      <c r="Q5" t="s">
        <v>3456</v>
      </c>
      <c r="R5" t="s">
        <v>3458</v>
      </c>
      <c r="S5" t="s">
        <v>3460</v>
      </c>
      <c r="T5" t="s">
        <v>3462</v>
      </c>
      <c r="U5" t="s">
        <v>3466</v>
      </c>
      <c r="V5" t="s">
        <v>3468</v>
      </c>
      <c r="W5" t="s">
        <v>3470</v>
      </c>
      <c r="X5" t="s">
        <v>3472</v>
      </c>
      <c r="Y5" t="s">
        <v>3474</v>
      </c>
      <c r="Z5" t="s">
        <v>3476</v>
      </c>
      <c r="AA5" t="s">
        <v>8529</v>
      </c>
      <c r="AB5" t="s">
        <v>7417</v>
      </c>
      <c r="AC5" t="s">
        <v>3483</v>
      </c>
    </row>
    <row r="6" spans="1:29">
      <c r="A6" t="s">
        <v>3315</v>
      </c>
      <c r="B6" s="49">
        <v>44894</v>
      </c>
      <c r="V6">
        <v>1</v>
      </c>
      <c r="Z6">
        <v>2</v>
      </c>
      <c r="AC6">
        <v>3</v>
      </c>
    </row>
    <row r="7" spans="1:29">
      <c r="B7" s="49">
        <v>44995</v>
      </c>
      <c r="V7">
        <v>2</v>
      </c>
      <c r="AC7">
        <v>2</v>
      </c>
    </row>
    <row r="8" spans="1:29">
      <c r="B8" s="49">
        <v>44880</v>
      </c>
      <c r="R8">
        <v>2</v>
      </c>
      <c r="AC8">
        <v>2</v>
      </c>
    </row>
    <row r="9" spans="1:29">
      <c r="B9" s="49">
        <v>45008</v>
      </c>
      <c r="N9">
        <v>2</v>
      </c>
      <c r="AC9">
        <v>2</v>
      </c>
    </row>
    <row r="10" spans="1:29">
      <c r="B10" s="49">
        <v>45006</v>
      </c>
      <c r="Z10">
        <v>2</v>
      </c>
      <c r="AC10">
        <v>2</v>
      </c>
    </row>
    <row r="11" spans="1:29">
      <c r="B11" s="49">
        <v>44965</v>
      </c>
      <c r="R11">
        <v>2</v>
      </c>
      <c r="AC11">
        <v>2</v>
      </c>
    </row>
    <row r="12" spans="1:29">
      <c r="B12" s="49">
        <v>45014</v>
      </c>
      <c r="N12">
        <v>2</v>
      </c>
      <c r="AC12">
        <v>2</v>
      </c>
    </row>
    <row r="13" spans="1:29">
      <c r="B13" s="49">
        <v>45007</v>
      </c>
      <c r="N13">
        <v>1</v>
      </c>
      <c r="AC13">
        <v>1</v>
      </c>
    </row>
    <row r="14" spans="1:29">
      <c r="B14" s="49">
        <v>44892</v>
      </c>
      <c r="M14">
        <v>1</v>
      </c>
      <c r="AC14">
        <v>1</v>
      </c>
    </row>
    <row r="15" spans="1:29">
      <c r="B15" s="49">
        <v>45009</v>
      </c>
      <c r="X15">
        <v>1</v>
      </c>
      <c r="AC15">
        <v>1</v>
      </c>
    </row>
    <row r="16" spans="1:29">
      <c r="B16" s="49">
        <v>44877</v>
      </c>
      <c r="Z16">
        <v>1</v>
      </c>
      <c r="AC16">
        <v>1</v>
      </c>
    </row>
    <row r="17" spans="1:29">
      <c r="B17" s="49">
        <v>45001</v>
      </c>
      <c r="K17">
        <v>1</v>
      </c>
      <c r="AC17">
        <v>1</v>
      </c>
    </row>
    <row r="18" spans="1:29">
      <c r="B18" s="49">
        <v>45012</v>
      </c>
      <c r="N18">
        <v>1</v>
      </c>
      <c r="AC18">
        <v>1</v>
      </c>
    </row>
    <row r="19" spans="1:29">
      <c r="B19" s="49">
        <v>45013</v>
      </c>
      <c r="X19">
        <v>1</v>
      </c>
      <c r="AC19">
        <v>1</v>
      </c>
    </row>
    <row r="20" spans="1:29">
      <c r="B20" s="49">
        <v>45011</v>
      </c>
      <c r="M20">
        <v>1</v>
      </c>
      <c r="AC20">
        <v>1</v>
      </c>
    </row>
    <row r="21" spans="1:29">
      <c r="B21" s="49">
        <v>45002</v>
      </c>
      <c r="K21">
        <v>1</v>
      </c>
      <c r="AC21">
        <v>1</v>
      </c>
    </row>
    <row r="22" spans="1:29">
      <c r="B22" s="49">
        <v>45000</v>
      </c>
      <c r="R22">
        <v>1</v>
      </c>
      <c r="AC22">
        <v>1</v>
      </c>
    </row>
    <row r="23" spans="1:29">
      <c r="A23" t="s">
        <v>8530</v>
      </c>
      <c r="K23">
        <v>2</v>
      </c>
      <c r="M23">
        <v>2</v>
      </c>
      <c r="N23">
        <v>6</v>
      </c>
      <c r="R23">
        <v>5</v>
      </c>
      <c r="V23">
        <v>3</v>
      </c>
      <c r="X23">
        <v>2</v>
      </c>
      <c r="Z23">
        <v>5</v>
      </c>
      <c r="AC23">
        <v>25</v>
      </c>
    </row>
    <row r="24" spans="1:29">
      <c r="A24" t="s">
        <v>416</v>
      </c>
      <c r="B24" s="49">
        <v>44928</v>
      </c>
      <c r="L24">
        <v>1</v>
      </c>
      <c r="AC24">
        <v>1</v>
      </c>
    </row>
    <row r="25" spans="1:29">
      <c r="B25" s="49">
        <v>44915</v>
      </c>
      <c r="L25">
        <v>1</v>
      </c>
      <c r="AC25">
        <v>1</v>
      </c>
    </row>
    <row r="26" spans="1:29">
      <c r="B26" s="49">
        <v>44819</v>
      </c>
      <c r="J26">
        <v>1</v>
      </c>
      <c r="AC26">
        <v>1</v>
      </c>
    </row>
    <row r="27" spans="1:29">
      <c r="B27" s="49">
        <v>44820</v>
      </c>
      <c r="J27">
        <v>1</v>
      </c>
      <c r="AC27">
        <v>1</v>
      </c>
    </row>
    <row r="28" spans="1:29">
      <c r="B28" s="49">
        <v>44924</v>
      </c>
      <c r="L28">
        <v>1</v>
      </c>
      <c r="AC28">
        <v>1</v>
      </c>
    </row>
    <row r="29" spans="1:29">
      <c r="B29" s="49">
        <v>44823</v>
      </c>
      <c r="J29">
        <v>1</v>
      </c>
      <c r="AC29">
        <v>1</v>
      </c>
    </row>
    <row r="30" spans="1:29">
      <c r="B30" s="49">
        <v>44931</v>
      </c>
      <c r="L30">
        <v>1</v>
      </c>
      <c r="AC30">
        <v>1</v>
      </c>
    </row>
    <row r="31" spans="1:29">
      <c r="B31" s="49">
        <v>44833</v>
      </c>
      <c r="L31">
        <v>1</v>
      </c>
      <c r="AC31">
        <v>1</v>
      </c>
    </row>
    <row r="32" spans="1:29">
      <c r="B32" s="49">
        <v>44904</v>
      </c>
      <c r="L32">
        <v>1</v>
      </c>
      <c r="AC32">
        <v>1</v>
      </c>
    </row>
    <row r="33" spans="1:29">
      <c r="A33" t="s">
        <v>8531</v>
      </c>
      <c r="J33">
        <v>3</v>
      </c>
      <c r="L33">
        <v>6</v>
      </c>
      <c r="AC33">
        <v>9</v>
      </c>
    </row>
    <row r="34" spans="1:29">
      <c r="A34" t="s">
        <v>365</v>
      </c>
      <c r="B34" s="49">
        <v>45005</v>
      </c>
      <c r="L34">
        <v>1</v>
      </c>
      <c r="AC34">
        <v>1</v>
      </c>
    </row>
    <row r="35" spans="1:29">
      <c r="B35" s="49">
        <v>44927</v>
      </c>
      <c r="O35">
        <v>1</v>
      </c>
      <c r="AC35">
        <v>1</v>
      </c>
    </row>
    <row r="36" spans="1:29">
      <c r="B36" s="49">
        <v>44916</v>
      </c>
      <c r="L36">
        <v>1</v>
      </c>
      <c r="AC36">
        <v>1</v>
      </c>
    </row>
    <row r="37" spans="1:29">
      <c r="B37" s="49">
        <v>44901</v>
      </c>
      <c r="L37">
        <v>1</v>
      </c>
      <c r="AC37">
        <v>1</v>
      </c>
    </row>
    <row r="38" spans="1:29">
      <c r="B38" s="49">
        <v>44928</v>
      </c>
      <c r="V38">
        <v>1</v>
      </c>
      <c r="AC38">
        <v>1</v>
      </c>
    </row>
    <row r="39" spans="1:29">
      <c r="B39" s="49">
        <v>44905</v>
      </c>
      <c r="L39">
        <v>1</v>
      </c>
      <c r="AC39">
        <v>1</v>
      </c>
    </row>
    <row r="40" spans="1:29">
      <c r="B40" s="49">
        <v>44818</v>
      </c>
      <c r="O40">
        <v>1</v>
      </c>
      <c r="AC40">
        <v>1</v>
      </c>
    </row>
    <row r="41" spans="1:29">
      <c r="B41" s="49">
        <v>44915</v>
      </c>
      <c r="L41">
        <v>1</v>
      </c>
      <c r="AC41">
        <v>1</v>
      </c>
    </row>
    <row r="42" spans="1:29">
      <c r="A42" t="s">
        <v>8532</v>
      </c>
      <c r="L42">
        <v>5</v>
      </c>
      <c r="O42">
        <v>2</v>
      </c>
      <c r="V42">
        <v>1</v>
      </c>
      <c r="AC42">
        <v>8</v>
      </c>
    </row>
    <row r="43" spans="1:29">
      <c r="A43" t="s">
        <v>316</v>
      </c>
      <c r="B43" s="49">
        <v>44816</v>
      </c>
      <c r="U43">
        <v>8</v>
      </c>
      <c r="AC43">
        <v>8</v>
      </c>
    </row>
    <row r="44" spans="1:29">
      <c r="A44" t="s">
        <v>8533</v>
      </c>
      <c r="U44">
        <v>8</v>
      </c>
      <c r="AC44">
        <v>8</v>
      </c>
    </row>
    <row r="45" spans="1:29">
      <c r="A45" t="s">
        <v>4518</v>
      </c>
      <c r="B45" s="49">
        <v>44915</v>
      </c>
      <c r="K45">
        <v>1</v>
      </c>
      <c r="AC45">
        <v>1</v>
      </c>
    </row>
    <row r="46" spans="1:29">
      <c r="B46" s="49">
        <v>44928</v>
      </c>
      <c r="K46">
        <v>1</v>
      </c>
      <c r="AC46">
        <v>1</v>
      </c>
    </row>
    <row r="47" spans="1:29">
      <c r="B47" s="49">
        <v>44925</v>
      </c>
      <c r="K47">
        <v>1</v>
      </c>
      <c r="AC47">
        <v>1</v>
      </c>
    </row>
    <row r="48" spans="1:29">
      <c r="B48" s="49">
        <v>44895</v>
      </c>
      <c r="K48">
        <v>1</v>
      </c>
      <c r="AC48">
        <v>1</v>
      </c>
    </row>
    <row r="49" spans="1:29">
      <c r="B49" s="49">
        <v>44894</v>
      </c>
      <c r="K49">
        <v>1</v>
      </c>
      <c r="AC49">
        <v>1</v>
      </c>
    </row>
    <row r="50" spans="1:29">
      <c r="B50" s="49">
        <v>44914</v>
      </c>
      <c r="K50">
        <v>1</v>
      </c>
      <c r="AC50">
        <v>1</v>
      </c>
    </row>
    <row r="51" spans="1:29">
      <c r="A51" t="s">
        <v>8534</v>
      </c>
      <c r="K51">
        <v>6</v>
      </c>
      <c r="AC51">
        <v>6</v>
      </c>
    </row>
    <row r="52" spans="1:29">
      <c r="A52" t="s">
        <v>3551</v>
      </c>
      <c r="B52" s="49">
        <v>44880</v>
      </c>
      <c r="M52">
        <v>1</v>
      </c>
      <c r="R52">
        <v>1</v>
      </c>
      <c r="AC52">
        <v>2</v>
      </c>
    </row>
    <row r="53" spans="1:29">
      <c r="B53" s="49">
        <v>44929</v>
      </c>
      <c r="K53">
        <v>1</v>
      </c>
      <c r="AC53">
        <v>1</v>
      </c>
    </row>
    <row r="54" spans="1:29">
      <c r="B54" s="49">
        <v>44894</v>
      </c>
      <c r="Z54">
        <v>1</v>
      </c>
      <c r="AC54">
        <v>1</v>
      </c>
    </row>
    <row r="55" spans="1:29">
      <c r="B55" s="49">
        <v>44861</v>
      </c>
      <c r="M55">
        <v>1</v>
      </c>
      <c r="AC55">
        <v>1</v>
      </c>
    </row>
    <row r="56" spans="1:29">
      <c r="B56" s="49">
        <v>44881</v>
      </c>
      <c r="V56">
        <v>1</v>
      </c>
      <c r="AC56">
        <v>1</v>
      </c>
    </row>
    <row r="57" spans="1:29">
      <c r="A57" t="s">
        <v>8535</v>
      </c>
      <c r="K57">
        <v>1</v>
      </c>
      <c r="M57">
        <v>2</v>
      </c>
      <c r="R57">
        <v>1</v>
      </c>
      <c r="V57">
        <v>1</v>
      </c>
      <c r="Z57">
        <v>1</v>
      </c>
      <c r="AC57">
        <v>6</v>
      </c>
    </row>
    <row r="58" spans="1:29">
      <c r="A58" t="s">
        <v>5782</v>
      </c>
      <c r="B58" s="49">
        <v>44997</v>
      </c>
      <c r="M58">
        <v>1</v>
      </c>
      <c r="AC58">
        <v>1</v>
      </c>
    </row>
    <row r="59" spans="1:29">
      <c r="B59" s="49">
        <v>44979</v>
      </c>
      <c r="M59">
        <v>1</v>
      </c>
      <c r="AC59">
        <v>1</v>
      </c>
    </row>
    <row r="60" spans="1:29">
      <c r="B60" s="49">
        <v>44999</v>
      </c>
      <c r="M60">
        <v>1</v>
      </c>
      <c r="AC60">
        <v>1</v>
      </c>
    </row>
    <row r="61" spans="1:29">
      <c r="B61" s="49">
        <v>44984</v>
      </c>
      <c r="M61">
        <v>1</v>
      </c>
      <c r="AC61">
        <v>1</v>
      </c>
    </row>
    <row r="62" spans="1:29">
      <c r="B62" s="49">
        <v>44986</v>
      </c>
      <c r="M62">
        <v>1</v>
      </c>
      <c r="AC62">
        <v>1</v>
      </c>
    </row>
    <row r="63" spans="1:29">
      <c r="A63" t="s">
        <v>8536</v>
      </c>
      <c r="M63">
        <v>5</v>
      </c>
      <c r="AC63">
        <v>5</v>
      </c>
    </row>
    <row r="64" spans="1:29">
      <c r="A64" t="s">
        <v>6138</v>
      </c>
      <c r="B64" s="49">
        <v>44994</v>
      </c>
      <c r="L64">
        <v>1</v>
      </c>
      <c r="AC64">
        <v>1</v>
      </c>
    </row>
    <row r="65" spans="1:29">
      <c r="B65" s="49">
        <v>44992</v>
      </c>
      <c r="L65">
        <v>1</v>
      </c>
      <c r="AC65">
        <v>1</v>
      </c>
    </row>
    <row r="66" spans="1:29">
      <c r="B66" s="49">
        <v>45013</v>
      </c>
      <c r="L66">
        <v>1</v>
      </c>
      <c r="AC66">
        <v>1</v>
      </c>
    </row>
    <row r="67" spans="1:29">
      <c r="B67" s="49">
        <v>44995</v>
      </c>
      <c r="L67">
        <v>1</v>
      </c>
      <c r="AC67">
        <v>1</v>
      </c>
    </row>
    <row r="68" spans="1:29">
      <c r="B68" s="49">
        <v>44998</v>
      </c>
      <c r="L68">
        <v>1</v>
      </c>
      <c r="AC68">
        <v>1</v>
      </c>
    </row>
    <row r="69" spans="1:29">
      <c r="A69" t="s">
        <v>8537</v>
      </c>
      <c r="L69">
        <v>5</v>
      </c>
      <c r="AC69">
        <v>5</v>
      </c>
    </row>
    <row r="70" spans="1:29">
      <c r="A70" t="s">
        <v>5760</v>
      </c>
      <c r="B70" s="49">
        <v>44999</v>
      </c>
      <c r="K70">
        <v>1</v>
      </c>
      <c r="AC70">
        <v>1</v>
      </c>
    </row>
    <row r="71" spans="1:29">
      <c r="B71" s="49">
        <v>44972</v>
      </c>
      <c r="Q71">
        <v>1</v>
      </c>
      <c r="AC71">
        <v>1</v>
      </c>
    </row>
    <row r="72" spans="1:29">
      <c r="B72" s="49">
        <v>45013</v>
      </c>
      <c r="K72">
        <v>1</v>
      </c>
      <c r="AC72">
        <v>1</v>
      </c>
    </row>
    <row r="73" spans="1:29">
      <c r="B73" s="49">
        <v>44980</v>
      </c>
      <c r="K73">
        <v>1</v>
      </c>
      <c r="AC73">
        <v>1</v>
      </c>
    </row>
    <row r="74" spans="1:29">
      <c r="B74" s="49">
        <v>44986</v>
      </c>
      <c r="K74">
        <v>1</v>
      </c>
      <c r="AC74">
        <v>1</v>
      </c>
    </row>
    <row r="75" spans="1:29">
      <c r="A75" t="s">
        <v>8538</v>
      </c>
      <c r="K75">
        <v>4</v>
      </c>
      <c r="Q75">
        <v>1</v>
      </c>
      <c r="AC75">
        <v>5</v>
      </c>
    </row>
    <row r="76" spans="1:29">
      <c r="A76" t="s">
        <v>4192</v>
      </c>
      <c r="B76" s="49">
        <v>44909</v>
      </c>
      <c r="W76">
        <v>2</v>
      </c>
      <c r="AC76">
        <v>2</v>
      </c>
    </row>
    <row r="77" spans="1:29">
      <c r="B77" s="49">
        <v>44878</v>
      </c>
      <c r="S77">
        <v>1</v>
      </c>
      <c r="AC77">
        <v>1</v>
      </c>
    </row>
    <row r="78" spans="1:29">
      <c r="B78" s="49">
        <v>44883</v>
      </c>
      <c r="M78">
        <v>1</v>
      </c>
      <c r="AC78">
        <v>1</v>
      </c>
    </row>
    <row r="79" spans="1:29">
      <c r="A79" t="s">
        <v>8539</v>
      </c>
      <c r="M79">
        <v>1</v>
      </c>
      <c r="S79">
        <v>1</v>
      </c>
      <c r="W79">
        <v>2</v>
      </c>
      <c r="AC79">
        <v>4</v>
      </c>
    </row>
    <row r="80" spans="1:29">
      <c r="A80" t="s">
        <v>1540</v>
      </c>
      <c r="B80" s="49">
        <v>44817</v>
      </c>
      <c r="U80">
        <v>2</v>
      </c>
      <c r="AC80">
        <v>2</v>
      </c>
    </row>
    <row r="81" spans="1:29">
      <c r="B81" s="49">
        <v>45014</v>
      </c>
      <c r="N81">
        <v>1</v>
      </c>
      <c r="AC81">
        <v>1</v>
      </c>
    </row>
    <row r="82" spans="1:29">
      <c r="B82" s="49">
        <v>45008</v>
      </c>
      <c r="N82">
        <v>1</v>
      </c>
      <c r="AC82">
        <v>1</v>
      </c>
    </row>
    <row r="83" spans="1:29">
      <c r="A83" t="s">
        <v>8540</v>
      </c>
      <c r="N83">
        <v>2</v>
      </c>
      <c r="U83">
        <v>2</v>
      </c>
      <c r="AC83">
        <v>4</v>
      </c>
    </row>
    <row r="84" spans="1:29">
      <c r="A84" t="s">
        <v>3886</v>
      </c>
      <c r="B84" s="49">
        <v>44901</v>
      </c>
      <c r="R84">
        <v>1</v>
      </c>
      <c r="AC84">
        <v>1</v>
      </c>
    </row>
    <row r="85" spans="1:29">
      <c r="B85" s="49">
        <v>44877</v>
      </c>
      <c r="Z85">
        <v>1</v>
      </c>
      <c r="AC85">
        <v>1</v>
      </c>
    </row>
    <row r="86" spans="1:29">
      <c r="B86" s="49">
        <v>44859</v>
      </c>
      <c r="U86">
        <v>1</v>
      </c>
      <c r="AC86">
        <v>1</v>
      </c>
    </row>
    <row r="87" spans="1:29">
      <c r="B87" s="49">
        <v>44860</v>
      </c>
      <c r="U87">
        <v>1</v>
      </c>
      <c r="AC87">
        <v>1</v>
      </c>
    </row>
    <row r="88" spans="1:29">
      <c r="A88" t="s">
        <v>8541</v>
      </c>
      <c r="R88">
        <v>1</v>
      </c>
      <c r="U88">
        <v>2</v>
      </c>
      <c r="Z88">
        <v>1</v>
      </c>
      <c r="AC88">
        <v>4</v>
      </c>
    </row>
    <row r="89" spans="1:29">
      <c r="A89" t="s">
        <v>398</v>
      </c>
      <c r="B89" s="49">
        <v>45006</v>
      </c>
      <c r="Z89">
        <v>3</v>
      </c>
      <c r="AC89">
        <v>3</v>
      </c>
    </row>
    <row r="90" spans="1:29">
      <c r="B90" s="49">
        <v>44893</v>
      </c>
      <c r="M90">
        <v>1</v>
      </c>
      <c r="AC90">
        <v>1</v>
      </c>
    </row>
    <row r="91" spans="1:29">
      <c r="A91" t="s">
        <v>8542</v>
      </c>
      <c r="M91">
        <v>1</v>
      </c>
      <c r="Z91">
        <v>3</v>
      </c>
      <c r="AC91">
        <v>4</v>
      </c>
    </row>
    <row r="92" spans="1:29">
      <c r="A92" t="s">
        <v>158</v>
      </c>
      <c r="E92">
        <v>1</v>
      </c>
      <c r="R92">
        <v>1</v>
      </c>
      <c r="S92">
        <v>1</v>
      </c>
      <c r="U92">
        <v>1</v>
      </c>
      <c r="AC92">
        <v>4</v>
      </c>
    </row>
    <row r="93" spans="1:29">
      <c r="A93" t="s">
        <v>3979</v>
      </c>
      <c r="B93" s="49">
        <v>44926</v>
      </c>
      <c r="K93">
        <v>1</v>
      </c>
      <c r="AC93">
        <v>1</v>
      </c>
    </row>
    <row r="94" spans="1:29">
      <c r="B94" s="49">
        <v>44901</v>
      </c>
      <c r="I94">
        <v>1</v>
      </c>
      <c r="AC94">
        <v>1</v>
      </c>
    </row>
    <row r="95" spans="1:29">
      <c r="B95" s="49">
        <v>44866</v>
      </c>
      <c r="M95">
        <v>1</v>
      </c>
      <c r="AC95">
        <v>1</v>
      </c>
    </row>
    <row r="96" spans="1:29">
      <c r="B96" s="49">
        <v>44892</v>
      </c>
      <c r="I96">
        <v>1</v>
      </c>
      <c r="AC96">
        <v>1</v>
      </c>
    </row>
    <row r="97" spans="1:29">
      <c r="A97" t="s">
        <v>8543</v>
      </c>
      <c r="I97">
        <v>2</v>
      </c>
      <c r="K97">
        <v>1</v>
      </c>
      <c r="M97">
        <v>1</v>
      </c>
      <c r="AC97">
        <v>4</v>
      </c>
    </row>
    <row r="98" spans="1:29">
      <c r="A98" t="s">
        <v>6419</v>
      </c>
      <c r="B98" s="49">
        <v>45011</v>
      </c>
      <c r="M98">
        <v>1</v>
      </c>
      <c r="AC98">
        <v>1</v>
      </c>
    </row>
    <row r="99" spans="1:29">
      <c r="B99" s="49">
        <v>45000</v>
      </c>
      <c r="M99">
        <v>1</v>
      </c>
      <c r="AC99">
        <v>1</v>
      </c>
    </row>
    <row r="100" spans="1:29">
      <c r="B100" s="49">
        <v>44991</v>
      </c>
      <c r="M100">
        <v>1</v>
      </c>
      <c r="AC100">
        <v>1</v>
      </c>
    </row>
    <row r="101" spans="1:29">
      <c r="B101" s="49">
        <v>44995</v>
      </c>
      <c r="M101">
        <v>1</v>
      </c>
      <c r="AC101">
        <v>1</v>
      </c>
    </row>
    <row r="102" spans="1:29">
      <c r="A102" t="s">
        <v>8544</v>
      </c>
      <c r="M102">
        <v>4</v>
      </c>
      <c r="AC102">
        <v>4</v>
      </c>
    </row>
    <row r="103" spans="1:29">
      <c r="A103" t="s">
        <v>6247</v>
      </c>
      <c r="B103" s="49">
        <v>45011</v>
      </c>
      <c r="M103">
        <v>1</v>
      </c>
      <c r="AC103">
        <v>1</v>
      </c>
    </row>
    <row r="104" spans="1:29">
      <c r="B104" s="49">
        <v>45012</v>
      </c>
      <c r="L104">
        <v>1</v>
      </c>
      <c r="AC104">
        <v>1</v>
      </c>
    </row>
    <row r="105" spans="1:29">
      <c r="B105" s="49">
        <v>44986</v>
      </c>
      <c r="L105">
        <v>1</v>
      </c>
      <c r="AC105">
        <v>1</v>
      </c>
    </row>
    <row r="106" spans="1:29">
      <c r="B106" s="49">
        <v>44997</v>
      </c>
      <c r="L106">
        <v>1</v>
      </c>
      <c r="AC106">
        <v>1</v>
      </c>
    </row>
    <row r="107" spans="1:29">
      <c r="A107" t="s">
        <v>8545</v>
      </c>
      <c r="L107">
        <v>3</v>
      </c>
      <c r="M107">
        <v>1</v>
      </c>
      <c r="AC107">
        <v>4</v>
      </c>
    </row>
    <row r="108" spans="1:29">
      <c r="A108" t="s">
        <v>5771</v>
      </c>
      <c r="B108" s="49">
        <v>45000</v>
      </c>
      <c r="R108">
        <v>1</v>
      </c>
      <c r="AC108">
        <v>1</v>
      </c>
    </row>
    <row r="109" spans="1:29">
      <c r="B109" s="49">
        <v>44996</v>
      </c>
      <c r="M109">
        <v>1</v>
      </c>
      <c r="AC109">
        <v>1</v>
      </c>
    </row>
    <row r="110" spans="1:29">
      <c r="B110" s="49">
        <v>44966</v>
      </c>
      <c r="X110">
        <v>1</v>
      </c>
      <c r="AC110">
        <v>1</v>
      </c>
    </row>
    <row r="111" spans="1:29">
      <c r="B111" s="49">
        <v>44969</v>
      </c>
      <c r="K111">
        <v>1</v>
      </c>
      <c r="AC111">
        <v>1</v>
      </c>
    </row>
    <row r="112" spans="1:29">
      <c r="A112" t="s">
        <v>8546</v>
      </c>
      <c r="K112">
        <v>1</v>
      </c>
      <c r="M112">
        <v>1</v>
      </c>
      <c r="R112">
        <v>1</v>
      </c>
      <c r="X112">
        <v>1</v>
      </c>
      <c r="AC112">
        <v>4</v>
      </c>
    </row>
    <row r="113" spans="1:29">
      <c r="A113" t="s">
        <v>6424</v>
      </c>
      <c r="B113" s="49">
        <v>45010</v>
      </c>
      <c r="M113">
        <v>1</v>
      </c>
      <c r="AC113">
        <v>1</v>
      </c>
    </row>
    <row r="114" spans="1:29">
      <c r="B114" s="49">
        <v>45000</v>
      </c>
      <c r="M114">
        <v>1</v>
      </c>
      <c r="AC114">
        <v>1</v>
      </c>
    </row>
    <row r="115" spans="1:29">
      <c r="B115" s="49">
        <v>44991</v>
      </c>
      <c r="M115">
        <v>1</v>
      </c>
      <c r="AC115">
        <v>1</v>
      </c>
    </row>
    <row r="116" spans="1:29">
      <c r="B116" s="49">
        <v>44994</v>
      </c>
      <c r="Q116">
        <v>1</v>
      </c>
      <c r="AC116">
        <v>1</v>
      </c>
    </row>
    <row r="117" spans="1:29">
      <c r="A117" t="s">
        <v>8547</v>
      </c>
      <c r="M117">
        <v>3</v>
      </c>
      <c r="Q117">
        <v>1</v>
      </c>
      <c r="AC117">
        <v>4</v>
      </c>
    </row>
    <row r="118" spans="1:29">
      <c r="A118" t="s">
        <v>6606</v>
      </c>
      <c r="B118" s="49">
        <v>45011</v>
      </c>
      <c r="M118">
        <v>1</v>
      </c>
      <c r="AC118">
        <v>1</v>
      </c>
    </row>
    <row r="119" spans="1:29">
      <c r="B119" s="49">
        <v>45000</v>
      </c>
      <c r="M119">
        <v>1</v>
      </c>
      <c r="AC119">
        <v>1</v>
      </c>
    </row>
    <row r="120" spans="1:29">
      <c r="B120" s="49">
        <v>44995</v>
      </c>
      <c r="M120">
        <v>1</v>
      </c>
      <c r="AC120">
        <v>1</v>
      </c>
    </row>
    <row r="121" spans="1:29">
      <c r="B121" s="49">
        <v>44994</v>
      </c>
      <c r="M121">
        <v>1</v>
      </c>
      <c r="AC121">
        <v>1</v>
      </c>
    </row>
    <row r="122" spans="1:29">
      <c r="A122" t="s">
        <v>8548</v>
      </c>
      <c r="M122">
        <v>4</v>
      </c>
      <c r="AC122">
        <v>4</v>
      </c>
    </row>
    <row r="123" spans="1:29">
      <c r="A123" t="s">
        <v>5228</v>
      </c>
      <c r="B123" s="49">
        <v>44989</v>
      </c>
      <c r="M123">
        <v>1</v>
      </c>
      <c r="AC123">
        <v>1</v>
      </c>
    </row>
    <row r="124" spans="1:29">
      <c r="B124" s="49">
        <v>44996</v>
      </c>
      <c r="M124">
        <v>1</v>
      </c>
      <c r="AC124">
        <v>1</v>
      </c>
    </row>
    <row r="125" spans="1:29">
      <c r="B125" s="49">
        <v>44992</v>
      </c>
      <c r="M125">
        <v>1</v>
      </c>
      <c r="AC125">
        <v>1</v>
      </c>
    </row>
    <row r="126" spans="1:29">
      <c r="A126" t="s">
        <v>8549</v>
      </c>
      <c r="M126">
        <v>3</v>
      </c>
      <c r="AC126">
        <v>3</v>
      </c>
    </row>
    <row r="127" spans="1:29">
      <c r="A127" t="s">
        <v>2990</v>
      </c>
      <c r="B127" s="49">
        <v>44851</v>
      </c>
      <c r="L127">
        <v>1</v>
      </c>
      <c r="S127">
        <v>1</v>
      </c>
      <c r="AC127">
        <v>2</v>
      </c>
    </row>
    <row r="128" spans="1:29">
      <c r="B128" s="49">
        <v>44930</v>
      </c>
      <c r="R128">
        <v>1</v>
      </c>
      <c r="AC128">
        <v>1</v>
      </c>
    </row>
    <row r="129" spans="1:29">
      <c r="A129" t="s">
        <v>8550</v>
      </c>
      <c r="L129">
        <v>1</v>
      </c>
      <c r="R129">
        <v>1</v>
      </c>
      <c r="S129">
        <v>1</v>
      </c>
      <c r="AC129">
        <v>3</v>
      </c>
    </row>
    <row r="130" spans="1:29">
      <c r="A130" t="s">
        <v>5976</v>
      </c>
      <c r="B130" s="49">
        <v>44974</v>
      </c>
      <c r="Z130">
        <v>1</v>
      </c>
      <c r="AC130">
        <v>1</v>
      </c>
    </row>
    <row r="131" spans="1:29">
      <c r="B131" s="49">
        <v>44992</v>
      </c>
      <c r="O131">
        <v>1</v>
      </c>
      <c r="AC131">
        <v>1</v>
      </c>
    </row>
    <row r="132" spans="1:29">
      <c r="B132" s="49">
        <v>44978</v>
      </c>
      <c r="V132">
        <v>1</v>
      </c>
      <c r="AC132">
        <v>1</v>
      </c>
    </row>
    <row r="133" spans="1:29">
      <c r="A133" t="s">
        <v>8551</v>
      </c>
      <c r="O133">
        <v>1</v>
      </c>
      <c r="V133">
        <v>1</v>
      </c>
      <c r="Z133">
        <v>1</v>
      </c>
      <c r="AC133">
        <v>3</v>
      </c>
    </row>
    <row r="134" spans="1:29">
      <c r="A134" t="s">
        <v>5818</v>
      </c>
      <c r="B134" s="49">
        <v>44968</v>
      </c>
      <c r="O134">
        <v>1</v>
      </c>
      <c r="AC134">
        <v>1</v>
      </c>
    </row>
    <row r="135" spans="1:29">
      <c r="B135" s="49">
        <v>45013</v>
      </c>
      <c r="M135">
        <v>1</v>
      </c>
      <c r="AC135">
        <v>1</v>
      </c>
    </row>
    <row r="136" spans="1:29">
      <c r="B136" s="49">
        <v>44996</v>
      </c>
      <c r="M136">
        <v>1</v>
      </c>
      <c r="AC136">
        <v>1</v>
      </c>
    </row>
    <row r="137" spans="1:29">
      <c r="A137" t="s">
        <v>8552</v>
      </c>
      <c r="M137">
        <v>2</v>
      </c>
      <c r="O137">
        <v>1</v>
      </c>
      <c r="AC137">
        <v>3</v>
      </c>
    </row>
    <row r="138" spans="1:29">
      <c r="A138" t="s">
        <v>6416</v>
      </c>
      <c r="B138" s="49">
        <v>44991</v>
      </c>
      <c r="M138">
        <v>1</v>
      </c>
      <c r="AC138">
        <v>1</v>
      </c>
    </row>
    <row r="139" spans="1:29">
      <c r="B139" s="49">
        <v>45011</v>
      </c>
      <c r="M139">
        <v>1</v>
      </c>
      <c r="AC139">
        <v>1</v>
      </c>
    </row>
    <row r="140" spans="1:29">
      <c r="B140" s="49">
        <v>45000</v>
      </c>
      <c r="M140">
        <v>1</v>
      </c>
      <c r="AC140">
        <v>1</v>
      </c>
    </row>
    <row r="141" spans="1:29">
      <c r="A141" t="s">
        <v>8553</v>
      </c>
      <c r="M141">
        <v>3</v>
      </c>
      <c r="AC141">
        <v>3</v>
      </c>
    </row>
    <row r="142" spans="1:29">
      <c r="A142" t="s">
        <v>340</v>
      </c>
      <c r="B142" s="49">
        <v>44817</v>
      </c>
      <c r="U142">
        <v>2</v>
      </c>
      <c r="AC142">
        <v>2</v>
      </c>
    </row>
    <row r="143" spans="1:29">
      <c r="B143" s="49">
        <v>45014</v>
      </c>
      <c r="N143">
        <v>1</v>
      </c>
      <c r="AC143">
        <v>1</v>
      </c>
    </row>
    <row r="144" spans="1:29">
      <c r="A144" t="s">
        <v>8554</v>
      </c>
      <c r="N144">
        <v>1</v>
      </c>
      <c r="U144">
        <v>2</v>
      </c>
      <c r="AC144">
        <v>3</v>
      </c>
    </row>
    <row r="145" spans="1:29">
      <c r="A145" t="s">
        <v>5218</v>
      </c>
      <c r="B145" s="49">
        <v>44970</v>
      </c>
      <c r="K145">
        <v>1</v>
      </c>
      <c r="V145">
        <v>1</v>
      </c>
      <c r="AC145">
        <v>2</v>
      </c>
    </row>
    <row r="146" spans="1:29">
      <c r="B146" s="49">
        <v>44973</v>
      </c>
      <c r="X146">
        <v>1</v>
      </c>
      <c r="AC146">
        <v>1</v>
      </c>
    </row>
    <row r="147" spans="1:29">
      <c r="A147" t="s">
        <v>8555</v>
      </c>
      <c r="K147">
        <v>1</v>
      </c>
      <c r="V147">
        <v>1</v>
      </c>
      <c r="X147">
        <v>1</v>
      </c>
      <c r="AC147">
        <v>3</v>
      </c>
    </row>
    <row r="148" spans="1:29">
      <c r="A148" t="s">
        <v>4957</v>
      </c>
      <c r="B148" s="49">
        <v>44918</v>
      </c>
      <c r="X148">
        <v>1</v>
      </c>
      <c r="AC148">
        <v>1</v>
      </c>
    </row>
    <row r="149" spans="1:29">
      <c r="B149" s="49">
        <v>45014</v>
      </c>
      <c r="K149">
        <v>1</v>
      </c>
      <c r="AC149">
        <v>1</v>
      </c>
    </row>
    <row r="150" spans="1:29">
      <c r="B150" s="49">
        <v>45008</v>
      </c>
      <c r="K150">
        <v>1</v>
      </c>
      <c r="AC150">
        <v>1</v>
      </c>
    </row>
    <row r="151" spans="1:29">
      <c r="A151" t="s">
        <v>8556</v>
      </c>
      <c r="K151">
        <v>2</v>
      </c>
      <c r="X151">
        <v>1</v>
      </c>
      <c r="AC151">
        <v>3</v>
      </c>
    </row>
    <row r="152" spans="1:29">
      <c r="A152" t="s">
        <v>4159</v>
      </c>
      <c r="B152" s="49">
        <v>44881</v>
      </c>
      <c r="M152">
        <v>1</v>
      </c>
      <c r="AC152">
        <v>1</v>
      </c>
    </row>
    <row r="153" spans="1:29">
      <c r="B153" s="49">
        <v>44931</v>
      </c>
      <c r="M153">
        <v>1</v>
      </c>
      <c r="AC153">
        <v>1</v>
      </c>
    </row>
    <row r="154" spans="1:29">
      <c r="B154" s="49">
        <v>44915</v>
      </c>
      <c r="X154">
        <v>1</v>
      </c>
      <c r="AC154">
        <v>1</v>
      </c>
    </row>
    <row r="155" spans="1:29">
      <c r="A155" t="s">
        <v>8557</v>
      </c>
      <c r="M155">
        <v>2</v>
      </c>
      <c r="X155">
        <v>1</v>
      </c>
      <c r="AC155">
        <v>3</v>
      </c>
    </row>
    <row r="156" spans="1:29">
      <c r="A156" t="s">
        <v>4953</v>
      </c>
      <c r="B156" s="49">
        <v>44918</v>
      </c>
      <c r="X156">
        <v>1</v>
      </c>
      <c r="AC156">
        <v>1</v>
      </c>
    </row>
    <row r="157" spans="1:29">
      <c r="B157" s="49">
        <v>45014</v>
      </c>
      <c r="N157">
        <v>1</v>
      </c>
      <c r="AC157">
        <v>1</v>
      </c>
    </row>
    <row r="158" spans="1:29">
      <c r="B158" s="49">
        <v>45008</v>
      </c>
      <c r="N158">
        <v>1</v>
      </c>
      <c r="AC158">
        <v>1</v>
      </c>
    </row>
    <row r="159" spans="1:29">
      <c r="A159" t="s">
        <v>8558</v>
      </c>
      <c r="N159">
        <v>2</v>
      </c>
      <c r="X159">
        <v>1</v>
      </c>
      <c r="AC159">
        <v>3</v>
      </c>
    </row>
    <row r="160" spans="1:29">
      <c r="A160" t="s">
        <v>6513</v>
      </c>
      <c r="B160" s="49">
        <v>44992</v>
      </c>
      <c r="M160">
        <v>1</v>
      </c>
      <c r="AC160">
        <v>1</v>
      </c>
    </row>
    <row r="161" spans="1:29">
      <c r="B161" s="49">
        <v>45013</v>
      </c>
      <c r="M161">
        <v>1</v>
      </c>
      <c r="AC161">
        <v>1</v>
      </c>
    </row>
    <row r="162" spans="1:29">
      <c r="B162" s="49">
        <v>44996</v>
      </c>
      <c r="M162">
        <v>1</v>
      </c>
      <c r="AC162">
        <v>1</v>
      </c>
    </row>
    <row r="163" spans="1:29">
      <c r="A163" t="s">
        <v>8559</v>
      </c>
      <c r="M163">
        <v>3</v>
      </c>
      <c r="AC163">
        <v>3</v>
      </c>
    </row>
    <row r="164" spans="1:29">
      <c r="A164" t="s">
        <v>65</v>
      </c>
      <c r="B164" s="49">
        <v>44918</v>
      </c>
      <c r="K164">
        <v>1</v>
      </c>
      <c r="AC164">
        <v>1</v>
      </c>
    </row>
    <row r="165" spans="1:29">
      <c r="B165" s="49">
        <v>45014</v>
      </c>
      <c r="N165">
        <v>1</v>
      </c>
      <c r="AC165">
        <v>1</v>
      </c>
    </row>
    <row r="166" spans="1:29">
      <c r="B166" s="49">
        <v>45008</v>
      </c>
      <c r="N166">
        <v>1</v>
      </c>
      <c r="AC166">
        <v>1</v>
      </c>
    </row>
    <row r="167" spans="1:29">
      <c r="A167" t="s">
        <v>8560</v>
      </c>
      <c r="K167">
        <v>1</v>
      </c>
      <c r="N167">
        <v>2</v>
      </c>
      <c r="AC167">
        <v>3</v>
      </c>
    </row>
    <row r="168" spans="1:29">
      <c r="A168" t="s">
        <v>353</v>
      </c>
      <c r="B168" s="49">
        <v>44818</v>
      </c>
      <c r="O168">
        <v>2</v>
      </c>
      <c r="AC168">
        <v>2</v>
      </c>
    </row>
    <row r="169" spans="1:29">
      <c r="B169" s="49">
        <v>44877</v>
      </c>
      <c r="Z169">
        <v>1</v>
      </c>
      <c r="AC169">
        <v>1</v>
      </c>
    </row>
    <row r="170" spans="1:29">
      <c r="A170" t="s">
        <v>8561</v>
      </c>
      <c r="O170">
        <v>2</v>
      </c>
      <c r="Z170">
        <v>1</v>
      </c>
      <c r="AC170">
        <v>3</v>
      </c>
    </row>
    <row r="171" spans="1:29">
      <c r="A171" t="s">
        <v>5000</v>
      </c>
      <c r="B171" s="49">
        <v>45015</v>
      </c>
      <c r="T171">
        <v>1</v>
      </c>
      <c r="X171">
        <v>1</v>
      </c>
      <c r="AC171">
        <v>2</v>
      </c>
    </row>
    <row r="172" spans="1:29">
      <c r="B172" s="49">
        <v>45009</v>
      </c>
      <c r="K172">
        <v>1</v>
      </c>
      <c r="AC172">
        <v>1</v>
      </c>
    </row>
    <row r="173" spans="1:29">
      <c r="A173" t="s">
        <v>8562</v>
      </c>
      <c r="K173">
        <v>1</v>
      </c>
      <c r="T173">
        <v>1</v>
      </c>
      <c r="X173">
        <v>1</v>
      </c>
      <c r="AC173">
        <v>3</v>
      </c>
    </row>
    <row r="174" spans="1:29">
      <c r="A174" t="s">
        <v>293</v>
      </c>
      <c r="B174" s="49">
        <v>44819</v>
      </c>
      <c r="R174">
        <v>1</v>
      </c>
      <c r="AC174">
        <v>1</v>
      </c>
    </row>
    <row r="175" spans="1:29">
      <c r="B175" s="49">
        <v>44929</v>
      </c>
      <c r="R175">
        <v>1</v>
      </c>
      <c r="AC175">
        <v>1</v>
      </c>
    </row>
    <row r="176" spans="1:29">
      <c r="B176" s="49">
        <v>44881</v>
      </c>
      <c r="S176">
        <v>1</v>
      </c>
      <c r="AC176">
        <v>1</v>
      </c>
    </row>
    <row r="177" spans="1:29">
      <c r="A177" t="s">
        <v>8563</v>
      </c>
      <c r="R177">
        <v>2</v>
      </c>
      <c r="S177">
        <v>1</v>
      </c>
      <c r="AC177">
        <v>3</v>
      </c>
    </row>
    <row r="178" spans="1:29">
      <c r="A178" t="s">
        <v>3192</v>
      </c>
      <c r="B178" s="49">
        <v>44895</v>
      </c>
      <c r="K178">
        <v>1</v>
      </c>
      <c r="AC178">
        <v>1</v>
      </c>
    </row>
    <row r="179" spans="1:29">
      <c r="B179" s="49">
        <v>44932</v>
      </c>
      <c r="M179">
        <v>1</v>
      </c>
      <c r="AC179">
        <v>1</v>
      </c>
    </row>
    <row r="180" spans="1:29">
      <c r="B180" s="49">
        <v>44924</v>
      </c>
      <c r="L180">
        <v>1</v>
      </c>
      <c r="AC180">
        <v>1</v>
      </c>
    </row>
    <row r="181" spans="1:29">
      <c r="A181" t="s">
        <v>8564</v>
      </c>
      <c r="K181">
        <v>1</v>
      </c>
      <c r="L181">
        <v>1</v>
      </c>
      <c r="M181">
        <v>1</v>
      </c>
      <c r="AC181">
        <v>3</v>
      </c>
    </row>
    <row r="182" spans="1:29">
      <c r="A182" t="s">
        <v>6856</v>
      </c>
      <c r="B182" s="49">
        <v>45000</v>
      </c>
      <c r="Q182">
        <v>1</v>
      </c>
      <c r="R182">
        <v>1</v>
      </c>
      <c r="AC182">
        <v>2</v>
      </c>
    </row>
    <row r="183" spans="1:29">
      <c r="B183" s="49">
        <v>45010</v>
      </c>
      <c r="M183">
        <v>1</v>
      </c>
      <c r="AC183">
        <v>1</v>
      </c>
    </row>
    <row r="184" spans="1:29">
      <c r="A184" t="s">
        <v>8565</v>
      </c>
      <c r="M184">
        <v>1</v>
      </c>
      <c r="Q184">
        <v>1</v>
      </c>
      <c r="R184">
        <v>1</v>
      </c>
      <c r="AC184">
        <v>3</v>
      </c>
    </row>
    <row r="185" spans="1:29">
      <c r="A185" t="s">
        <v>1655</v>
      </c>
      <c r="B185" s="49">
        <v>45014</v>
      </c>
      <c r="N185">
        <v>1</v>
      </c>
      <c r="AC185">
        <v>1</v>
      </c>
    </row>
    <row r="186" spans="1:29">
      <c r="B186" s="49">
        <v>45008</v>
      </c>
      <c r="N186">
        <v>1</v>
      </c>
      <c r="AC186">
        <v>1</v>
      </c>
    </row>
    <row r="187" spans="1:29">
      <c r="A187" t="s">
        <v>8566</v>
      </c>
      <c r="N187">
        <v>2</v>
      </c>
      <c r="AC187">
        <v>2</v>
      </c>
    </row>
    <row r="188" spans="1:29">
      <c r="A188" t="s">
        <v>7251</v>
      </c>
      <c r="B188" s="49">
        <v>45014</v>
      </c>
      <c r="N188">
        <v>1</v>
      </c>
      <c r="AC188">
        <v>1</v>
      </c>
    </row>
    <row r="189" spans="1:29">
      <c r="B189" s="49">
        <v>45008</v>
      </c>
      <c r="N189">
        <v>1</v>
      </c>
      <c r="AC189">
        <v>1</v>
      </c>
    </row>
    <row r="190" spans="1:29">
      <c r="A190" t="s">
        <v>8567</v>
      </c>
      <c r="N190">
        <v>2</v>
      </c>
      <c r="AC190">
        <v>2</v>
      </c>
    </row>
    <row r="191" spans="1:29">
      <c r="A191" t="s">
        <v>7216</v>
      </c>
      <c r="B191" s="49">
        <v>45015</v>
      </c>
      <c r="M191">
        <v>1</v>
      </c>
      <c r="AC191">
        <v>1</v>
      </c>
    </row>
    <row r="192" spans="1:29">
      <c r="B192" s="49">
        <v>45008</v>
      </c>
      <c r="N192">
        <v>1</v>
      </c>
      <c r="AC192">
        <v>1</v>
      </c>
    </row>
    <row r="193" spans="1:29">
      <c r="A193" t="s">
        <v>8568</v>
      </c>
      <c r="M193">
        <v>1</v>
      </c>
      <c r="N193">
        <v>1</v>
      </c>
      <c r="AC193">
        <v>2</v>
      </c>
    </row>
    <row r="194" spans="1:29">
      <c r="A194" t="s">
        <v>3504</v>
      </c>
      <c r="B194" s="49">
        <v>44877</v>
      </c>
      <c r="G194">
        <v>1</v>
      </c>
      <c r="AC194">
        <v>1</v>
      </c>
    </row>
    <row r="195" spans="1:29">
      <c r="B195" s="49">
        <v>44818</v>
      </c>
      <c r="S195">
        <v>1</v>
      </c>
      <c r="AC195">
        <v>1</v>
      </c>
    </row>
    <row r="196" spans="1:29">
      <c r="A196" t="s">
        <v>8569</v>
      </c>
      <c r="G196">
        <v>1</v>
      </c>
      <c r="S196">
        <v>1</v>
      </c>
      <c r="AC196">
        <v>2</v>
      </c>
    </row>
    <row r="197" spans="1:29">
      <c r="A197" t="s">
        <v>7279</v>
      </c>
      <c r="B197" s="49">
        <v>45014</v>
      </c>
      <c r="K197">
        <v>1</v>
      </c>
      <c r="AC197">
        <v>1</v>
      </c>
    </row>
    <row r="198" spans="1:29">
      <c r="B198" s="49">
        <v>45008</v>
      </c>
      <c r="K198">
        <v>1</v>
      </c>
      <c r="AC198">
        <v>1</v>
      </c>
    </row>
    <row r="199" spans="1:29">
      <c r="A199" t="s">
        <v>8570</v>
      </c>
      <c r="K199">
        <v>2</v>
      </c>
      <c r="AC199">
        <v>2</v>
      </c>
    </row>
    <row r="200" spans="1:29">
      <c r="A200" t="s">
        <v>5024</v>
      </c>
      <c r="B200" s="49">
        <v>45016</v>
      </c>
      <c r="M200">
        <v>1</v>
      </c>
      <c r="AC200">
        <v>1</v>
      </c>
    </row>
    <row r="201" spans="1:29">
      <c r="B201" s="49">
        <v>45008</v>
      </c>
      <c r="N201">
        <v>1</v>
      </c>
      <c r="AC201">
        <v>1</v>
      </c>
    </row>
    <row r="202" spans="1:29">
      <c r="A202" t="s">
        <v>8571</v>
      </c>
      <c r="M202">
        <v>1</v>
      </c>
      <c r="N202">
        <v>1</v>
      </c>
      <c r="AC202">
        <v>2</v>
      </c>
    </row>
    <row r="203" spans="1:29">
      <c r="A203" t="s">
        <v>7196</v>
      </c>
      <c r="B203" s="49">
        <v>45016</v>
      </c>
      <c r="M203">
        <v>1</v>
      </c>
      <c r="AC203">
        <v>1</v>
      </c>
    </row>
    <row r="204" spans="1:29">
      <c r="B204" s="49">
        <v>45008</v>
      </c>
      <c r="N204">
        <v>1</v>
      </c>
      <c r="AC204">
        <v>1</v>
      </c>
    </row>
    <row r="205" spans="1:29">
      <c r="A205" t="s">
        <v>8572</v>
      </c>
      <c r="M205">
        <v>1</v>
      </c>
      <c r="N205">
        <v>1</v>
      </c>
      <c r="AC205">
        <v>2</v>
      </c>
    </row>
    <row r="206" spans="1:29">
      <c r="A206" t="s">
        <v>335</v>
      </c>
      <c r="B206" s="49">
        <v>45014</v>
      </c>
      <c r="N206">
        <v>1</v>
      </c>
      <c r="AC206">
        <v>1</v>
      </c>
    </row>
    <row r="207" spans="1:29">
      <c r="B207" s="49">
        <v>44817</v>
      </c>
      <c r="M207">
        <v>1</v>
      </c>
      <c r="AC207">
        <v>1</v>
      </c>
    </row>
    <row r="208" spans="1:29">
      <c r="A208" t="s">
        <v>8573</v>
      </c>
      <c r="M208">
        <v>1</v>
      </c>
      <c r="N208">
        <v>1</v>
      </c>
      <c r="AC208">
        <v>2</v>
      </c>
    </row>
    <row r="209" spans="1:29">
      <c r="A209" t="s">
        <v>7236</v>
      </c>
      <c r="B209" s="49">
        <v>45014</v>
      </c>
      <c r="N209">
        <v>1</v>
      </c>
      <c r="AC209">
        <v>1</v>
      </c>
    </row>
    <row r="210" spans="1:29">
      <c r="B210" s="49">
        <v>45008</v>
      </c>
      <c r="N210">
        <v>1</v>
      </c>
      <c r="AC210">
        <v>1</v>
      </c>
    </row>
    <row r="211" spans="1:29">
      <c r="A211" t="s">
        <v>8574</v>
      </c>
      <c r="N211">
        <v>2</v>
      </c>
      <c r="AC211">
        <v>2</v>
      </c>
    </row>
    <row r="212" spans="1:29">
      <c r="A212" t="s">
        <v>5187</v>
      </c>
      <c r="B212" s="49">
        <v>45016</v>
      </c>
      <c r="N212">
        <v>1</v>
      </c>
      <c r="AC212">
        <v>1</v>
      </c>
    </row>
    <row r="213" spans="1:29">
      <c r="B213" s="49">
        <v>45008</v>
      </c>
      <c r="N213">
        <v>1</v>
      </c>
      <c r="AC213">
        <v>1</v>
      </c>
    </row>
    <row r="214" spans="1:29">
      <c r="A214" t="s">
        <v>8575</v>
      </c>
      <c r="N214">
        <v>2</v>
      </c>
      <c r="AC214">
        <v>2</v>
      </c>
    </row>
    <row r="215" spans="1:29">
      <c r="A215" t="s">
        <v>1592</v>
      </c>
      <c r="B215" s="49">
        <v>45014</v>
      </c>
      <c r="N215">
        <v>1</v>
      </c>
      <c r="AC215">
        <v>1</v>
      </c>
    </row>
    <row r="216" spans="1:29">
      <c r="B216" s="49">
        <v>45008</v>
      </c>
      <c r="N216">
        <v>1</v>
      </c>
      <c r="AC216">
        <v>1</v>
      </c>
    </row>
    <row r="217" spans="1:29">
      <c r="A217" t="s">
        <v>8576</v>
      </c>
      <c r="N217">
        <v>2</v>
      </c>
      <c r="AC217">
        <v>2</v>
      </c>
    </row>
    <row r="218" spans="1:29">
      <c r="A218" t="s">
        <v>5108</v>
      </c>
      <c r="B218" s="49">
        <v>45015</v>
      </c>
      <c r="N218">
        <v>1</v>
      </c>
      <c r="AC218">
        <v>1</v>
      </c>
    </row>
    <row r="219" spans="1:29">
      <c r="B219" s="49">
        <v>45008</v>
      </c>
      <c r="N219">
        <v>1</v>
      </c>
      <c r="AC219">
        <v>1</v>
      </c>
    </row>
    <row r="220" spans="1:29">
      <c r="A220" t="s">
        <v>8577</v>
      </c>
      <c r="N220">
        <v>2</v>
      </c>
      <c r="AC220">
        <v>2</v>
      </c>
    </row>
    <row r="221" spans="1:29">
      <c r="A221" t="s">
        <v>7299</v>
      </c>
      <c r="B221" s="49">
        <v>45014</v>
      </c>
      <c r="N221">
        <v>1</v>
      </c>
      <c r="AC221">
        <v>1</v>
      </c>
    </row>
    <row r="222" spans="1:29">
      <c r="B222" s="49">
        <v>45008</v>
      </c>
      <c r="N222">
        <v>1</v>
      </c>
      <c r="AC222">
        <v>1</v>
      </c>
    </row>
    <row r="223" spans="1:29">
      <c r="A223" t="s">
        <v>8578</v>
      </c>
      <c r="N223">
        <v>2</v>
      </c>
      <c r="AC223">
        <v>2</v>
      </c>
    </row>
    <row r="224" spans="1:29">
      <c r="A224" t="s">
        <v>5053</v>
      </c>
      <c r="B224" s="49">
        <v>45014</v>
      </c>
      <c r="N224">
        <v>1</v>
      </c>
      <c r="AC224">
        <v>1</v>
      </c>
    </row>
    <row r="225" spans="1:29">
      <c r="B225" s="49">
        <v>45008</v>
      </c>
      <c r="N225">
        <v>1</v>
      </c>
      <c r="AC225">
        <v>1</v>
      </c>
    </row>
    <row r="226" spans="1:29">
      <c r="A226" t="s">
        <v>8579</v>
      </c>
      <c r="N226">
        <v>2</v>
      </c>
      <c r="AC226">
        <v>2</v>
      </c>
    </row>
    <row r="227" spans="1:29">
      <c r="A227" t="s">
        <v>7332</v>
      </c>
      <c r="B227" s="49">
        <v>45014</v>
      </c>
      <c r="N227">
        <v>1</v>
      </c>
      <c r="AC227">
        <v>1</v>
      </c>
    </row>
    <row r="228" spans="1:29">
      <c r="B228" s="49">
        <v>45008</v>
      </c>
      <c r="N228">
        <v>1</v>
      </c>
      <c r="AC228">
        <v>1</v>
      </c>
    </row>
    <row r="229" spans="1:29">
      <c r="A229" t="s">
        <v>8580</v>
      </c>
      <c r="N229">
        <v>2</v>
      </c>
      <c r="AC229">
        <v>2</v>
      </c>
    </row>
    <row r="230" spans="1:29">
      <c r="A230" t="s">
        <v>4993</v>
      </c>
      <c r="B230" s="49">
        <v>45014</v>
      </c>
      <c r="K230">
        <v>1</v>
      </c>
      <c r="AC230">
        <v>1</v>
      </c>
    </row>
    <row r="231" spans="1:29">
      <c r="B231" s="49">
        <v>45008</v>
      </c>
      <c r="N231">
        <v>1</v>
      </c>
      <c r="AC231">
        <v>1</v>
      </c>
    </row>
    <row r="232" spans="1:29">
      <c r="A232" t="s">
        <v>8581</v>
      </c>
      <c r="K232">
        <v>1</v>
      </c>
      <c r="N232">
        <v>1</v>
      </c>
      <c r="AC232">
        <v>2</v>
      </c>
    </row>
    <row r="233" spans="1:29">
      <c r="A233" t="s">
        <v>7207</v>
      </c>
      <c r="B233" s="49">
        <v>45016</v>
      </c>
      <c r="M233">
        <v>1</v>
      </c>
      <c r="AC233">
        <v>1</v>
      </c>
    </row>
    <row r="234" spans="1:29">
      <c r="B234" s="49">
        <v>45008</v>
      </c>
      <c r="N234">
        <v>1</v>
      </c>
      <c r="AC234">
        <v>1</v>
      </c>
    </row>
    <row r="235" spans="1:29">
      <c r="A235" t="s">
        <v>8582</v>
      </c>
      <c r="M235">
        <v>1</v>
      </c>
      <c r="N235">
        <v>1</v>
      </c>
      <c r="AC235">
        <v>2</v>
      </c>
    </row>
    <row r="236" spans="1:29">
      <c r="A236" t="s">
        <v>4587</v>
      </c>
      <c r="B236" s="49">
        <v>45017</v>
      </c>
      <c r="L236">
        <v>1</v>
      </c>
      <c r="AC236">
        <v>1</v>
      </c>
    </row>
    <row r="237" spans="1:29">
      <c r="B237" s="49">
        <v>44896</v>
      </c>
      <c r="R237">
        <v>1</v>
      </c>
      <c r="AC237">
        <v>1</v>
      </c>
    </row>
    <row r="238" spans="1:29">
      <c r="A238" t="s">
        <v>8583</v>
      </c>
      <c r="L238">
        <v>1</v>
      </c>
      <c r="R238">
        <v>1</v>
      </c>
      <c r="AC238">
        <v>2</v>
      </c>
    </row>
    <row r="239" spans="1:29">
      <c r="A239" t="s">
        <v>122</v>
      </c>
      <c r="B239" s="49">
        <v>45014</v>
      </c>
      <c r="N239">
        <v>1</v>
      </c>
      <c r="AC239">
        <v>1</v>
      </c>
    </row>
    <row r="240" spans="1:29">
      <c r="B240" s="49">
        <v>45008</v>
      </c>
      <c r="N240">
        <v>1</v>
      </c>
      <c r="AC240">
        <v>1</v>
      </c>
    </row>
    <row r="241" spans="1:29">
      <c r="A241" t="s">
        <v>8584</v>
      </c>
      <c r="N241">
        <v>2</v>
      </c>
      <c r="AC241">
        <v>2</v>
      </c>
    </row>
    <row r="242" spans="1:29">
      <c r="A242" t="s">
        <v>3189</v>
      </c>
      <c r="B242" s="49">
        <v>45014</v>
      </c>
      <c r="N242">
        <v>1</v>
      </c>
      <c r="AC242">
        <v>1</v>
      </c>
    </row>
    <row r="243" spans="1:29">
      <c r="B243" s="49">
        <v>45008</v>
      </c>
      <c r="N243">
        <v>1</v>
      </c>
      <c r="AC243">
        <v>1</v>
      </c>
    </row>
    <row r="244" spans="1:29">
      <c r="A244" t="s">
        <v>8585</v>
      </c>
      <c r="N244">
        <v>2</v>
      </c>
      <c r="AC244">
        <v>2</v>
      </c>
    </row>
    <row r="245" spans="1:29">
      <c r="A245" t="s">
        <v>7244</v>
      </c>
      <c r="B245" s="49">
        <v>45014</v>
      </c>
      <c r="N245">
        <v>1</v>
      </c>
      <c r="AC245">
        <v>1</v>
      </c>
    </row>
    <row r="246" spans="1:29">
      <c r="B246" s="49">
        <v>45008</v>
      </c>
      <c r="N246">
        <v>1</v>
      </c>
      <c r="AC246">
        <v>1</v>
      </c>
    </row>
    <row r="247" spans="1:29">
      <c r="A247" t="s">
        <v>8586</v>
      </c>
      <c r="N247">
        <v>2</v>
      </c>
      <c r="AC247">
        <v>2</v>
      </c>
    </row>
    <row r="248" spans="1:29">
      <c r="A248" t="s">
        <v>429</v>
      </c>
      <c r="B248" s="49">
        <v>44863</v>
      </c>
      <c r="M248">
        <v>1</v>
      </c>
      <c r="AC248">
        <v>1</v>
      </c>
    </row>
    <row r="249" spans="1:29">
      <c r="B249" s="49">
        <v>44823</v>
      </c>
      <c r="J249">
        <v>1</v>
      </c>
      <c r="AC249">
        <v>1</v>
      </c>
    </row>
    <row r="250" spans="1:29">
      <c r="A250" t="s">
        <v>8587</v>
      </c>
      <c r="J250">
        <v>1</v>
      </c>
      <c r="M250">
        <v>1</v>
      </c>
      <c r="AC250">
        <v>2</v>
      </c>
    </row>
    <row r="251" spans="1:29">
      <c r="A251" t="s">
        <v>7259</v>
      </c>
      <c r="B251" s="49">
        <v>45014</v>
      </c>
      <c r="N251">
        <v>1</v>
      </c>
      <c r="AC251">
        <v>1</v>
      </c>
    </row>
    <row r="252" spans="1:29">
      <c r="B252" s="49">
        <v>45008</v>
      </c>
      <c r="N252">
        <v>1</v>
      </c>
      <c r="AC252">
        <v>1</v>
      </c>
    </row>
    <row r="253" spans="1:29">
      <c r="A253" t="s">
        <v>8588</v>
      </c>
      <c r="N253">
        <v>2</v>
      </c>
      <c r="AC253">
        <v>2</v>
      </c>
    </row>
    <row r="254" spans="1:29">
      <c r="A254" t="s">
        <v>5835</v>
      </c>
      <c r="B254" s="49">
        <v>45013</v>
      </c>
      <c r="X254">
        <v>1</v>
      </c>
      <c r="AC254">
        <v>1</v>
      </c>
    </row>
    <row r="255" spans="1:29">
      <c r="B255" s="49">
        <v>44969</v>
      </c>
      <c r="K255">
        <v>1</v>
      </c>
      <c r="AC255">
        <v>1</v>
      </c>
    </row>
    <row r="256" spans="1:29">
      <c r="A256" t="s">
        <v>8589</v>
      </c>
      <c r="K256">
        <v>1</v>
      </c>
      <c r="X256">
        <v>1</v>
      </c>
      <c r="AC256">
        <v>2</v>
      </c>
    </row>
    <row r="257" spans="1:29">
      <c r="A257" t="s">
        <v>7271</v>
      </c>
      <c r="B257" s="49">
        <v>45014</v>
      </c>
      <c r="N257">
        <v>1</v>
      </c>
      <c r="AC257">
        <v>1</v>
      </c>
    </row>
    <row r="258" spans="1:29">
      <c r="B258" s="49">
        <v>45008</v>
      </c>
      <c r="N258">
        <v>1</v>
      </c>
      <c r="AC258">
        <v>1</v>
      </c>
    </row>
    <row r="259" spans="1:29">
      <c r="A259" t="s">
        <v>8590</v>
      </c>
      <c r="N259">
        <v>2</v>
      </c>
      <c r="AC259">
        <v>2</v>
      </c>
    </row>
    <row r="260" spans="1:29">
      <c r="A260" t="s">
        <v>84</v>
      </c>
      <c r="B260" s="49">
        <v>45014</v>
      </c>
      <c r="N260">
        <v>1</v>
      </c>
      <c r="AC260">
        <v>1</v>
      </c>
    </row>
    <row r="261" spans="1:29">
      <c r="B261" s="49">
        <v>45008</v>
      </c>
      <c r="X261">
        <v>1</v>
      </c>
      <c r="AC261">
        <v>1</v>
      </c>
    </row>
    <row r="262" spans="1:29">
      <c r="A262" t="s">
        <v>8591</v>
      </c>
      <c r="N262">
        <v>1</v>
      </c>
      <c r="X262">
        <v>1</v>
      </c>
      <c r="AC262">
        <v>2</v>
      </c>
    </row>
    <row r="263" spans="1:29">
      <c r="A263" t="s">
        <v>7289</v>
      </c>
      <c r="B263" s="49">
        <v>45014</v>
      </c>
      <c r="N263">
        <v>1</v>
      </c>
      <c r="AC263">
        <v>1</v>
      </c>
    </row>
    <row r="264" spans="1:29">
      <c r="B264" s="49">
        <v>45008</v>
      </c>
      <c r="N264">
        <v>1</v>
      </c>
      <c r="AC264">
        <v>1</v>
      </c>
    </row>
    <row r="265" spans="1:29">
      <c r="A265" t="s">
        <v>8592</v>
      </c>
      <c r="N265">
        <v>2</v>
      </c>
      <c r="AC265">
        <v>2</v>
      </c>
    </row>
    <row r="266" spans="1:29">
      <c r="A266" t="s">
        <v>466</v>
      </c>
      <c r="B266" s="49">
        <v>44931</v>
      </c>
      <c r="I266">
        <v>1</v>
      </c>
      <c r="AC266">
        <v>1</v>
      </c>
    </row>
    <row r="267" spans="1:29">
      <c r="B267" s="49">
        <v>44893</v>
      </c>
      <c r="X267">
        <v>1</v>
      </c>
      <c r="AC267">
        <v>1</v>
      </c>
    </row>
    <row r="268" spans="1:29">
      <c r="A268" t="s">
        <v>8593</v>
      </c>
      <c r="I268">
        <v>1</v>
      </c>
      <c r="X268">
        <v>1</v>
      </c>
      <c r="AC268">
        <v>2</v>
      </c>
    </row>
    <row r="269" spans="1:29">
      <c r="A269" t="s">
        <v>7310</v>
      </c>
      <c r="B269" s="49">
        <v>45014</v>
      </c>
      <c r="N269">
        <v>1</v>
      </c>
      <c r="AC269">
        <v>1</v>
      </c>
    </row>
    <row r="270" spans="1:29">
      <c r="B270" s="49">
        <v>45008</v>
      </c>
      <c r="N270">
        <v>1</v>
      </c>
      <c r="AC270">
        <v>1</v>
      </c>
    </row>
    <row r="271" spans="1:29">
      <c r="A271" t="s">
        <v>8594</v>
      </c>
      <c r="N271">
        <v>2</v>
      </c>
      <c r="AC271">
        <v>2</v>
      </c>
    </row>
    <row r="272" spans="1:29">
      <c r="A272" t="s">
        <v>5246</v>
      </c>
      <c r="B272" s="49">
        <v>44974</v>
      </c>
      <c r="Z272">
        <v>2</v>
      </c>
      <c r="AC272">
        <v>2</v>
      </c>
    </row>
    <row r="273" spans="1:29">
      <c r="A273" t="s">
        <v>8595</v>
      </c>
      <c r="Z273">
        <v>2</v>
      </c>
      <c r="AC273">
        <v>2</v>
      </c>
    </row>
    <row r="274" spans="1:29">
      <c r="A274" t="s">
        <v>7326</v>
      </c>
      <c r="B274" s="49">
        <v>45014</v>
      </c>
      <c r="N274">
        <v>1</v>
      </c>
      <c r="AC274">
        <v>1</v>
      </c>
    </row>
    <row r="275" spans="1:29">
      <c r="B275" s="49">
        <v>45008</v>
      </c>
      <c r="N275">
        <v>1</v>
      </c>
      <c r="AC275">
        <v>1</v>
      </c>
    </row>
    <row r="276" spans="1:29">
      <c r="A276" t="s">
        <v>8596</v>
      </c>
      <c r="N276">
        <v>2</v>
      </c>
      <c r="AC276">
        <v>2</v>
      </c>
    </row>
    <row r="277" spans="1:29">
      <c r="A277" t="s">
        <v>5890</v>
      </c>
      <c r="B277" s="49">
        <v>45011</v>
      </c>
      <c r="M277">
        <v>1</v>
      </c>
      <c r="AC277">
        <v>1</v>
      </c>
    </row>
    <row r="278" spans="1:29">
      <c r="B278" s="49">
        <v>44971</v>
      </c>
      <c r="M278">
        <v>1</v>
      </c>
      <c r="AC278">
        <v>1</v>
      </c>
    </row>
    <row r="279" spans="1:29">
      <c r="A279" t="s">
        <v>8597</v>
      </c>
      <c r="M279">
        <v>2</v>
      </c>
      <c r="AC279">
        <v>2</v>
      </c>
    </row>
    <row r="280" spans="1:29">
      <c r="A280" t="s">
        <v>1546</v>
      </c>
      <c r="B280" s="49">
        <v>45015</v>
      </c>
      <c r="N280">
        <v>1</v>
      </c>
      <c r="AC280">
        <v>1</v>
      </c>
    </row>
    <row r="281" spans="1:29">
      <c r="B281" s="49">
        <v>45008</v>
      </c>
      <c r="N281">
        <v>1</v>
      </c>
      <c r="AC281">
        <v>1</v>
      </c>
    </row>
    <row r="282" spans="1:29">
      <c r="A282" t="s">
        <v>8598</v>
      </c>
      <c r="N282">
        <v>2</v>
      </c>
      <c r="AC282">
        <v>2</v>
      </c>
    </row>
    <row r="283" spans="1:29">
      <c r="A283" t="s">
        <v>5894</v>
      </c>
      <c r="B283" s="49">
        <v>45011</v>
      </c>
      <c r="M283">
        <v>1</v>
      </c>
      <c r="AC283">
        <v>1</v>
      </c>
    </row>
    <row r="284" spans="1:29">
      <c r="B284" s="49">
        <v>44972</v>
      </c>
      <c r="M284">
        <v>1</v>
      </c>
      <c r="AC284">
        <v>1</v>
      </c>
    </row>
    <row r="285" spans="1:29">
      <c r="A285" t="s">
        <v>8599</v>
      </c>
      <c r="M285">
        <v>2</v>
      </c>
      <c r="AC285">
        <v>2</v>
      </c>
    </row>
    <row r="286" spans="1:29">
      <c r="A286" t="s">
        <v>7200</v>
      </c>
      <c r="B286" s="49">
        <v>45016</v>
      </c>
      <c r="N286">
        <v>1</v>
      </c>
      <c r="AC286">
        <v>1</v>
      </c>
    </row>
    <row r="287" spans="1:29">
      <c r="B287" s="49">
        <v>45008</v>
      </c>
      <c r="N287">
        <v>1</v>
      </c>
      <c r="AC287">
        <v>1</v>
      </c>
    </row>
    <row r="288" spans="1:29">
      <c r="A288" t="s">
        <v>8600</v>
      </c>
      <c r="N288">
        <v>2</v>
      </c>
      <c r="AC288">
        <v>2</v>
      </c>
    </row>
    <row r="289" spans="1:29">
      <c r="A289" t="s">
        <v>5241</v>
      </c>
      <c r="B289" s="49">
        <v>44971</v>
      </c>
      <c r="X289">
        <v>1</v>
      </c>
      <c r="AC289">
        <v>1</v>
      </c>
    </row>
    <row r="290" spans="1:29">
      <c r="B290" s="49">
        <v>44968</v>
      </c>
      <c r="K290">
        <v>1</v>
      </c>
      <c r="AC290">
        <v>1</v>
      </c>
    </row>
    <row r="291" spans="1:29">
      <c r="A291" t="s">
        <v>8601</v>
      </c>
      <c r="K291">
        <v>1</v>
      </c>
      <c r="X291">
        <v>1</v>
      </c>
      <c r="AC291">
        <v>2</v>
      </c>
    </row>
    <row r="292" spans="1:29">
      <c r="A292" t="s">
        <v>7213</v>
      </c>
      <c r="B292" s="49">
        <v>45016</v>
      </c>
      <c r="N292">
        <v>1</v>
      </c>
      <c r="AC292">
        <v>1</v>
      </c>
    </row>
    <row r="293" spans="1:29">
      <c r="B293" s="49">
        <v>45008</v>
      </c>
      <c r="N293">
        <v>1</v>
      </c>
      <c r="AC293">
        <v>1</v>
      </c>
    </row>
    <row r="294" spans="1:29">
      <c r="A294" t="s">
        <v>8602</v>
      </c>
      <c r="N294">
        <v>2</v>
      </c>
      <c r="AC294">
        <v>2</v>
      </c>
    </row>
    <row r="295" spans="1:29">
      <c r="A295" t="s">
        <v>5618</v>
      </c>
      <c r="B295" s="49">
        <v>45010</v>
      </c>
      <c r="M295">
        <v>1</v>
      </c>
      <c r="AC295">
        <v>1</v>
      </c>
    </row>
    <row r="296" spans="1:29">
      <c r="B296" s="49">
        <v>44965</v>
      </c>
      <c r="R296">
        <v>1</v>
      </c>
      <c r="AC296">
        <v>1</v>
      </c>
    </row>
    <row r="297" spans="1:29">
      <c r="A297" t="s">
        <v>8603</v>
      </c>
      <c r="M297">
        <v>1</v>
      </c>
      <c r="R297">
        <v>1</v>
      </c>
      <c r="AC297">
        <v>2</v>
      </c>
    </row>
    <row r="298" spans="1:29">
      <c r="A298" t="s">
        <v>7222</v>
      </c>
      <c r="B298" s="49">
        <v>45015</v>
      </c>
      <c r="D298">
        <v>1</v>
      </c>
      <c r="AC298">
        <v>1</v>
      </c>
    </row>
    <row r="299" spans="1:29">
      <c r="B299" s="49">
        <v>45008</v>
      </c>
      <c r="N299">
        <v>1</v>
      </c>
      <c r="AC299">
        <v>1</v>
      </c>
    </row>
    <row r="300" spans="1:29">
      <c r="A300" t="s">
        <v>8604</v>
      </c>
      <c r="D300">
        <v>1</v>
      </c>
      <c r="N300">
        <v>1</v>
      </c>
      <c r="AC300">
        <v>2</v>
      </c>
    </row>
    <row r="301" spans="1:29">
      <c r="A301" t="s">
        <v>5615</v>
      </c>
      <c r="B301" s="49">
        <v>45010</v>
      </c>
      <c r="M301">
        <v>1</v>
      </c>
      <c r="AC301">
        <v>1</v>
      </c>
    </row>
    <row r="302" spans="1:29">
      <c r="B302" s="49">
        <v>44965</v>
      </c>
      <c r="N302">
        <v>1</v>
      </c>
      <c r="AC302">
        <v>1</v>
      </c>
    </row>
    <row r="303" spans="1:29">
      <c r="A303" t="s">
        <v>8605</v>
      </c>
      <c r="M303">
        <v>1</v>
      </c>
      <c r="N303">
        <v>1</v>
      </c>
      <c r="AC303">
        <v>2</v>
      </c>
    </row>
    <row r="304" spans="1:29">
      <c r="A304" t="s">
        <v>7231</v>
      </c>
      <c r="B304" s="49">
        <v>45014</v>
      </c>
      <c r="N304">
        <v>1</v>
      </c>
      <c r="AC304">
        <v>1</v>
      </c>
    </row>
    <row r="305" spans="1:29">
      <c r="B305" s="49">
        <v>45008</v>
      </c>
      <c r="N305">
        <v>1</v>
      </c>
      <c r="AC305">
        <v>1</v>
      </c>
    </row>
    <row r="306" spans="1:29">
      <c r="A306" t="s">
        <v>8606</v>
      </c>
      <c r="N306">
        <v>2</v>
      </c>
      <c r="AC306">
        <v>2</v>
      </c>
    </row>
    <row r="307" spans="1:29">
      <c r="A307" t="s">
        <v>5611</v>
      </c>
      <c r="B307" s="49">
        <v>45010</v>
      </c>
      <c r="M307">
        <v>1</v>
      </c>
      <c r="AC307">
        <v>1</v>
      </c>
    </row>
    <row r="308" spans="1:29">
      <c r="B308" s="49">
        <v>44965</v>
      </c>
      <c r="N308">
        <v>1</v>
      </c>
      <c r="AC308">
        <v>1</v>
      </c>
    </row>
    <row r="309" spans="1:29">
      <c r="A309" t="s">
        <v>8607</v>
      </c>
      <c r="M309">
        <v>1</v>
      </c>
      <c r="N309">
        <v>1</v>
      </c>
      <c r="AC309">
        <v>2</v>
      </c>
    </row>
    <row r="310" spans="1:29">
      <c r="A310" t="s">
        <v>7240</v>
      </c>
      <c r="B310" s="49">
        <v>45014</v>
      </c>
      <c r="N310">
        <v>1</v>
      </c>
      <c r="AC310">
        <v>1</v>
      </c>
    </row>
    <row r="311" spans="1:29">
      <c r="B311" s="49">
        <v>45008</v>
      </c>
      <c r="D311">
        <v>1</v>
      </c>
      <c r="AC311">
        <v>1</v>
      </c>
    </row>
    <row r="312" spans="1:29">
      <c r="A312" t="s">
        <v>8608</v>
      </c>
      <c r="D312">
        <v>1</v>
      </c>
      <c r="N312">
        <v>1</v>
      </c>
      <c r="AC312">
        <v>2</v>
      </c>
    </row>
    <row r="313" spans="1:29">
      <c r="A313" t="s">
        <v>5897</v>
      </c>
      <c r="B313" s="49">
        <v>44975</v>
      </c>
      <c r="S313">
        <v>1</v>
      </c>
      <c r="AC313">
        <v>1</v>
      </c>
    </row>
    <row r="314" spans="1:29">
      <c r="B314" s="49">
        <v>44972</v>
      </c>
      <c r="S314">
        <v>1</v>
      </c>
      <c r="AC314">
        <v>1</v>
      </c>
    </row>
    <row r="315" spans="1:29">
      <c r="A315" t="s">
        <v>8609</v>
      </c>
      <c r="S315">
        <v>2</v>
      </c>
      <c r="AC315">
        <v>2</v>
      </c>
    </row>
    <row r="316" spans="1:29">
      <c r="A316" t="s">
        <v>191</v>
      </c>
      <c r="B316" s="49">
        <v>45014</v>
      </c>
      <c r="N316">
        <v>1</v>
      </c>
      <c r="AC316">
        <v>1</v>
      </c>
    </row>
    <row r="317" spans="1:29">
      <c r="B317" s="49">
        <v>45008</v>
      </c>
      <c r="N317">
        <v>1</v>
      </c>
      <c r="AC317">
        <v>1</v>
      </c>
    </row>
    <row r="318" spans="1:29">
      <c r="A318" t="s">
        <v>8610</v>
      </c>
      <c r="N318">
        <v>2</v>
      </c>
      <c r="AC318">
        <v>2</v>
      </c>
    </row>
    <row r="319" spans="1:29">
      <c r="A319" t="s">
        <v>248</v>
      </c>
      <c r="B319" s="49">
        <v>45006</v>
      </c>
      <c r="J319">
        <v>2</v>
      </c>
      <c r="AC319">
        <v>2</v>
      </c>
    </row>
    <row r="320" spans="1:29">
      <c r="A320" t="s">
        <v>8611</v>
      </c>
      <c r="J320">
        <v>2</v>
      </c>
      <c r="AC320">
        <v>2</v>
      </c>
    </row>
    <row r="321" spans="1:29">
      <c r="A321" t="s">
        <v>7255</v>
      </c>
      <c r="B321" s="49">
        <v>45014</v>
      </c>
      <c r="N321">
        <v>1</v>
      </c>
      <c r="AC321">
        <v>1</v>
      </c>
    </row>
    <row r="322" spans="1:29">
      <c r="B322" s="49">
        <v>45008</v>
      </c>
      <c r="N322">
        <v>1</v>
      </c>
      <c r="AC322">
        <v>1</v>
      </c>
    </row>
    <row r="323" spans="1:29">
      <c r="A323" t="s">
        <v>8612</v>
      </c>
      <c r="N323">
        <v>2</v>
      </c>
      <c r="AC323">
        <v>2</v>
      </c>
    </row>
    <row r="324" spans="1:29">
      <c r="A324" t="s">
        <v>3845</v>
      </c>
      <c r="B324" s="49">
        <v>44886</v>
      </c>
      <c r="X324">
        <v>1</v>
      </c>
      <c r="AC324">
        <v>1</v>
      </c>
    </row>
    <row r="325" spans="1:29">
      <c r="B325" s="49">
        <v>44857</v>
      </c>
      <c r="E325">
        <v>1</v>
      </c>
      <c r="AC325">
        <v>1</v>
      </c>
    </row>
    <row r="326" spans="1:29">
      <c r="A326" t="s">
        <v>8613</v>
      </c>
      <c r="E326">
        <v>1</v>
      </c>
      <c r="X326">
        <v>1</v>
      </c>
      <c r="AC326">
        <v>2</v>
      </c>
    </row>
    <row r="327" spans="1:29">
      <c r="A327" t="s">
        <v>135</v>
      </c>
      <c r="B327" s="49">
        <v>45014</v>
      </c>
      <c r="N327">
        <v>1</v>
      </c>
      <c r="AC327">
        <v>1</v>
      </c>
    </row>
    <row r="328" spans="1:29">
      <c r="B328" s="49">
        <v>45008</v>
      </c>
      <c r="N328">
        <v>1</v>
      </c>
      <c r="AC328">
        <v>1</v>
      </c>
    </row>
    <row r="329" spans="1:29">
      <c r="A329" t="s">
        <v>8614</v>
      </c>
      <c r="N329">
        <v>2</v>
      </c>
      <c r="AC329">
        <v>2</v>
      </c>
    </row>
    <row r="330" spans="1:29">
      <c r="A330" t="s">
        <v>6004</v>
      </c>
      <c r="B330" s="49">
        <v>45011</v>
      </c>
      <c r="M330">
        <v>1</v>
      </c>
      <c r="AC330">
        <v>1</v>
      </c>
    </row>
    <row r="331" spans="1:29">
      <c r="B331" s="49">
        <v>44974</v>
      </c>
      <c r="X331">
        <v>1</v>
      </c>
      <c r="AC331">
        <v>1</v>
      </c>
    </row>
    <row r="332" spans="1:29">
      <c r="A332" t="s">
        <v>8615</v>
      </c>
      <c r="M332">
        <v>1</v>
      </c>
      <c r="X332">
        <v>1</v>
      </c>
      <c r="AC332">
        <v>2</v>
      </c>
    </row>
    <row r="333" spans="1:29">
      <c r="A333" t="s">
        <v>7267</v>
      </c>
      <c r="B333" s="49">
        <v>45014</v>
      </c>
      <c r="N333">
        <v>1</v>
      </c>
      <c r="AC333">
        <v>1</v>
      </c>
    </row>
    <row r="334" spans="1:29">
      <c r="B334" s="49">
        <v>45008</v>
      </c>
      <c r="N334">
        <v>1</v>
      </c>
      <c r="AC334">
        <v>1</v>
      </c>
    </row>
    <row r="335" spans="1:29">
      <c r="A335" t="s">
        <v>8616</v>
      </c>
      <c r="N335">
        <v>2</v>
      </c>
      <c r="AC335">
        <v>2</v>
      </c>
    </row>
    <row r="336" spans="1:29">
      <c r="A336" t="s">
        <v>3145</v>
      </c>
      <c r="B336" s="49">
        <v>44925</v>
      </c>
      <c r="L336">
        <v>1</v>
      </c>
      <c r="AC336">
        <v>1</v>
      </c>
    </row>
    <row r="337" spans="1:29">
      <c r="B337" s="49">
        <v>44914</v>
      </c>
      <c r="L337">
        <v>1</v>
      </c>
      <c r="AC337">
        <v>1</v>
      </c>
    </row>
    <row r="338" spans="1:29">
      <c r="A338" t="s">
        <v>8617</v>
      </c>
      <c r="L338">
        <v>2</v>
      </c>
      <c r="AC338">
        <v>2</v>
      </c>
    </row>
    <row r="339" spans="1:29">
      <c r="A339" t="s">
        <v>7275</v>
      </c>
      <c r="B339" s="49">
        <v>45014</v>
      </c>
      <c r="N339">
        <v>1</v>
      </c>
      <c r="AC339">
        <v>1</v>
      </c>
    </row>
    <row r="340" spans="1:29">
      <c r="B340" s="49">
        <v>45008</v>
      </c>
      <c r="N340">
        <v>1</v>
      </c>
      <c r="AC340">
        <v>1</v>
      </c>
    </row>
    <row r="341" spans="1:29">
      <c r="A341" t="s">
        <v>8618</v>
      </c>
      <c r="N341">
        <v>2</v>
      </c>
      <c r="AC341">
        <v>2</v>
      </c>
    </row>
    <row r="342" spans="1:29">
      <c r="A342" t="s">
        <v>6093</v>
      </c>
      <c r="B342" s="49">
        <v>44992</v>
      </c>
      <c r="M342">
        <v>1</v>
      </c>
      <c r="AC342">
        <v>1</v>
      </c>
    </row>
    <row r="343" spans="1:29">
      <c r="B343" s="49">
        <v>44980</v>
      </c>
      <c r="W343">
        <v>1</v>
      </c>
      <c r="AC343">
        <v>1</v>
      </c>
    </row>
    <row r="344" spans="1:29">
      <c r="A344" t="s">
        <v>8619</v>
      </c>
      <c r="M344">
        <v>1</v>
      </c>
      <c r="W344">
        <v>1</v>
      </c>
      <c r="AC344">
        <v>2</v>
      </c>
    </row>
    <row r="345" spans="1:29">
      <c r="A345" t="s">
        <v>7283</v>
      </c>
      <c r="B345" s="49">
        <v>45014</v>
      </c>
      <c r="N345">
        <v>1</v>
      </c>
      <c r="AC345">
        <v>1</v>
      </c>
    </row>
    <row r="346" spans="1:29">
      <c r="B346" s="49">
        <v>45008</v>
      </c>
      <c r="N346">
        <v>1</v>
      </c>
      <c r="AC346">
        <v>1</v>
      </c>
    </row>
    <row r="347" spans="1:29">
      <c r="A347" t="s">
        <v>8620</v>
      </c>
      <c r="N347">
        <v>2</v>
      </c>
      <c r="AC347">
        <v>2</v>
      </c>
    </row>
    <row r="348" spans="1:29">
      <c r="A348" t="s">
        <v>3519</v>
      </c>
      <c r="B348" s="49">
        <v>44822</v>
      </c>
      <c r="J348">
        <v>1</v>
      </c>
      <c r="AC348">
        <v>1</v>
      </c>
    </row>
    <row r="349" spans="1:29">
      <c r="B349" s="49">
        <v>44819</v>
      </c>
      <c r="J349">
        <v>1</v>
      </c>
      <c r="AC349">
        <v>1</v>
      </c>
    </row>
    <row r="350" spans="1:29">
      <c r="A350" t="s">
        <v>8621</v>
      </c>
      <c r="J350">
        <v>2</v>
      </c>
      <c r="AC350">
        <v>2</v>
      </c>
    </row>
    <row r="351" spans="1:29">
      <c r="A351" t="s">
        <v>7294</v>
      </c>
      <c r="B351" s="49">
        <v>45014</v>
      </c>
      <c r="N351">
        <v>1</v>
      </c>
      <c r="AC351">
        <v>1</v>
      </c>
    </row>
    <row r="352" spans="1:29">
      <c r="B352" s="49">
        <v>45008</v>
      </c>
      <c r="N352">
        <v>1</v>
      </c>
      <c r="AC352">
        <v>1</v>
      </c>
    </row>
    <row r="353" spans="1:29">
      <c r="A353" t="s">
        <v>8622</v>
      </c>
      <c r="N353">
        <v>2</v>
      </c>
      <c r="AC353">
        <v>2</v>
      </c>
    </row>
    <row r="354" spans="1:29">
      <c r="A354" t="s">
        <v>6130</v>
      </c>
      <c r="B354" s="49">
        <v>44992</v>
      </c>
      <c r="L354">
        <v>1</v>
      </c>
      <c r="AC354">
        <v>1</v>
      </c>
    </row>
    <row r="355" spans="1:29">
      <c r="B355" s="49">
        <v>44980</v>
      </c>
      <c r="Q355">
        <v>1</v>
      </c>
      <c r="AC355">
        <v>1</v>
      </c>
    </row>
    <row r="356" spans="1:29">
      <c r="A356" t="s">
        <v>8623</v>
      </c>
      <c r="L356">
        <v>1</v>
      </c>
      <c r="Q356">
        <v>1</v>
      </c>
      <c r="AC356">
        <v>2</v>
      </c>
    </row>
    <row r="357" spans="1:29">
      <c r="A357" t="s">
        <v>7305</v>
      </c>
      <c r="B357" s="49">
        <v>45014</v>
      </c>
      <c r="N357">
        <v>1</v>
      </c>
      <c r="AC357">
        <v>1</v>
      </c>
    </row>
    <row r="358" spans="1:29">
      <c r="B358" s="49">
        <v>45008</v>
      </c>
      <c r="N358">
        <v>1</v>
      </c>
      <c r="AC358">
        <v>1</v>
      </c>
    </row>
    <row r="359" spans="1:29">
      <c r="A359" t="s">
        <v>8624</v>
      </c>
      <c r="N359">
        <v>2</v>
      </c>
      <c r="AC359">
        <v>2</v>
      </c>
    </row>
    <row r="360" spans="1:29">
      <c r="A360" t="s">
        <v>6191</v>
      </c>
      <c r="B360" s="49">
        <v>45010</v>
      </c>
      <c r="M360">
        <v>1</v>
      </c>
      <c r="AC360">
        <v>1</v>
      </c>
    </row>
    <row r="361" spans="1:29">
      <c r="B361" s="49">
        <v>44984</v>
      </c>
      <c r="X361">
        <v>1</v>
      </c>
      <c r="AC361">
        <v>1</v>
      </c>
    </row>
    <row r="362" spans="1:29">
      <c r="A362" t="s">
        <v>8625</v>
      </c>
      <c r="M362">
        <v>1</v>
      </c>
      <c r="X362">
        <v>1</v>
      </c>
      <c r="AC362">
        <v>2</v>
      </c>
    </row>
    <row r="363" spans="1:29">
      <c r="A363" t="s">
        <v>7314</v>
      </c>
      <c r="B363" s="49">
        <v>45014</v>
      </c>
      <c r="N363">
        <v>1</v>
      </c>
      <c r="AC363">
        <v>1</v>
      </c>
    </row>
    <row r="364" spans="1:29">
      <c r="B364" s="49">
        <v>45008</v>
      </c>
      <c r="N364">
        <v>1</v>
      </c>
      <c r="AC364">
        <v>1</v>
      </c>
    </row>
    <row r="365" spans="1:29">
      <c r="A365" t="s">
        <v>8626</v>
      </c>
      <c r="N365">
        <v>2</v>
      </c>
      <c r="AC365">
        <v>2</v>
      </c>
    </row>
    <row r="366" spans="1:29">
      <c r="A366" t="s">
        <v>6239</v>
      </c>
      <c r="B366" s="49">
        <v>44997</v>
      </c>
      <c r="L366">
        <v>1</v>
      </c>
      <c r="AC366">
        <v>1</v>
      </c>
    </row>
    <row r="367" spans="1:29">
      <c r="B367" s="49">
        <v>44986</v>
      </c>
      <c r="L367">
        <v>1</v>
      </c>
      <c r="AC367">
        <v>1</v>
      </c>
    </row>
    <row r="368" spans="1:29">
      <c r="A368" t="s">
        <v>8627</v>
      </c>
      <c r="L368">
        <v>2</v>
      </c>
      <c r="AC368">
        <v>2</v>
      </c>
    </row>
    <row r="369" spans="1:29">
      <c r="A369" t="s">
        <v>7322</v>
      </c>
      <c r="B369" s="49">
        <v>45014</v>
      </c>
      <c r="N369">
        <v>1</v>
      </c>
      <c r="AC369">
        <v>1</v>
      </c>
    </row>
    <row r="370" spans="1:29">
      <c r="B370" s="49">
        <v>45008</v>
      </c>
      <c r="N370">
        <v>1</v>
      </c>
      <c r="AC370">
        <v>1</v>
      </c>
    </row>
    <row r="371" spans="1:29">
      <c r="A371" t="s">
        <v>8628</v>
      </c>
      <c r="N371">
        <v>2</v>
      </c>
      <c r="AC371">
        <v>2</v>
      </c>
    </row>
    <row r="372" spans="1:29">
      <c r="A372" t="s">
        <v>5764</v>
      </c>
      <c r="B372" s="49">
        <v>45013</v>
      </c>
      <c r="M372">
        <v>1</v>
      </c>
      <c r="AC372">
        <v>1</v>
      </c>
    </row>
    <row r="373" spans="1:29">
      <c r="B373" s="49">
        <v>44966</v>
      </c>
      <c r="M373">
        <v>1</v>
      </c>
      <c r="AC373">
        <v>1</v>
      </c>
    </row>
    <row r="374" spans="1:29">
      <c r="A374" t="s">
        <v>8629</v>
      </c>
      <c r="M374">
        <v>2</v>
      </c>
      <c r="AC374">
        <v>2</v>
      </c>
    </row>
    <row r="375" spans="1:29">
      <c r="A375" t="s">
        <v>1717</v>
      </c>
      <c r="B375" s="49">
        <v>45014</v>
      </c>
      <c r="N375">
        <v>1</v>
      </c>
      <c r="AC375">
        <v>1</v>
      </c>
    </row>
    <row r="376" spans="1:29">
      <c r="B376" s="49">
        <v>45008</v>
      </c>
      <c r="N376">
        <v>1</v>
      </c>
      <c r="AC376">
        <v>1</v>
      </c>
    </row>
    <row r="377" spans="1:29">
      <c r="A377" t="s">
        <v>8630</v>
      </c>
      <c r="N377">
        <v>2</v>
      </c>
      <c r="AC377">
        <v>2</v>
      </c>
    </row>
    <row r="378" spans="1:29">
      <c r="A378" t="s">
        <v>6492</v>
      </c>
      <c r="B378" s="49">
        <v>45014</v>
      </c>
      <c r="M378">
        <v>1</v>
      </c>
      <c r="AC378">
        <v>1</v>
      </c>
    </row>
    <row r="379" spans="1:29">
      <c r="B379" s="49">
        <v>44992</v>
      </c>
      <c r="M379">
        <v>1</v>
      </c>
      <c r="AC379">
        <v>1</v>
      </c>
    </row>
    <row r="380" spans="1:29">
      <c r="A380" t="s">
        <v>8631</v>
      </c>
      <c r="M380">
        <v>2</v>
      </c>
      <c r="AC380">
        <v>2</v>
      </c>
    </row>
    <row r="381" spans="1:29">
      <c r="A381" t="s">
        <v>7336</v>
      </c>
      <c r="B381" s="49">
        <v>45015</v>
      </c>
      <c r="N381">
        <v>1</v>
      </c>
      <c r="AC381">
        <v>1</v>
      </c>
    </row>
    <row r="382" spans="1:29">
      <c r="B382" s="49">
        <v>45008</v>
      </c>
      <c r="N382">
        <v>1</v>
      </c>
      <c r="AC382">
        <v>1</v>
      </c>
    </row>
    <row r="383" spans="1:29">
      <c r="A383" t="s">
        <v>8632</v>
      </c>
      <c r="N383">
        <v>2</v>
      </c>
      <c r="AC383">
        <v>2</v>
      </c>
    </row>
    <row r="384" spans="1:29">
      <c r="A384" t="s">
        <v>6495</v>
      </c>
      <c r="B384" s="49">
        <v>45014</v>
      </c>
      <c r="M384">
        <v>1</v>
      </c>
      <c r="AC384">
        <v>1</v>
      </c>
    </row>
    <row r="385" spans="1:29">
      <c r="B385" s="49">
        <v>44992</v>
      </c>
      <c r="M385">
        <v>1</v>
      </c>
      <c r="AC385">
        <v>1</v>
      </c>
    </row>
    <row r="386" spans="1:29">
      <c r="A386" t="s">
        <v>8633</v>
      </c>
      <c r="M386">
        <v>2</v>
      </c>
      <c r="AC386">
        <v>2</v>
      </c>
    </row>
    <row r="387" spans="1:29">
      <c r="A387" t="s">
        <v>176</v>
      </c>
      <c r="B387" s="49">
        <v>45016</v>
      </c>
      <c r="N387">
        <v>1</v>
      </c>
      <c r="AC387">
        <v>1</v>
      </c>
    </row>
    <row r="388" spans="1:29">
      <c r="B388" s="49">
        <v>45008</v>
      </c>
      <c r="N388">
        <v>1</v>
      </c>
      <c r="AC388">
        <v>1</v>
      </c>
    </row>
    <row r="389" spans="1:29">
      <c r="A389" t="s">
        <v>8634</v>
      </c>
      <c r="N389">
        <v>2</v>
      </c>
      <c r="AC389">
        <v>2</v>
      </c>
    </row>
    <row r="390" spans="1:29">
      <c r="A390" t="s">
        <v>6498</v>
      </c>
      <c r="B390" s="49">
        <v>45014</v>
      </c>
      <c r="M390">
        <v>1</v>
      </c>
      <c r="AC390">
        <v>1</v>
      </c>
    </row>
    <row r="391" spans="1:29">
      <c r="B391" s="49">
        <v>44992</v>
      </c>
      <c r="M391">
        <v>1</v>
      </c>
      <c r="AC391">
        <v>1</v>
      </c>
    </row>
    <row r="392" spans="1:29">
      <c r="A392" t="s">
        <v>8635</v>
      </c>
      <c r="M392">
        <v>2</v>
      </c>
      <c r="AC392">
        <v>2</v>
      </c>
    </row>
    <row r="393" spans="1:29">
      <c r="A393" t="s">
        <v>7198</v>
      </c>
      <c r="B393" s="49">
        <v>45016</v>
      </c>
      <c r="M393">
        <v>1</v>
      </c>
      <c r="AC393">
        <v>1</v>
      </c>
    </row>
    <row r="394" spans="1:29">
      <c r="B394" s="49">
        <v>45008</v>
      </c>
      <c r="N394">
        <v>1</v>
      </c>
      <c r="AC394">
        <v>1</v>
      </c>
    </row>
    <row r="395" spans="1:29">
      <c r="A395" t="s">
        <v>8636</v>
      </c>
      <c r="M395">
        <v>1</v>
      </c>
      <c r="N395">
        <v>1</v>
      </c>
      <c r="AC395">
        <v>2</v>
      </c>
    </row>
    <row r="396" spans="1:29">
      <c r="A396" t="s">
        <v>6501</v>
      </c>
      <c r="B396" s="49">
        <v>45014</v>
      </c>
      <c r="M396">
        <v>1</v>
      </c>
      <c r="AC396">
        <v>1</v>
      </c>
    </row>
    <row r="397" spans="1:29">
      <c r="B397" s="49">
        <v>44992</v>
      </c>
      <c r="M397">
        <v>1</v>
      </c>
      <c r="AC397">
        <v>1</v>
      </c>
    </row>
    <row r="398" spans="1:29">
      <c r="A398" t="s">
        <v>8637</v>
      </c>
      <c r="M398">
        <v>2</v>
      </c>
      <c r="AC398">
        <v>2</v>
      </c>
    </row>
    <row r="399" spans="1:29">
      <c r="A399" t="s">
        <v>52</v>
      </c>
      <c r="B399" s="49">
        <v>45016</v>
      </c>
      <c r="M399">
        <v>1</v>
      </c>
      <c r="AC399">
        <v>1</v>
      </c>
    </row>
    <row r="400" spans="1:29">
      <c r="B400" s="49">
        <v>45008</v>
      </c>
      <c r="N400">
        <v>1</v>
      </c>
      <c r="AC400">
        <v>1</v>
      </c>
    </row>
    <row r="401" spans="1:29">
      <c r="A401" t="s">
        <v>8638</v>
      </c>
      <c r="M401">
        <v>1</v>
      </c>
      <c r="N401">
        <v>1</v>
      </c>
      <c r="AC401">
        <v>2</v>
      </c>
    </row>
    <row r="402" spans="1:29">
      <c r="A402" t="s">
        <v>6504</v>
      </c>
      <c r="B402" s="49">
        <v>45014</v>
      </c>
      <c r="M402">
        <v>1</v>
      </c>
      <c r="AC402">
        <v>1</v>
      </c>
    </row>
    <row r="403" spans="1:29">
      <c r="B403" s="49">
        <v>44992</v>
      </c>
      <c r="M403">
        <v>1</v>
      </c>
      <c r="AC403">
        <v>1</v>
      </c>
    </row>
    <row r="404" spans="1:29">
      <c r="A404" t="s">
        <v>8639</v>
      </c>
      <c r="M404">
        <v>2</v>
      </c>
      <c r="AC404">
        <v>2</v>
      </c>
    </row>
    <row r="405" spans="1:29">
      <c r="A405" t="s">
        <v>7209</v>
      </c>
      <c r="B405" s="49">
        <v>45016</v>
      </c>
      <c r="N405">
        <v>1</v>
      </c>
      <c r="AC405">
        <v>1</v>
      </c>
    </row>
    <row r="406" spans="1:29">
      <c r="B406" s="49">
        <v>45008</v>
      </c>
      <c r="N406">
        <v>1</v>
      </c>
      <c r="AC406">
        <v>1</v>
      </c>
    </row>
    <row r="407" spans="1:29">
      <c r="A407" t="s">
        <v>8640</v>
      </c>
      <c r="N407">
        <v>2</v>
      </c>
      <c r="AC407">
        <v>2</v>
      </c>
    </row>
    <row r="408" spans="1:29">
      <c r="A408" t="s">
        <v>5017</v>
      </c>
      <c r="B408" s="49">
        <v>45016</v>
      </c>
      <c r="D408">
        <v>1</v>
      </c>
      <c r="AC408">
        <v>1</v>
      </c>
    </row>
    <row r="409" spans="1:29">
      <c r="B409" s="49">
        <v>45007</v>
      </c>
      <c r="R409">
        <v>1</v>
      </c>
      <c r="AC409">
        <v>1</v>
      </c>
    </row>
    <row r="410" spans="1:29">
      <c r="A410" t="s">
        <v>8641</v>
      </c>
      <c r="D410">
        <v>1</v>
      </c>
      <c r="R410">
        <v>1</v>
      </c>
      <c r="AC410">
        <v>2</v>
      </c>
    </row>
    <row r="411" spans="1:29">
      <c r="A411" t="s">
        <v>196</v>
      </c>
      <c r="B411" s="49">
        <v>45016</v>
      </c>
      <c r="N411">
        <v>1</v>
      </c>
      <c r="AC411">
        <v>1</v>
      </c>
    </row>
    <row r="412" spans="1:29">
      <c r="B412" s="49">
        <v>45008</v>
      </c>
      <c r="N412">
        <v>1</v>
      </c>
      <c r="AC412">
        <v>1</v>
      </c>
    </row>
    <row r="413" spans="1:29">
      <c r="A413" t="s">
        <v>8642</v>
      </c>
      <c r="N413">
        <v>2</v>
      </c>
      <c r="AC413">
        <v>2</v>
      </c>
    </row>
    <row r="414" spans="1:29">
      <c r="A414" t="s">
        <v>6520</v>
      </c>
      <c r="B414" s="49">
        <v>45013</v>
      </c>
      <c r="M414">
        <v>1</v>
      </c>
      <c r="AC414">
        <v>1</v>
      </c>
    </row>
    <row r="415" spans="1:29">
      <c r="B415" s="49">
        <v>44992</v>
      </c>
      <c r="M415">
        <v>1</v>
      </c>
      <c r="AC415">
        <v>1</v>
      </c>
    </row>
    <row r="416" spans="1:29">
      <c r="A416" t="s">
        <v>8643</v>
      </c>
      <c r="M416">
        <v>2</v>
      </c>
      <c r="AC416">
        <v>2</v>
      </c>
    </row>
    <row r="417" spans="1:29">
      <c r="A417" t="s">
        <v>7218</v>
      </c>
      <c r="B417" s="49">
        <v>45015</v>
      </c>
      <c r="N417">
        <v>1</v>
      </c>
      <c r="AC417">
        <v>1</v>
      </c>
    </row>
    <row r="418" spans="1:29">
      <c r="B418" s="49">
        <v>45008</v>
      </c>
      <c r="N418">
        <v>1</v>
      </c>
      <c r="AC418">
        <v>1</v>
      </c>
    </row>
    <row r="419" spans="1:29">
      <c r="A419" t="s">
        <v>8644</v>
      </c>
      <c r="N419">
        <v>2</v>
      </c>
      <c r="AC419">
        <v>2</v>
      </c>
    </row>
    <row r="420" spans="1:29">
      <c r="A420" t="s">
        <v>6523</v>
      </c>
      <c r="B420" s="49">
        <v>45013</v>
      </c>
      <c r="M420">
        <v>1</v>
      </c>
      <c r="AC420">
        <v>1</v>
      </c>
    </row>
    <row r="421" spans="1:29">
      <c r="B421" s="49">
        <v>44992</v>
      </c>
      <c r="M421">
        <v>1</v>
      </c>
      <c r="AC421">
        <v>1</v>
      </c>
    </row>
    <row r="422" spans="1:29">
      <c r="A422" t="s">
        <v>8645</v>
      </c>
      <c r="M422">
        <v>2</v>
      </c>
      <c r="AC422">
        <v>2</v>
      </c>
    </row>
    <row r="423" spans="1:29">
      <c r="A423" t="s">
        <v>7225</v>
      </c>
      <c r="B423" s="49">
        <v>45014</v>
      </c>
      <c r="N423">
        <v>1</v>
      </c>
      <c r="AC423">
        <v>1</v>
      </c>
    </row>
    <row r="424" spans="1:29">
      <c r="B424" s="49">
        <v>45008</v>
      </c>
      <c r="N424">
        <v>1</v>
      </c>
      <c r="AC424">
        <v>1</v>
      </c>
    </row>
    <row r="425" spans="1:29">
      <c r="A425" t="s">
        <v>8646</v>
      </c>
      <c r="N425">
        <v>2</v>
      </c>
      <c r="AC425">
        <v>2</v>
      </c>
    </row>
    <row r="426" spans="1:29">
      <c r="A426" t="s">
        <v>5183</v>
      </c>
      <c r="B426" s="49">
        <v>45016</v>
      </c>
      <c r="X426">
        <v>1</v>
      </c>
      <c r="AC426">
        <v>1</v>
      </c>
    </row>
    <row r="427" spans="1:29">
      <c r="B427" s="49">
        <v>45008</v>
      </c>
      <c r="N427">
        <v>1</v>
      </c>
      <c r="AC427">
        <v>1</v>
      </c>
    </row>
    <row r="428" spans="1:29">
      <c r="A428" t="s">
        <v>8647</v>
      </c>
      <c r="N428">
        <v>1</v>
      </c>
      <c r="X428">
        <v>1</v>
      </c>
      <c r="AC428">
        <v>2</v>
      </c>
    </row>
    <row r="429" spans="1:29">
      <c r="A429" t="s">
        <v>7229</v>
      </c>
      <c r="B429" s="49">
        <v>45014</v>
      </c>
      <c r="N429">
        <v>1</v>
      </c>
      <c r="AC429">
        <v>1</v>
      </c>
    </row>
    <row r="430" spans="1:29">
      <c r="B430" s="49">
        <v>45008</v>
      </c>
      <c r="N430">
        <v>1</v>
      </c>
      <c r="AC430">
        <v>1</v>
      </c>
    </row>
    <row r="431" spans="1:29">
      <c r="A431" t="s">
        <v>8648</v>
      </c>
      <c r="N431">
        <v>2</v>
      </c>
      <c r="AC431">
        <v>2</v>
      </c>
    </row>
    <row r="432" spans="1:29">
      <c r="A432" t="s">
        <v>5089</v>
      </c>
      <c r="B432" s="49">
        <v>45016</v>
      </c>
      <c r="N432">
        <v>1</v>
      </c>
      <c r="AC432">
        <v>1</v>
      </c>
    </row>
    <row r="433" spans="1:29">
      <c r="B433" s="49">
        <v>45008</v>
      </c>
      <c r="N433">
        <v>1</v>
      </c>
      <c r="AC433">
        <v>1</v>
      </c>
    </row>
    <row r="434" spans="1:29">
      <c r="A434" t="s">
        <v>8649</v>
      </c>
      <c r="N434">
        <v>2</v>
      </c>
      <c r="AC434">
        <v>2</v>
      </c>
    </row>
    <row r="435" spans="1:29">
      <c r="A435" t="s">
        <v>7234</v>
      </c>
      <c r="B435" s="49">
        <v>45014</v>
      </c>
      <c r="N435">
        <v>1</v>
      </c>
      <c r="AC435">
        <v>1</v>
      </c>
    </row>
    <row r="436" spans="1:29">
      <c r="B436" s="49">
        <v>45008</v>
      </c>
      <c r="N436">
        <v>1</v>
      </c>
      <c r="AC436">
        <v>1</v>
      </c>
    </row>
    <row r="437" spans="1:29">
      <c r="A437" t="s">
        <v>8650</v>
      </c>
      <c r="N437">
        <v>2</v>
      </c>
      <c r="AC437">
        <v>2</v>
      </c>
    </row>
    <row r="438" spans="1:29">
      <c r="A438" t="s">
        <v>4988</v>
      </c>
      <c r="B438" s="49">
        <v>44928</v>
      </c>
      <c r="K438">
        <v>1</v>
      </c>
      <c r="AC438">
        <v>1</v>
      </c>
    </row>
    <row r="439" spans="1:29">
      <c r="B439" s="49">
        <v>44924</v>
      </c>
      <c r="K439">
        <v>1</v>
      </c>
      <c r="AC439">
        <v>1</v>
      </c>
    </row>
    <row r="440" spans="1:29">
      <c r="A440" t="s">
        <v>8651</v>
      </c>
      <c r="K440">
        <v>2</v>
      </c>
      <c r="AC440">
        <v>2</v>
      </c>
    </row>
    <row r="441" spans="1:29">
      <c r="A441" t="s">
        <v>7238</v>
      </c>
      <c r="B441" s="49">
        <v>45014</v>
      </c>
      <c r="N441">
        <v>1</v>
      </c>
      <c r="AC441">
        <v>1</v>
      </c>
    </row>
    <row r="442" spans="1:29">
      <c r="B442" s="49">
        <v>45008</v>
      </c>
      <c r="N442">
        <v>1</v>
      </c>
      <c r="AC442">
        <v>1</v>
      </c>
    </row>
    <row r="443" spans="1:29">
      <c r="A443" t="s">
        <v>8652</v>
      </c>
      <c r="N443">
        <v>2</v>
      </c>
      <c r="AC443">
        <v>2</v>
      </c>
    </row>
    <row r="444" spans="1:29">
      <c r="A444" t="s">
        <v>6432</v>
      </c>
      <c r="B444" s="49">
        <v>45011</v>
      </c>
      <c r="M444">
        <v>1</v>
      </c>
      <c r="AC444">
        <v>1</v>
      </c>
    </row>
    <row r="445" spans="1:29">
      <c r="B445" s="49">
        <v>44991</v>
      </c>
      <c r="M445">
        <v>1</v>
      </c>
      <c r="AC445">
        <v>1</v>
      </c>
    </row>
    <row r="446" spans="1:29">
      <c r="A446" t="s">
        <v>8653</v>
      </c>
      <c r="M446">
        <v>2</v>
      </c>
      <c r="AC446">
        <v>2</v>
      </c>
    </row>
    <row r="447" spans="1:29">
      <c r="A447" t="s">
        <v>7242</v>
      </c>
      <c r="B447" s="49">
        <v>45014</v>
      </c>
      <c r="N447">
        <v>1</v>
      </c>
      <c r="AC447">
        <v>1</v>
      </c>
    </row>
    <row r="448" spans="1:29">
      <c r="B448" s="49">
        <v>45008</v>
      </c>
      <c r="N448">
        <v>1</v>
      </c>
      <c r="AC448">
        <v>1</v>
      </c>
    </row>
    <row r="449" spans="1:29">
      <c r="A449" t="s">
        <v>8654</v>
      </c>
      <c r="N449">
        <v>2</v>
      </c>
      <c r="AC449">
        <v>2</v>
      </c>
    </row>
    <row r="450" spans="1:29">
      <c r="A450" t="s">
        <v>6734</v>
      </c>
      <c r="B450" s="49">
        <v>45011</v>
      </c>
      <c r="M450">
        <v>1</v>
      </c>
      <c r="AC450">
        <v>1</v>
      </c>
    </row>
    <row r="451" spans="1:29">
      <c r="B451" s="49">
        <v>44998</v>
      </c>
      <c r="Q451">
        <v>1</v>
      </c>
      <c r="AC451">
        <v>1</v>
      </c>
    </row>
    <row r="452" spans="1:29">
      <c r="A452" t="s">
        <v>8655</v>
      </c>
      <c r="M452">
        <v>1</v>
      </c>
      <c r="Q452">
        <v>1</v>
      </c>
      <c r="AC452">
        <v>2</v>
      </c>
    </row>
    <row r="453" spans="1:29">
      <c r="A453" t="s">
        <v>7246</v>
      </c>
      <c r="B453" s="49">
        <v>45014</v>
      </c>
      <c r="N453">
        <v>1</v>
      </c>
      <c r="AC453">
        <v>1</v>
      </c>
    </row>
    <row r="454" spans="1:29">
      <c r="B454" s="49">
        <v>45008</v>
      </c>
      <c r="N454">
        <v>1</v>
      </c>
      <c r="AC454">
        <v>1</v>
      </c>
    </row>
    <row r="455" spans="1:29">
      <c r="A455" t="s">
        <v>8656</v>
      </c>
      <c r="N455">
        <v>2</v>
      </c>
      <c r="AC455">
        <v>2</v>
      </c>
    </row>
    <row r="456" spans="1:29">
      <c r="A456" t="s">
        <v>6691</v>
      </c>
      <c r="B456" s="49">
        <v>45013</v>
      </c>
      <c r="M456">
        <v>1</v>
      </c>
      <c r="AC456">
        <v>1</v>
      </c>
    </row>
    <row r="457" spans="1:29">
      <c r="B457" s="49">
        <v>44996</v>
      </c>
      <c r="L457">
        <v>1</v>
      </c>
      <c r="AC457">
        <v>1</v>
      </c>
    </row>
    <row r="458" spans="1:29">
      <c r="A458" t="s">
        <v>8657</v>
      </c>
      <c r="L458">
        <v>1</v>
      </c>
      <c r="M458">
        <v>1</v>
      </c>
      <c r="AC458">
        <v>2</v>
      </c>
    </row>
    <row r="459" spans="1:29">
      <c r="A459" t="s">
        <v>7249</v>
      </c>
      <c r="B459" s="49">
        <v>45014</v>
      </c>
      <c r="N459">
        <v>1</v>
      </c>
      <c r="AC459">
        <v>1</v>
      </c>
    </row>
    <row r="460" spans="1:29">
      <c r="B460" s="49">
        <v>45008</v>
      </c>
      <c r="N460">
        <v>1</v>
      </c>
      <c r="AC460">
        <v>1</v>
      </c>
    </row>
    <row r="461" spans="1:29">
      <c r="A461" t="s">
        <v>8658</v>
      </c>
      <c r="N461">
        <v>2</v>
      </c>
      <c r="AC461">
        <v>2</v>
      </c>
    </row>
    <row r="462" spans="1:29">
      <c r="A462" t="s">
        <v>5021</v>
      </c>
      <c r="B462" s="49">
        <v>45016</v>
      </c>
      <c r="N462">
        <v>1</v>
      </c>
      <c r="AC462">
        <v>1</v>
      </c>
    </row>
    <row r="463" spans="1:29">
      <c r="B463" s="49">
        <v>45008</v>
      </c>
      <c r="N463">
        <v>1</v>
      </c>
      <c r="AC463">
        <v>1</v>
      </c>
    </row>
    <row r="464" spans="1:29">
      <c r="A464" t="s">
        <v>8659</v>
      </c>
      <c r="N464">
        <v>2</v>
      </c>
      <c r="AC464">
        <v>2</v>
      </c>
    </row>
    <row r="465" spans="1:29">
      <c r="A465" t="s">
        <v>7253</v>
      </c>
      <c r="B465" s="49">
        <v>45014</v>
      </c>
      <c r="N465">
        <v>1</v>
      </c>
      <c r="AC465">
        <v>1</v>
      </c>
    </row>
    <row r="466" spans="1:29">
      <c r="B466" s="49">
        <v>45008</v>
      </c>
      <c r="N466">
        <v>1</v>
      </c>
      <c r="AC466">
        <v>1</v>
      </c>
    </row>
    <row r="467" spans="1:29">
      <c r="A467" t="s">
        <v>8660</v>
      </c>
      <c r="N467">
        <v>2</v>
      </c>
      <c r="AC467">
        <v>2</v>
      </c>
    </row>
    <row r="468" spans="1:29">
      <c r="A468" t="s">
        <v>6643</v>
      </c>
      <c r="B468" s="49">
        <v>45011</v>
      </c>
      <c r="M468">
        <v>1</v>
      </c>
      <c r="AC468">
        <v>1</v>
      </c>
    </row>
    <row r="469" spans="1:29">
      <c r="B469" s="49">
        <v>44995</v>
      </c>
      <c r="M469">
        <v>1</v>
      </c>
      <c r="AC469">
        <v>1</v>
      </c>
    </row>
    <row r="470" spans="1:29">
      <c r="A470" t="s">
        <v>8661</v>
      </c>
      <c r="M470">
        <v>2</v>
      </c>
      <c r="AC470">
        <v>2</v>
      </c>
    </row>
    <row r="471" spans="1:29">
      <c r="A471" t="s">
        <v>130</v>
      </c>
      <c r="B471" s="49">
        <v>45014</v>
      </c>
      <c r="N471">
        <v>1</v>
      </c>
      <c r="AC471">
        <v>1</v>
      </c>
    </row>
    <row r="472" spans="1:29">
      <c r="B472" s="49">
        <v>45008</v>
      </c>
      <c r="N472">
        <v>1</v>
      </c>
      <c r="AC472">
        <v>1</v>
      </c>
    </row>
    <row r="473" spans="1:29">
      <c r="A473" t="s">
        <v>8662</v>
      </c>
      <c r="N473">
        <v>2</v>
      </c>
      <c r="AC473">
        <v>2</v>
      </c>
    </row>
    <row r="474" spans="1:29">
      <c r="A474" t="s">
        <v>6646</v>
      </c>
      <c r="B474" s="49">
        <v>45011</v>
      </c>
      <c r="M474">
        <v>1</v>
      </c>
      <c r="AC474">
        <v>1</v>
      </c>
    </row>
    <row r="475" spans="1:29">
      <c r="B475" s="49">
        <v>44995</v>
      </c>
      <c r="M475">
        <v>1</v>
      </c>
      <c r="AC475">
        <v>1</v>
      </c>
    </row>
    <row r="476" spans="1:29">
      <c r="A476" t="s">
        <v>8663</v>
      </c>
      <c r="M476">
        <v>2</v>
      </c>
      <c r="AC476">
        <v>2</v>
      </c>
    </row>
    <row r="477" spans="1:29">
      <c r="A477" t="s">
        <v>1712</v>
      </c>
      <c r="B477" s="49">
        <v>45014</v>
      </c>
      <c r="N477">
        <v>1</v>
      </c>
      <c r="AC477">
        <v>1</v>
      </c>
    </row>
    <row r="478" spans="1:29">
      <c r="B478" s="49">
        <v>45008</v>
      </c>
      <c r="N478">
        <v>1</v>
      </c>
      <c r="AC478">
        <v>1</v>
      </c>
    </row>
    <row r="479" spans="1:29">
      <c r="A479" t="s">
        <v>8664</v>
      </c>
      <c r="N479">
        <v>2</v>
      </c>
      <c r="AC479">
        <v>2</v>
      </c>
    </row>
    <row r="480" spans="1:29">
      <c r="A480" t="s">
        <v>6649</v>
      </c>
      <c r="B480" s="49">
        <v>45011</v>
      </c>
      <c r="M480">
        <v>1</v>
      </c>
      <c r="AC480">
        <v>1</v>
      </c>
    </row>
    <row r="481" spans="1:29">
      <c r="B481" s="49">
        <v>44995</v>
      </c>
      <c r="M481">
        <v>1</v>
      </c>
      <c r="AC481">
        <v>1</v>
      </c>
    </row>
    <row r="482" spans="1:29">
      <c r="A482" t="s">
        <v>8665</v>
      </c>
      <c r="M482">
        <v>2</v>
      </c>
      <c r="AC482">
        <v>2</v>
      </c>
    </row>
    <row r="483" spans="1:29">
      <c r="A483" t="s">
        <v>1560</v>
      </c>
      <c r="B483" s="49">
        <v>45014</v>
      </c>
      <c r="N483">
        <v>1</v>
      </c>
      <c r="AC483">
        <v>1</v>
      </c>
    </row>
    <row r="484" spans="1:29">
      <c r="B484" s="49">
        <v>45008</v>
      </c>
      <c r="N484">
        <v>1</v>
      </c>
      <c r="AC484">
        <v>1</v>
      </c>
    </row>
    <row r="485" spans="1:29">
      <c r="A485" t="s">
        <v>8666</v>
      </c>
      <c r="N485">
        <v>2</v>
      </c>
      <c r="AC485">
        <v>2</v>
      </c>
    </row>
    <row r="486" spans="1:29">
      <c r="A486" t="s">
        <v>6615</v>
      </c>
      <c r="B486" s="49">
        <v>45011</v>
      </c>
      <c r="M486">
        <v>1</v>
      </c>
      <c r="AC486">
        <v>1</v>
      </c>
    </row>
    <row r="487" spans="1:29">
      <c r="B487" s="49">
        <v>44995</v>
      </c>
      <c r="V487">
        <v>1</v>
      </c>
      <c r="AC487">
        <v>1</v>
      </c>
    </row>
    <row r="488" spans="1:29">
      <c r="A488" t="s">
        <v>8667</v>
      </c>
      <c r="M488">
        <v>1</v>
      </c>
      <c r="V488">
        <v>1</v>
      </c>
      <c r="AC488">
        <v>2</v>
      </c>
    </row>
    <row r="489" spans="1:29">
      <c r="A489" t="s">
        <v>77</v>
      </c>
      <c r="B489" s="49">
        <v>45014</v>
      </c>
      <c r="N489">
        <v>1</v>
      </c>
      <c r="AC489">
        <v>1</v>
      </c>
    </row>
    <row r="490" spans="1:29">
      <c r="B490" s="49">
        <v>45008</v>
      </c>
      <c r="N490">
        <v>1</v>
      </c>
      <c r="AC490">
        <v>1</v>
      </c>
    </row>
    <row r="491" spans="1:29">
      <c r="A491" t="s">
        <v>8668</v>
      </c>
      <c r="N491">
        <v>2</v>
      </c>
      <c r="AC491">
        <v>2</v>
      </c>
    </row>
    <row r="492" spans="1:29">
      <c r="A492" t="s">
        <v>164</v>
      </c>
      <c r="B492" s="49">
        <v>45015</v>
      </c>
      <c r="N492">
        <v>1</v>
      </c>
      <c r="AC492">
        <v>1</v>
      </c>
    </row>
    <row r="493" spans="1:29">
      <c r="B493" s="49">
        <v>45009</v>
      </c>
      <c r="N493">
        <v>1</v>
      </c>
      <c r="AC493">
        <v>1</v>
      </c>
    </row>
    <row r="494" spans="1:29">
      <c r="A494" t="s">
        <v>8669</v>
      </c>
      <c r="N494">
        <v>2</v>
      </c>
      <c r="AC494">
        <v>2</v>
      </c>
    </row>
    <row r="495" spans="1:29">
      <c r="A495" t="s">
        <v>3296</v>
      </c>
      <c r="B495" s="49">
        <v>44992</v>
      </c>
      <c r="U495">
        <v>1</v>
      </c>
      <c r="AC495">
        <v>1</v>
      </c>
    </row>
    <row r="496" spans="1:29">
      <c r="B496" s="49">
        <v>44970</v>
      </c>
      <c r="V496">
        <v>1</v>
      </c>
      <c r="AC496">
        <v>1</v>
      </c>
    </row>
    <row r="497" spans="1:29">
      <c r="A497" t="s">
        <v>8670</v>
      </c>
      <c r="U497">
        <v>1</v>
      </c>
      <c r="V497">
        <v>1</v>
      </c>
      <c r="AC497">
        <v>2</v>
      </c>
    </row>
    <row r="498" spans="1:29">
      <c r="A498" t="s">
        <v>7344</v>
      </c>
      <c r="B498" s="49">
        <v>45015</v>
      </c>
      <c r="N498">
        <v>1</v>
      </c>
      <c r="AC498">
        <v>1</v>
      </c>
    </row>
    <row r="499" spans="1:29">
      <c r="B499" s="49">
        <v>45009</v>
      </c>
      <c r="N499">
        <v>1</v>
      </c>
      <c r="AC499">
        <v>1</v>
      </c>
    </row>
    <row r="500" spans="1:29">
      <c r="A500" t="s">
        <v>8671</v>
      </c>
      <c r="N500">
        <v>2</v>
      </c>
      <c r="AC500">
        <v>2</v>
      </c>
    </row>
    <row r="501" spans="1:29">
      <c r="A501" t="s">
        <v>7273</v>
      </c>
      <c r="B501" s="49">
        <v>45014</v>
      </c>
      <c r="N501">
        <v>1</v>
      </c>
      <c r="AC501">
        <v>1</v>
      </c>
    </row>
    <row r="502" spans="1:29">
      <c r="B502" s="49">
        <v>45008</v>
      </c>
      <c r="N502">
        <v>1</v>
      </c>
      <c r="AC502">
        <v>1</v>
      </c>
    </row>
    <row r="503" spans="1:29">
      <c r="A503" t="s">
        <v>8672</v>
      </c>
      <c r="N503">
        <v>2</v>
      </c>
      <c r="AC503">
        <v>2</v>
      </c>
    </row>
    <row r="504" spans="1:29">
      <c r="A504" t="s">
        <v>7348</v>
      </c>
      <c r="B504" s="49">
        <v>45015</v>
      </c>
      <c r="N504">
        <v>1</v>
      </c>
      <c r="AC504">
        <v>1</v>
      </c>
    </row>
    <row r="505" spans="1:29">
      <c r="B505" s="49">
        <v>45009</v>
      </c>
      <c r="N505">
        <v>1</v>
      </c>
      <c r="AC505">
        <v>1</v>
      </c>
    </row>
    <row r="506" spans="1:29">
      <c r="A506" t="s">
        <v>8673</v>
      </c>
      <c r="N506">
        <v>2</v>
      </c>
      <c r="AC506">
        <v>2</v>
      </c>
    </row>
    <row r="507" spans="1:29">
      <c r="A507" t="s">
        <v>7277</v>
      </c>
      <c r="B507" s="49">
        <v>45014</v>
      </c>
      <c r="N507">
        <v>1</v>
      </c>
      <c r="AC507">
        <v>1</v>
      </c>
    </row>
    <row r="508" spans="1:29">
      <c r="B508" s="49">
        <v>45008</v>
      </c>
      <c r="N508">
        <v>1</v>
      </c>
      <c r="AC508">
        <v>1</v>
      </c>
    </row>
    <row r="509" spans="1:29">
      <c r="A509" t="s">
        <v>8674</v>
      </c>
      <c r="N509">
        <v>2</v>
      </c>
      <c r="AC509">
        <v>2</v>
      </c>
    </row>
    <row r="510" spans="1:29">
      <c r="A510" t="s">
        <v>98</v>
      </c>
      <c r="B510" s="49">
        <v>45015</v>
      </c>
      <c r="N510">
        <v>1</v>
      </c>
      <c r="AC510">
        <v>1</v>
      </c>
    </row>
    <row r="511" spans="1:29">
      <c r="B511" s="49">
        <v>45009</v>
      </c>
      <c r="N511">
        <v>1</v>
      </c>
      <c r="AC511">
        <v>1</v>
      </c>
    </row>
    <row r="512" spans="1:29">
      <c r="A512" t="s">
        <v>8675</v>
      </c>
      <c r="N512">
        <v>2</v>
      </c>
      <c r="AC512">
        <v>2</v>
      </c>
    </row>
    <row r="513" spans="1:29">
      <c r="A513" t="s">
        <v>1631</v>
      </c>
      <c r="B513" s="49">
        <v>45014</v>
      </c>
      <c r="N513">
        <v>1</v>
      </c>
      <c r="AC513">
        <v>1</v>
      </c>
    </row>
    <row r="514" spans="1:29">
      <c r="B514" s="49">
        <v>45008</v>
      </c>
      <c r="N514">
        <v>1</v>
      </c>
      <c r="AC514">
        <v>1</v>
      </c>
    </row>
    <row r="515" spans="1:29">
      <c r="A515" t="s">
        <v>8676</v>
      </c>
      <c r="N515">
        <v>2</v>
      </c>
      <c r="AC515">
        <v>2</v>
      </c>
    </row>
    <row r="516" spans="1:29">
      <c r="A516" t="s">
        <v>7356</v>
      </c>
      <c r="B516" s="49">
        <v>45015</v>
      </c>
      <c r="N516">
        <v>1</v>
      </c>
      <c r="AC516">
        <v>1</v>
      </c>
    </row>
    <row r="517" spans="1:29">
      <c r="B517" s="49">
        <v>45009</v>
      </c>
      <c r="D517">
        <v>1</v>
      </c>
      <c r="AC517">
        <v>1</v>
      </c>
    </row>
    <row r="518" spans="1:29">
      <c r="A518" t="s">
        <v>8677</v>
      </c>
      <c r="D518">
        <v>1</v>
      </c>
      <c r="N518">
        <v>1</v>
      </c>
      <c r="AC518">
        <v>2</v>
      </c>
    </row>
    <row r="519" spans="1:29">
      <c r="A519" t="s">
        <v>7287</v>
      </c>
      <c r="B519" s="49">
        <v>45014</v>
      </c>
      <c r="N519">
        <v>1</v>
      </c>
      <c r="AC519">
        <v>1</v>
      </c>
    </row>
    <row r="520" spans="1:29">
      <c r="B520" s="49">
        <v>45008</v>
      </c>
      <c r="N520">
        <v>1</v>
      </c>
      <c r="AC520">
        <v>1</v>
      </c>
    </row>
    <row r="521" spans="1:29">
      <c r="A521" t="s">
        <v>8678</v>
      </c>
      <c r="N521">
        <v>2</v>
      </c>
      <c r="AC521">
        <v>2</v>
      </c>
    </row>
    <row r="522" spans="1:29">
      <c r="A522" t="s">
        <v>7360</v>
      </c>
      <c r="B522" s="49">
        <v>45015</v>
      </c>
      <c r="N522">
        <v>1</v>
      </c>
      <c r="AC522">
        <v>1</v>
      </c>
    </row>
    <row r="523" spans="1:29">
      <c r="B523" s="49">
        <v>45009</v>
      </c>
      <c r="N523">
        <v>1</v>
      </c>
      <c r="AC523">
        <v>1</v>
      </c>
    </row>
    <row r="524" spans="1:29">
      <c r="A524" t="s">
        <v>8679</v>
      </c>
      <c r="N524">
        <v>2</v>
      </c>
      <c r="AC524">
        <v>2</v>
      </c>
    </row>
    <row r="525" spans="1:29">
      <c r="A525" t="s">
        <v>7291</v>
      </c>
      <c r="B525" s="49">
        <v>45014</v>
      </c>
      <c r="N525">
        <v>1</v>
      </c>
      <c r="AC525">
        <v>1</v>
      </c>
    </row>
    <row r="526" spans="1:29">
      <c r="B526" s="49">
        <v>45008</v>
      </c>
      <c r="N526">
        <v>1</v>
      </c>
      <c r="AC526">
        <v>1</v>
      </c>
    </row>
    <row r="527" spans="1:29">
      <c r="A527" t="s">
        <v>8680</v>
      </c>
      <c r="N527">
        <v>2</v>
      </c>
      <c r="AC527">
        <v>2</v>
      </c>
    </row>
    <row r="528" spans="1:29">
      <c r="A528" t="s">
        <v>7366</v>
      </c>
      <c r="B528" s="49">
        <v>45015</v>
      </c>
      <c r="AB528">
        <v>1</v>
      </c>
      <c r="AC528">
        <v>1</v>
      </c>
    </row>
    <row r="529" spans="1:29">
      <c r="B529" s="49">
        <v>45009</v>
      </c>
      <c r="N529">
        <v>1</v>
      </c>
      <c r="AC529">
        <v>1</v>
      </c>
    </row>
    <row r="530" spans="1:29">
      <c r="A530" t="s">
        <v>8681</v>
      </c>
      <c r="N530">
        <v>1</v>
      </c>
      <c r="AB530">
        <v>1</v>
      </c>
      <c r="AC530">
        <v>2</v>
      </c>
    </row>
    <row r="531" spans="1:29">
      <c r="A531" t="s">
        <v>7297</v>
      </c>
      <c r="B531" s="49">
        <v>45014</v>
      </c>
      <c r="N531">
        <v>1</v>
      </c>
      <c r="AC531">
        <v>1</v>
      </c>
    </row>
    <row r="532" spans="1:29">
      <c r="B532" s="49">
        <v>45008</v>
      </c>
      <c r="N532">
        <v>1</v>
      </c>
      <c r="AC532">
        <v>1</v>
      </c>
    </row>
    <row r="533" spans="1:29">
      <c r="A533" t="s">
        <v>8682</v>
      </c>
      <c r="N533">
        <v>2</v>
      </c>
      <c r="AC533">
        <v>2</v>
      </c>
    </row>
    <row r="534" spans="1:29">
      <c r="A534" t="s">
        <v>6847</v>
      </c>
      <c r="B534" s="49">
        <v>45011</v>
      </c>
      <c r="M534">
        <v>1</v>
      </c>
      <c r="AC534">
        <v>1</v>
      </c>
    </row>
    <row r="535" spans="1:29">
      <c r="B535" s="49">
        <v>45000</v>
      </c>
      <c r="M535">
        <v>1</v>
      </c>
      <c r="AC535">
        <v>1</v>
      </c>
    </row>
    <row r="536" spans="1:29">
      <c r="A536" t="s">
        <v>8683</v>
      </c>
      <c r="M536">
        <v>2</v>
      </c>
      <c r="AC536">
        <v>2</v>
      </c>
    </row>
    <row r="537" spans="1:29">
      <c r="A537" t="s">
        <v>7301</v>
      </c>
      <c r="B537" s="49">
        <v>45014</v>
      </c>
      <c r="N537">
        <v>1</v>
      </c>
      <c r="AC537">
        <v>1</v>
      </c>
    </row>
    <row r="538" spans="1:29">
      <c r="B538" s="49">
        <v>45008</v>
      </c>
      <c r="N538">
        <v>1</v>
      </c>
      <c r="AC538">
        <v>1</v>
      </c>
    </row>
    <row r="539" spans="1:29">
      <c r="A539" t="s">
        <v>8684</v>
      </c>
      <c r="N539">
        <v>2</v>
      </c>
      <c r="AC539">
        <v>2</v>
      </c>
    </row>
    <row r="540" spans="1:29">
      <c r="A540" t="s">
        <v>6853</v>
      </c>
      <c r="B540" s="49">
        <v>45010</v>
      </c>
      <c r="M540">
        <v>1</v>
      </c>
      <c r="AC540">
        <v>1</v>
      </c>
    </row>
    <row r="541" spans="1:29">
      <c r="B541" s="49">
        <v>45000</v>
      </c>
      <c r="M541">
        <v>1</v>
      </c>
      <c r="AC541">
        <v>1</v>
      </c>
    </row>
    <row r="542" spans="1:29">
      <c r="A542" t="s">
        <v>8685</v>
      </c>
      <c r="M542">
        <v>2</v>
      </c>
      <c r="AC542">
        <v>2</v>
      </c>
    </row>
    <row r="543" spans="1:29">
      <c r="A543" t="s">
        <v>7307</v>
      </c>
      <c r="B543" s="49">
        <v>45014</v>
      </c>
      <c r="N543">
        <v>1</v>
      </c>
      <c r="AC543">
        <v>1</v>
      </c>
    </row>
    <row r="544" spans="1:29">
      <c r="B544" s="49">
        <v>45008</v>
      </c>
      <c r="N544">
        <v>1</v>
      </c>
      <c r="AC544">
        <v>1</v>
      </c>
    </row>
    <row r="545" spans="1:29">
      <c r="A545" t="s">
        <v>8686</v>
      </c>
      <c r="N545">
        <v>2</v>
      </c>
      <c r="AC545">
        <v>2</v>
      </c>
    </row>
    <row r="546" spans="1:29">
      <c r="A546" t="s">
        <v>7172</v>
      </c>
      <c r="B546" s="49">
        <v>45016</v>
      </c>
      <c r="M546">
        <v>1</v>
      </c>
      <c r="AC546">
        <v>1</v>
      </c>
    </row>
    <row r="547" spans="1:29">
      <c r="B547" s="49">
        <v>45008</v>
      </c>
      <c r="N547">
        <v>1</v>
      </c>
      <c r="AC547">
        <v>1</v>
      </c>
    </row>
    <row r="548" spans="1:29">
      <c r="A548" t="s">
        <v>8687</v>
      </c>
      <c r="M548">
        <v>1</v>
      </c>
      <c r="N548">
        <v>1</v>
      </c>
      <c r="AC548">
        <v>2</v>
      </c>
    </row>
    <row r="549" spans="1:29">
      <c r="A549" t="s">
        <v>7312</v>
      </c>
      <c r="B549" s="49">
        <v>45014</v>
      </c>
      <c r="N549">
        <v>1</v>
      </c>
      <c r="AC549">
        <v>1</v>
      </c>
    </row>
    <row r="550" spans="1:29">
      <c r="B550" s="49">
        <v>45008</v>
      </c>
      <c r="N550">
        <v>1</v>
      </c>
      <c r="AC550">
        <v>1</v>
      </c>
    </row>
    <row r="551" spans="1:29">
      <c r="A551" t="s">
        <v>8688</v>
      </c>
      <c r="N551">
        <v>2</v>
      </c>
      <c r="AC551">
        <v>2</v>
      </c>
    </row>
    <row r="552" spans="1:29">
      <c r="A552" t="s">
        <v>7174</v>
      </c>
      <c r="B552" s="49">
        <v>45016</v>
      </c>
      <c r="N552">
        <v>1</v>
      </c>
      <c r="AC552">
        <v>1</v>
      </c>
    </row>
    <row r="553" spans="1:29">
      <c r="B553" s="49">
        <v>45008</v>
      </c>
      <c r="N553">
        <v>1</v>
      </c>
      <c r="AC553">
        <v>1</v>
      </c>
    </row>
    <row r="554" spans="1:29">
      <c r="A554" t="s">
        <v>8689</v>
      </c>
      <c r="N554">
        <v>2</v>
      </c>
      <c r="AC554">
        <v>2</v>
      </c>
    </row>
    <row r="555" spans="1:29">
      <c r="A555" t="s">
        <v>7316</v>
      </c>
      <c r="B555" s="49">
        <v>45014</v>
      </c>
      <c r="N555">
        <v>1</v>
      </c>
      <c r="AC555">
        <v>1</v>
      </c>
    </row>
    <row r="556" spans="1:29">
      <c r="B556" s="49">
        <v>45008</v>
      </c>
      <c r="N556">
        <v>1</v>
      </c>
      <c r="AC556">
        <v>1</v>
      </c>
    </row>
    <row r="557" spans="1:29">
      <c r="A557" t="s">
        <v>8690</v>
      </c>
      <c r="N557">
        <v>2</v>
      </c>
      <c r="AC557">
        <v>2</v>
      </c>
    </row>
    <row r="558" spans="1:29">
      <c r="A558" t="s">
        <v>1622</v>
      </c>
      <c r="B558" s="49">
        <v>45016</v>
      </c>
      <c r="N558">
        <v>1</v>
      </c>
      <c r="AC558">
        <v>1</v>
      </c>
    </row>
    <row r="559" spans="1:29">
      <c r="B559" s="49">
        <v>45008</v>
      </c>
      <c r="N559">
        <v>1</v>
      </c>
      <c r="AC559">
        <v>1</v>
      </c>
    </row>
    <row r="560" spans="1:29">
      <c r="A560" t="s">
        <v>8691</v>
      </c>
      <c r="N560">
        <v>2</v>
      </c>
      <c r="AC560">
        <v>2</v>
      </c>
    </row>
    <row r="561" spans="1:29">
      <c r="A561" t="s">
        <v>7320</v>
      </c>
      <c r="B561" s="49">
        <v>45014</v>
      </c>
      <c r="N561">
        <v>1</v>
      </c>
      <c r="AC561">
        <v>1</v>
      </c>
    </row>
    <row r="562" spans="1:29">
      <c r="B562" s="49">
        <v>45008</v>
      </c>
      <c r="N562">
        <v>1</v>
      </c>
      <c r="AC562">
        <v>1</v>
      </c>
    </row>
    <row r="563" spans="1:29">
      <c r="A563" t="s">
        <v>8692</v>
      </c>
      <c r="N563">
        <v>2</v>
      </c>
      <c r="AC563">
        <v>2</v>
      </c>
    </row>
    <row r="564" spans="1:29">
      <c r="A564" t="s">
        <v>7177</v>
      </c>
      <c r="B564" s="49">
        <v>45016</v>
      </c>
      <c r="N564">
        <v>1</v>
      </c>
      <c r="AC564">
        <v>1</v>
      </c>
    </row>
    <row r="565" spans="1:29">
      <c r="B565" s="49">
        <v>45008</v>
      </c>
      <c r="N565">
        <v>1</v>
      </c>
      <c r="AC565">
        <v>1</v>
      </c>
    </row>
    <row r="566" spans="1:29">
      <c r="A566" t="s">
        <v>8693</v>
      </c>
      <c r="N566">
        <v>2</v>
      </c>
      <c r="AC566">
        <v>2</v>
      </c>
    </row>
    <row r="567" spans="1:29">
      <c r="A567" t="s">
        <v>7324</v>
      </c>
      <c r="B567" s="49">
        <v>45014</v>
      </c>
      <c r="N567">
        <v>1</v>
      </c>
      <c r="AC567">
        <v>1</v>
      </c>
    </row>
    <row r="568" spans="1:29">
      <c r="B568" s="49">
        <v>45008</v>
      </c>
      <c r="N568">
        <v>1</v>
      </c>
      <c r="AC568">
        <v>1</v>
      </c>
    </row>
    <row r="569" spans="1:29">
      <c r="A569" t="s">
        <v>8694</v>
      </c>
      <c r="N569">
        <v>2</v>
      </c>
      <c r="AC569">
        <v>2</v>
      </c>
    </row>
    <row r="570" spans="1:29">
      <c r="A570" t="s">
        <v>7179</v>
      </c>
      <c r="B570" s="49">
        <v>45016</v>
      </c>
      <c r="M570">
        <v>1</v>
      </c>
      <c r="AC570">
        <v>1</v>
      </c>
    </row>
    <row r="571" spans="1:29">
      <c r="B571" s="49">
        <v>45008</v>
      </c>
      <c r="N571">
        <v>1</v>
      </c>
      <c r="AC571">
        <v>1</v>
      </c>
    </row>
    <row r="572" spans="1:29">
      <c r="A572" t="s">
        <v>8695</v>
      </c>
      <c r="M572">
        <v>1</v>
      </c>
      <c r="N572">
        <v>1</v>
      </c>
      <c r="AC572">
        <v>2</v>
      </c>
    </row>
    <row r="573" spans="1:29">
      <c r="A573" t="s">
        <v>1640</v>
      </c>
      <c r="B573" s="49">
        <v>45014</v>
      </c>
      <c r="N573">
        <v>1</v>
      </c>
      <c r="AC573">
        <v>1</v>
      </c>
    </row>
    <row r="574" spans="1:29">
      <c r="B574" s="49">
        <v>45008</v>
      </c>
      <c r="N574">
        <v>1</v>
      </c>
      <c r="AC574">
        <v>1</v>
      </c>
    </row>
    <row r="575" spans="1:29">
      <c r="A575" t="s">
        <v>8696</v>
      </c>
      <c r="N575">
        <v>2</v>
      </c>
      <c r="AC575">
        <v>2</v>
      </c>
    </row>
    <row r="576" spans="1:29">
      <c r="A576" t="s">
        <v>7181</v>
      </c>
      <c r="B576" s="49">
        <v>45016</v>
      </c>
      <c r="N576">
        <v>1</v>
      </c>
      <c r="AC576">
        <v>1</v>
      </c>
    </row>
    <row r="577" spans="1:29">
      <c r="B577" s="49">
        <v>45008</v>
      </c>
      <c r="N577">
        <v>1</v>
      </c>
      <c r="AC577">
        <v>1</v>
      </c>
    </row>
    <row r="578" spans="1:29">
      <c r="A578" t="s">
        <v>8697</v>
      </c>
      <c r="N578">
        <v>2</v>
      </c>
      <c r="AC578">
        <v>2</v>
      </c>
    </row>
    <row r="579" spans="1:29">
      <c r="A579" t="s">
        <v>7330</v>
      </c>
      <c r="B579" s="49">
        <v>45014</v>
      </c>
      <c r="N579">
        <v>1</v>
      </c>
      <c r="AC579">
        <v>1</v>
      </c>
    </row>
    <row r="580" spans="1:29">
      <c r="B580" s="49">
        <v>45008</v>
      </c>
      <c r="N580">
        <v>1</v>
      </c>
      <c r="AC580">
        <v>1</v>
      </c>
    </row>
    <row r="581" spans="1:29">
      <c r="A581" t="s">
        <v>8698</v>
      </c>
      <c r="N581">
        <v>2</v>
      </c>
      <c r="AC581">
        <v>2</v>
      </c>
    </row>
    <row r="582" spans="1:29">
      <c r="A582" t="s">
        <v>7183</v>
      </c>
      <c r="B582" s="49">
        <v>45016</v>
      </c>
      <c r="N582">
        <v>1</v>
      </c>
      <c r="AC582">
        <v>1</v>
      </c>
    </row>
    <row r="583" spans="1:29">
      <c r="B583" s="49">
        <v>45008</v>
      </c>
      <c r="N583">
        <v>1</v>
      </c>
      <c r="AC583">
        <v>1</v>
      </c>
    </row>
    <row r="584" spans="1:29">
      <c r="A584" t="s">
        <v>8699</v>
      </c>
      <c r="N584">
        <v>2</v>
      </c>
      <c r="AC584">
        <v>2</v>
      </c>
    </row>
    <row r="585" spans="1:29">
      <c r="A585" t="s">
        <v>7334</v>
      </c>
      <c r="B585" s="49">
        <v>45014</v>
      </c>
      <c r="N585">
        <v>1</v>
      </c>
      <c r="AC585">
        <v>1</v>
      </c>
    </row>
    <row r="586" spans="1:29">
      <c r="B586" s="49">
        <v>45008</v>
      </c>
      <c r="N586">
        <v>1</v>
      </c>
      <c r="AC586">
        <v>1</v>
      </c>
    </row>
    <row r="587" spans="1:29">
      <c r="A587" t="s">
        <v>8700</v>
      </c>
      <c r="N587">
        <v>2</v>
      </c>
      <c r="AC587">
        <v>2</v>
      </c>
    </row>
    <row r="588" spans="1:29">
      <c r="A588" t="s">
        <v>7186</v>
      </c>
      <c r="B588" s="49">
        <v>45016</v>
      </c>
      <c r="N588">
        <v>1</v>
      </c>
      <c r="AC588">
        <v>1</v>
      </c>
    </row>
    <row r="589" spans="1:29">
      <c r="B589" s="49">
        <v>45008</v>
      </c>
      <c r="N589">
        <v>1</v>
      </c>
      <c r="AC589">
        <v>1</v>
      </c>
    </row>
    <row r="590" spans="1:29">
      <c r="A590" t="s">
        <v>8701</v>
      </c>
      <c r="N590">
        <v>2</v>
      </c>
      <c r="AC590">
        <v>2</v>
      </c>
    </row>
    <row r="591" spans="1:29">
      <c r="A591" t="s">
        <v>7338</v>
      </c>
      <c r="B591" s="49">
        <v>45015</v>
      </c>
      <c r="N591">
        <v>1</v>
      </c>
      <c r="AC591">
        <v>1</v>
      </c>
    </row>
    <row r="592" spans="1:29">
      <c r="B592" s="49">
        <v>45008</v>
      </c>
      <c r="N592">
        <v>1</v>
      </c>
      <c r="AC592">
        <v>1</v>
      </c>
    </row>
    <row r="593" spans="1:29">
      <c r="A593" t="s">
        <v>8702</v>
      </c>
      <c r="N593">
        <v>2</v>
      </c>
      <c r="AC593">
        <v>2</v>
      </c>
    </row>
    <row r="594" spans="1:29">
      <c r="A594" t="s">
        <v>7188</v>
      </c>
      <c r="B594" s="49">
        <v>45016</v>
      </c>
      <c r="M594">
        <v>1</v>
      </c>
      <c r="AC594">
        <v>1</v>
      </c>
    </row>
    <row r="595" spans="1:29">
      <c r="B595" s="49">
        <v>45008</v>
      </c>
      <c r="N595">
        <v>1</v>
      </c>
      <c r="AC595">
        <v>1</v>
      </c>
    </row>
    <row r="596" spans="1:29">
      <c r="A596" t="s">
        <v>8703</v>
      </c>
      <c r="M596">
        <v>1</v>
      </c>
      <c r="N596">
        <v>1</v>
      </c>
      <c r="AC596">
        <v>2</v>
      </c>
    </row>
    <row r="597" spans="1:29">
      <c r="A597" t="s">
        <v>7341</v>
      </c>
      <c r="B597" s="49">
        <v>45015</v>
      </c>
      <c r="N597">
        <v>1</v>
      </c>
      <c r="AC597">
        <v>1</v>
      </c>
    </row>
    <row r="598" spans="1:29">
      <c r="B598" s="49">
        <v>45009</v>
      </c>
      <c r="N598">
        <v>1</v>
      </c>
      <c r="AC598">
        <v>1</v>
      </c>
    </row>
    <row r="599" spans="1:29">
      <c r="A599" t="s">
        <v>8704</v>
      </c>
      <c r="N599">
        <v>2</v>
      </c>
      <c r="AC599">
        <v>2</v>
      </c>
    </row>
    <row r="600" spans="1:29">
      <c r="A600" t="s">
        <v>7190</v>
      </c>
      <c r="B600" s="49">
        <v>45016</v>
      </c>
      <c r="M600">
        <v>1</v>
      </c>
      <c r="AC600">
        <v>1</v>
      </c>
    </row>
    <row r="601" spans="1:29">
      <c r="B601" s="49">
        <v>45008</v>
      </c>
      <c r="N601">
        <v>1</v>
      </c>
      <c r="AC601">
        <v>1</v>
      </c>
    </row>
    <row r="602" spans="1:29">
      <c r="A602" t="s">
        <v>8705</v>
      </c>
      <c r="M602">
        <v>1</v>
      </c>
      <c r="N602">
        <v>1</v>
      </c>
      <c r="AC602">
        <v>2</v>
      </c>
    </row>
    <row r="603" spans="1:29">
      <c r="A603" t="s">
        <v>7193</v>
      </c>
      <c r="B603" s="49">
        <v>45016</v>
      </c>
      <c r="M603">
        <v>1</v>
      </c>
      <c r="AC603">
        <v>1</v>
      </c>
    </row>
    <row r="604" spans="1:29">
      <c r="B604" s="49">
        <v>45008</v>
      </c>
      <c r="N604">
        <v>1</v>
      </c>
      <c r="AC604">
        <v>1</v>
      </c>
    </row>
    <row r="605" spans="1:29">
      <c r="A605" t="s">
        <v>8706</v>
      </c>
      <c r="M605">
        <v>1</v>
      </c>
      <c r="N605">
        <v>1</v>
      </c>
      <c r="AC605">
        <v>2</v>
      </c>
    </row>
    <row r="606" spans="1:29">
      <c r="A606" t="s">
        <v>7346</v>
      </c>
      <c r="B606" s="49">
        <v>45015</v>
      </c>
      <c r="N606">
        <v>1</v>
      </c>
      <c r="AC606">
        <v>1</v>
      </c>
    </row>
    <row r="607" spans="1:29">
      <c r="B607" s="49">
        <v>45009</v>
      </c>
      <c r="N607">
        <v>1</v>
      </c>
      <c r="AC607">
        <v>1</v>
      </c>
    </row>
    <row r="608" spans="1:29">
      <c r="A608" t="s">
        <v>8707</v>
      </c>
      <c r="N608">
        <v>2</v>
      </c>
      <c r="AC608">
        <v>2</v>
      </c>
    </row>
    <row r="609" spans="1:29">
      <c r="A609" t="s">
        <v>6910</v>
      </c>
      <c r="B609" s="49">
        <v>45010</v>
      </c>
      <c r="M609">
        <v>1</v>
      </c>
      <c r="AC609">
        <v>1</v>
      </c>
    </row>
    <row r="610" spans="1:29">
      <c r="B610" s="49">
        <v>45001</v>
      </c>
      <c r="R610">
        <v>1</v>
      </c>
      <c r="AC610">
        <v>1</v>
      </c>
    </row>
    <row r="611" spans="1:29">
      <c r="A611" t="s">
        <v>8708</v>
      </c>
      <c r="M611">
        <v>1</v>
      </c>
      <c r="R611">
        <v>1</v>
      </c>
      <c r="AC611">
        <v>2</v>
      </c>
    </row>
    <row r="612" spans="1:29">
      <c r="A612" t="s">
        <v>7350</v>
      </c>
      <c r="B612" s="49">
        <v>45015</v>
      </c>
      <c r="N612">
        <v>1</v>
      </c>
      <c r="AC612">
        <v>1</v>
      </c>
    </row>
    <row r="613" spans="1:29">
      <c r="B613" s="49">
        <v>45009</v>
      </c>
      <c r="N613">
        <v>1</v>
      </c>
      <c r="AC613">
        <v>1</v>
      </c>
    </row>
    <row r="614" spans="1:29">
      <c r="A614" t="s">
        <v>8709</v>
      </c>
      <c r="N614">
        <v>2</v>
      </c>
      <c r="AC614">
        <v>2</v>
      </c>
    </row>
    <row r="615" spans="1:29">
      <c r="A615" t="s">
        <v>6916</v>
      </c>
      <c r="B615" s="49">
        <v>45010</v>
      </c>
      <c r="M615">
        <v>1</v>
      </c>
      <c r="AC615">
        <v>1</v>
      </c>
    </row>
    <row r="616" spans="1:29">
      <c r="B616" s="49">
        <v>45001</v>
      </c>
      <c r="R616">
        <v>1</v>
      </c>
      <c r="AC616">
        <v>1</v>
      </c>
    </row>
    <row r="617" spans="1:29">
      <c r="A617" t="s">
        <v>8710</v>
      </c>
      <c r="M617">
        <v>1</v>
      </c>
      <c r="R617">
        <v>1</v>
      </c>
      <c r="AC617">
        <v>2</v>
      </c>
    </row>
    <row r="618" spans="1:29">
      <c r="A618" t="s">
        <v>7354</v>
      </c>
      <c r="B618" s="49">
        <v>45015</v>
      </c>
      <c r="N618">
        <v>1</v>
      </c>
      <c r="AC618">
        <v>1</v>
      </c>
    </row>
    <row r="619" spans="1:29">
      <c r="B619" s="49">
        <v>45009</v>
      </c>
      <c r="N619">
        <v>1</v>
      </c>
      <c r="AC619">
        <v>1</v>
      </c>
    </row>
    <row r="620" spans="1:29">
      <c r="A620" t="s">
        <v>8711</v>
      </c>
      <c r="N620">
        <v>2</v>
      </c>
      <c r="AC620">
        <v>2</v>
      </c>
    </row>
    <row r="621" spans="1:29">
      <c r="A621" t="s">
        <v>6815</v>
      </c>
      <c r="B621" s="49">
        <v>45010</v>
      </c>
      <c r="M621">
        <v>1</v>
      </c>
      <c r="AC621">
        <v>1</v>
      </c>
    </row>
    <row r="622" spans="1:29">
      <c r="B622" s="49">
        <v>45000</v>
      </c>
      <c r="M622">
        <v>1</v>
      </c>
      <c r="AC622">
        <v>1</v>
      </c>
    </row>
    <row r="623" spans="1:29">
      <c r="A623" t="s">
        <v>8712</v>
      </c>
      <c r="M623">
        <v>2</v>
      </c>
      <c r="AC623">
        <v>2</v>
      </c>
    </row>
    <row r="624" spans="1:29">
      <c r="A624" t="s">
        <v>88</v>
      </c>
      <c r="B624" s="49">
        <v>45015</v>
      </c>
      <c r="N624">
        <v>1</v>
      </c>
      <c r="AC624">
        <v>1</v>
      </c>
    </row>
    <row r="625" spans="1:29">
      <c r="B625" s="49">
        <v>45009</v>
      </c>
      <c r="N625">
        <v>1</v>
      </c>
      <c r="AC625">
        <v>1</v>
      </c>
    </row>
    <row r="626" spans="1:29">
      <c r="A626" t="s">
        <v>8713</v>
      </c>
      <c r="N626">
        <v>2</v>
      </c>
      <c r="AC626">
        <v>2</v>
      </c>
    </row>
    <row r="627" spans="1:29">
      <c r="A627" t="s">
        <v>6823</v>
      </c>
      <c r="B627" s="49">
        <v>45011</v>
      </c>
      <c r="M627">
        <v>1</v>
      </c>
      <c r="AC627">
        <v>1</v>
      </c>
    </row>
    <row r="628" spans="1:29">
      <c r="B628" s="49">
        <v>45000</v>
      </c>
      <c r="M628">
        <v>1</v>
      </c>
      <c r="AC628">
        <v>1</v>
      </c>
    </row>
    <row r="629" spans="1:29">
      <c r="A629" t="s">
        <v>8714</v>
      </c>
      <c r="M629">
        <v>2</v>
      </c>
      <c r="AC629">
        <v>2</v>
      </c>
    </row>
    <row r="630" spans="1:29">
      <c r="A630" t="s">
        <v>7362</v>
      </c>
      <c r="B630" s="49">
        <v>45015</v>
      </c>
      <c r="N630">
        <v>1</v>
      </c>
      <c r="AC630">
        <v>1</v>
      </c>
    </row>
    <row r="631" spans="1:29">
      <c r="B631" s="49">
        <v>45009</v>
      </c>
      <c r="N631">
        <v>1</v>
      </c>
      <c r="AC631">
        <v>1</v>
      </c>
    </row>
    <row r="632" spans="1:29">
      <c r="A632" t="s">
        <v>8715</v>
      </c>
      <c r="N632">
        <v>2</v>
      </c>
      <c r="AC632">
        <v>2</v>
      </c>
    </row>
    <row r="633" spans="1:29">
      <c r="A633" t="s">
        <v>6837</v>
      </c>
      <c r="B633" s="49">
        <v>45011</v>
      </c>
      <c r="M633">
        <v>1</v>
      </c>
      <c r="AC633">
        <v>1</v>
      </c>
    </row>
    <row r="634" spans="1:29">
      <c r="B634" s="49">
        <v>45000</v>
      </c>
      <c r="M634">
        <v>1</v>
      </c>
      <c r="AC634">
        <v>1</v>
      </c>
    </row>
    <row r="635" spans="1:29">
      <c r="A635" t="s">
        <v>8716</v>
      </c>
      <c r="M635">
        <v>2</v>
      </c>
      <c r="AC635">
        <v>2</v>
      </c>
    </row>
    <row r="636" spans="1:29">
      <c r="A636" t="s">
        <v>7653</v>
      </c>
      <c r="B636" s="49">
        <v>45011</v>
      </c>
      <c r="T636">
        <v>1</v>
      </c>
      <c r="AB636">
        <v>1</v>
      </c>
      <c r="AC636">
        <v>2</v>
      </c>
    </row>
    <row r="637" spans="1:29">
      <c r="A637" t="s">
        <v>8717</v>
      </c>
      <c r="T637">
        <v>1</v>
      </c>
      <c r="AB637">
        <v>1</v>
      </c>
      <c r="AC637">
        <v>2</v>
      </c>
    </row>
    <row r="638" spans="1:29">
      <c r="A638" t="s">
        <v>6840</v>
      </c>
      <c r="B638" s="49">
        <v>45011</v>
      </c>
      <c r="M638">
        <v>1</v>
      </c>
      <c r="AC638">
        <v>1</v>
      </c>
    </row>
    <row r="639" spans="1:29">
      <c r="B639" s="49">
        <v>45000</v>
      </c>
      <c r="M639">
        <v>1</v>
      </c>
      <c r="AC639">
        <v>1</v>
      </c>
    </row>
    <row r="640" spans="1:29">
      <c r="A640" t="s">
        <v>8718</v>
      </c>
      <c r="M640">
        <v>2</v>
      </c>
      <c r="AC640">
        <v>2</v>
      </c>
    </row>
    <row r="641" spans="1:29">
      <c r="A641" t="s">
        <v>7269</v>
      </c>
      <c r="B641" s="49">
        <v>45014</v>
      </c>
      <c r="N641">
        <v>1</v>
      </c>
      <c r="AC641">
        <v>1</v>
      </c>
    </row>
    <row r="642" spans="1:29">
      <c r="B642" s="49">
        <v>45008</v>
      </c>
      <c r="N642">
        <v>1</v>
      </c>
      <c r="AC642">
        <v>1</v>
      </c>
    </row>
    <row r="643" spans="1:29">
      <c r="A643" t="s">
        <v>8719</v>
      </c>
      <c r="N643">
        <v>2</v>
      </c>
      <c r="AC643">
        <v>2</v>
      </c>
    </row>
    <row r="644" spans="1:29">
      <c r="A644" t="s">
        <v>8223</v>
      </c>
      <c r="B644" s="49">
        <v>45015</v>
      </c>
      <c r="N644">
        <v>1</v>
      </c>
      <c r="AC644">
        <v>1</v>
      </c>
    </row>
    <row r="645" spans="1:29">
      <c r="A645" t="s">
        <v>8720</v>
      </c>
      <c r="N645">
        <v>1</v>
      </c>
      <c r="AC645">
        <v>1</v>
      </c>
    </row>
    <row r="646" spans="1:29">
      <c r="A646" t="s">
        <v>7644</v>
      </c>
      <c r="B646" s="49">
        <v>45011</v>
      </c>
      <c r="M646">
        <v>1</v>
      </c>
      <c r="AC646">
        <v>1</v>
      </c>
    </row>
    <row r="647" spans="1:29">
      <c r="A647" t="s">
        <v>8721</v>
      </c>
      <c r="M647">
        <v>1</v>
      </c>
      <c r="AC647">
        <v>1</v>
      </c>
    </row>
    <row r="648" spans="1:29">
      <c r="A648" t="s">
        <v>7522</v>
      </c>
      <c r="B648" s="49">
        <v>45011</v>
      </c>
      <c r="M648">
        <v>1</v>
      </c>
      <c r="AC648">
        <v>1</v>
      </c>
    </row>
    <row r="649" spans="1:29">
      <c r="A649" t="s">
        <v>8722</v>
      </c>
      <c r="M649">
        <v>1</v>
      </c>
      <c r="AC649">
        <v>1</v>
      </c>
    </row>
    <row r="650" spans="1:29">
      <c r="A650" t="s">
        <v>4174</v>
      </c>
      <c r="B650" s="49">
        <v>44877</v>
      </c>
      <c r="Z650">
        <v>1</v>
      </c>
      <c r="AC650">
        <v>1</v>
      </c>
    </row>
    <row r="651" spans="1:29">
      <c r="A651" t="s">
        <v>8723</v>
      </c>
      <c r="Z651">
        <v>1</v>
      </c>
      <c r="AC651">
        <v>1</v>
      </c>
    </row>
    <row r="652" spans="1:29">
      <c r="A652" t="s">
        <v>8127</v>
      </c>
      <c r="B652" s="49">
        <v>45015</v>
      </c>
      <c r="N652">
        <v>1</v>
      </c>
      <c r="AC652">
        <v>1</v>
      </c>
    </row>
    <row r="653" spans="1:29">
      <c r="A653" t="s">
        <v>8724</v>
      </c>
      <c r="N653">
        <v>1</v>
      </c>
      <c r="AC653">
        <v>1</v>
      </c>
    </row>
    <row r="654" spans="1:29">
      <c r="A654" t="s">
        <v>4926</v>
      </c>
      <c r="B654" s="49">
        <v>44916</v>
      </c>
      <c r="N654">
        <v>1</v>
      </c>
      <c r="AC654">
        <v>1</v>
      </c>
    </row>
    <row r="655" spans="1:29">
      <c r="A655" t="s">
        <v>8725</v>
      </c>
      <c r="N655">
        <v>1</v>
      </c>
      <c r="AC655">
        <v>1</v>
      </c>
    </row>
    <row r="656" spans="1:29">
      <c r="A656" t="s">
        <v>8337</v>
      </c>
      <c r="B656" s="49">
        <v>45016</v>
      </c>
      <c r="N656">
        <v>1</v>
      </c>
      <c r="AC656">
        <v>1</v>
      </c>
    </row>
    <row r="657" spans="1:29">
      <c r="A657" t="s">
        <v>8726</v>
      </c>
      <c r="N657">
        <v>1</v>
      </c>
      <c r="AC657">
        <v>1</v>
      </c>
    </row>
    <row r="658" spans="1:29">
      <c r="A658" t="s">
        <v>7142</v>
      </c>
      <c r="B658" s="49">
        <v>45005</v>
      </c>
      <c r="T658">
        <v>1</v>
      </c>
      <c r="AC658">
        <v>1</v>
      </c>
    </row>
    <row r="659" spans="1:29">
      <c r="A659" t="s">
        <v>8727</v>
      </c>
      <c r="T659">
        <v>1</v>
      </c>
      <c r="AC659">
        <v>1</v>
      </c>
    </row>
    <row r="660" spans="1:29">
      <c r="A660" t="s">
        <v>7586</v>
      </c>
      <c r="B660" s="49">
        <v>45011</v>
      </c>
      <c r="M660">
        <v>1</v>
      </c>
      <c r="AC660">
        <v>1</v>
      </c>
    </row>
    <row r="661" spans="1:29">
      <c r="A661" t="s">
        <v>8728</v>
      </c>
      <c r="M661">
        <v>1</v>
      </c>
      <c r="AC661">
        <v>1</v>
      </c>
    </row>
    <row r="662" spans="1:29">
      <c r="A662" t="s">
        <v>4918</v>
      </c>
      <c r="B662" s="49">
        <v>44915</v>
      </c>
      <c r="K662">
        <v>1</v>
      </c>
      <c r="AC662">
        <v>1</v>
      </c>
    </row>
    <row r="663" spans="1:29">
      <c r="A663" t="s">
        <v>8729</v>
      </c>
      <c r="K663">
        <v>1</v>
      </c>
      <c r="AC663">
        <v>1</v>
      </c>
    </row>
    <row r="664" spans="1:29">
      <c r="A664" t="s">
        <v>7961</v>
      </c>
      <c r="B664" s="49">
        <v>45014</v>
      </c>
      <c r="N664">
        <v>1</v>
      </c>
      <c r="AC664">
        <v>1</v>
      </c>
    </row>
    <row r="665" spans="1:29">
      <c r="A665" t="s">
        <v>8730</v>
      </c>
      <c r="N665">
        <v>1</v>
      </c>
      <c r="AC665">
        <v>1</v>
      </c>
    </row>
    <row r="666" spans="1:29">
      <c r="A666" t="s">
        <v>4373</v>
      </c>
      <c r="B666" s="49">
        <v>44882</v>
      </c>
      <c r="W666">
        <v>1</v>
      </c>
      <c r="AC666">
        <v>1</v>
      </c>
    </row>
    <row r="667" spans="1:29">
      <c r="A667" t="s">
        <v>8731</v>
      </c>
      <c r="W667">
        <v>1</v>
      </c>
      <c r="AC667">
        <v>1</v>
      </c>
    </row>
    <row r="668" spans="1:29">
      <c r="A668" t="s">
        <v>138</v>
      </c>
      <c r="B668" s="49">
        <v>45015</v>
      </c>
      <c r="N668">
        <v>1</v>
      </c>
      <c r="AC668">
        <v>1</v>
      </c>
    </row>
    <row r="669" spans="1:29">
      <c r="A669" t="s">
        <v>8732</v>
      </c>
      <c r="N669">
        <v>1</v>
      </c>
      <c r="AC669">
        <v>1</v>
      </c>
    </row>
    <row r="670" spans="1:29">
      <c r="A670" t="s">
        <v>2941</v>
      </c>
      <c r="B670" s="49">
        <v>44818</v>
      </c>
      <c r="L670">
        <v>1</v>
      </c>
      <c r="AC670">
        <v>1</v>
      </c>
    </row>
    <row r="671" spans="1:29">
      <c r="A671" t="s">
        <v>8733</v>
      </c>
      <c r="L671">
        <v>1</v>
      </c>
      <c r="AC671">
        <v>1</v>
      </c>
    </row>
    <row r="672" spans="1:29">
      <c r="A672" t="s">
        <v>8273</v>
      </c>
      <c r="B672" s="49">
        <v>45015</v>
      </c>
      <c r="N672">
        <v>1</v>
      </c>
      <c r="AC672">
        <v>1</v>
      </c>
    </row>
    <row r="673" spans="1:29">
      <c r="A673" t="s">
        <v>8734</v>
      </c>
      <c r="N673">
        <v>1</v>
      </c>
      <c r="AC673">
        <v>1</v>
      </c>
    </row>
    <row r="674" spans="1:29">
      <c r="A674" t="s">
        <v>4928</v>
      </c>
      <c r="B674" s="49">
        <v>44916</v>
      </c>
      <c r="N674">
        <v>1</v>
      </c>
      <c r="AC674">
        <v>1</v>
      </c>
    </row>
    <row r="675" spans="1:29">
      <c r="A675" t="s">
        <v>8735</v>
      </c>
      <c r="N675">
        <v>1</v>
      </c>
      <c r="AC675">
        <v>1</v>
      </c>
    </row>
    <row r="676" spans="1:29">
      <c r="A676" t="s">
        <v>7492</v>
      </c>
      <c r="B676" s="49">
        <v>45010</v>
      </c>
      <c r="M676">
        <v>1</v>
      </c>
      <c r="AC676">
        <v>1</v>
      </c>
    </row>
    <row r="677" spans="1:29">
      <c r="A677" t="s">
        <v>8736</v>
      </c>
      <c r="M677">
        <v>1</v>
      </c>
      <c r="AC677">
        <v>1</v>
      </c>
    </row>
    <row r="678" spans="1:29">
      <c r="A678" t="s">
        <v>5049</v>
      </c>
      <c r="B678" s="49">
        <v>44927</v>
      </c>
      <c r="M678">
        <v>1</v>
      </c>
      <c r="AC678">
        <v>1</v>
      </c>
    </row>
    <row r="679" spans="1:29">
      <c r="A679" t="s">
        <v>8737</v>
      </c>
      <c r="M679">
        <v>1</v>
      </c>
      <c r="AC679">
        <v>1</v>
      </c>
    </row>
    <row r="680" spans="1:29">
      <c r="A680" t="s">
        <v>7552</v>
      </c>
      <c r="B680" s="49">
        <v>45011</v>
      </c>
      <c r="M680">
        <v>1</v>
      </c>
      <c r="AC680">
        <v>1</v>
      </c>
    </row>
    <row r="681" spans="1:29">
      <c r="A681" t="s">
        <v>8738</v>
      </c>
      <c r="M681">
        <v>1</v>
      </c>
      <c r="AC681">
        <v>1</v>
      </c>
    </row>
    <row r="682" spans="1:29">
      <c r="A682" t="s">
        <v>3150</v>
      </c>
      <c r="B682" s="49">
        <v>44915</v>
      </c>
      <c r="L682">
        <v>1</v>
      </c>
      <c r="AC682">
        <v>1</v>
      </c>
    </row>
    <row r="683" spans="1:29">
      <c r="A683" t="s">
        <v>8739</v>
      </c>
      <c r="L683">
        <v>1</v>
      </c>
      <c r="AC683">
        <v>1</v>
      </c>
    </row>
    <row r="684" spans="1:29">
      <c r="A684" t="s">
        <v>7610</v>
      </c>
      <c r="B684" s="49">
        <v>45011</v>
      </c>
      <c r="M684">
        <v>1</v>
      </c>
      <c r="AC684">
        <v>1</v>
      </c>
    </row>
    <row r="685" spans="1:29">
      <c r="A685" t="s">
        <v>8740</v>
      </c>
      <c r="M685">
        <v>1</v>
      </c>
      <c r="AC685">
        <v>1</v>
      </c>
    </row>
    <row r="686" spans="1:29">
      <c r="A686" t="s">
        <v>3906</v>
      </c>
      <c r="B686" s="49">
        <v>44860</v>
      </c>
      <c r="U686">
        <v>1</v>
      </c>
      <c r="AC686">
        <v>1</v>
      </c>
    </row>
    <row r="687" spans="1:29">
      <c r="A687" t="s">
        <v>8741</v>
      </c>
      <c r="U687">
        <v>1</v>
      </c>
      <c r="AC687">
        <v>1</v>
      </c>
    </row>
    <row r="688" spans="1:29">
      <c r="A688" t="s">
        <v>7684</v>
      </c>
      <c r="B688" s="49">
        <v>45013</v>
      </c>
      <c r="M688">
        <v>1</v>
      </c>
      <c r="AC688">
        <v>1</v>
      </c>
    </row>
    <row r="689" spans="1:29">
      <c r="A689" t="s">
        <v>8742</v>
      </c>
      <c r="M689">
        <v>1</v>
      </c>
      <c r="AC689">
        <v>1</v>
      </c>
    </row>
    <row r="690" spans="1:29">
      <c r="A690" t="s">
        <v>3506</v>
      </c>
      <c r="B690" s="49">
        <v>44818</v>
      </c>
      <c r="R690">
        <v>1</v>
      </c>
      <c r="AC690">
        <v>1</v>
      </c>
    </row>
    <row r="691" spans="1:29">
      <c r="A691" t="s">
        <v>8743</v>
      </c>
      <c r="R691">
        <v>1</v>
      </c>
      <c r="AC691">
        <v>1</v>
      </c>
    </row>
    <row r="692" spans="1:29">
      <c r="A692" t="s">
        <v>7987</v>
      </c>
      <c r="B692" s="49">
        <v>45014</v>
      </c>
      <c r="N692">
        <v>1</v>
      </c>
      <c r="AC692">
        <v>1</v>
      </c>
    </row>
    <row r="693" spans="1:29">
      <c r="A693" t="s">
        <v>8744</v>
      </c>
      <c r="N693">
        <v>1</v>
      </c>
      <c r="AC693">
        <v>1</v>
      </c>
    </row>
    <row r="694" spans="1:29">
      <c r="A694" t="s">
        <v>5647</v>
      </c>
      <c r="B694" s="49">
        <v>44965</v>
      </c>
      <c r="K694">
        <v>1</v>
      </c>
      <c r="AC694">
        <v>1</v>
      </c>
    </row>
    <row r="695" spans="1:29">
      <c r="A695" t="s">
        <v>8745</v>
      </c>
      <c r="K695">
        <v>1</v>
      </c>
      <c r="AC695">
        <v>1</v>
      </c>
    </row>
    <row r="696" spans="1:29">
      <c r="A696" t="s">
        <v>8151</v>
      </c>
      <c r="B696" s="49">
        <v>45015</v>
      </c>
      <c r="N696">
        <v>1</v>
      </c>
      <c r="AC696">
        <v>1</v>
      </c>
    </row>
    <row r="697" spans="1:29">
      <c r="A697" t="s">
        <v>8746</v>
      </c>
      <c r="N697">
        <v>1</v>
      </c>
      <c r="AC697">
        <v>1</v>
      </c>
    </row>
    <row r="698" spans="1:29">
      <c r="A698" t="s">
        <v>5643</v>
      </c>
      <c r="B698" s="49">
        <v>44965</v>
      </c>
      <c r="K698">
        <v>1</v>
      </c>
      <c r="AC698">
        <v>1</v>
      </c>
    </row>
    <row r="699" spans="1:29">
      <c r="A699" t="s">
        <v>8747</v>
      </c>
      <c r="K699">
        <v>1</v>
      </c>
      <c r="AC699">
        <v>1</v>
      </c>
    </row>
    <row r="700" spans="1:29">
      <c r="A700" t="s">
        <v>8200</v>
      </c>
      <c r="B700" s="49">
        <v>45015</v>
      </c>
      <c r="N700">
        <v>1</v>
      </c>
      <c r="AC700">
        <v>1</v>
      </c>
    </row>
    <row r="701" spans="1:29">
      <c r="A701" t="s">
        <v>8748</v>
      </c>
      <c r="N701">
        <v>1</v>
      </c>
      <c r="AC701">
        <v>1</v>
      </c>
    </row>
    <row r="702" spans="1:29">
      <c r="A702" t="s">
        <v>5224</v>
      </c>
      <c r="B702" s="49">
        <v>45000</v>
      </c>
      <c r="W702">
        <v>1</v>
      </c>
      <c r="AC702">
        <v>1</v>
      </c>
    </row>
    <row r="703" spans="1:29">
      <c r="A703" t="s">
        <v>8749</v>
      </c>
      <c r="W703">
        <v>1</v>
      </c>
      <c r="AC703">
        <v>1</v>
      </c>
    </row>
    <row r="704" spans="1:29">
      <c r="A704" t="s">
        <v>8247</v>
      </c>
      <c r="B704" s="49">
        <v>45015</v>
      </c>
      <c r="M704">
        <v>1</v>
      </c>
      <c r="AC704">
        <v>1</v>
      </c>
    </row>
    <row r="705" spans="1:29">
      <c r="A705" t="s">
        <v>8750</v>
      </c>
      <c r="M705">
        <v>1</v>
      </c>
      <c r="AC705">
        <v>1</v>
      </c>
    </row>
    <row r="706" spans="1:29">
      <c r="A706" t="s">
        <v>5775</v>
      </c>
      <c r="B706" s="49">
        <v>44966</v>
      </c>
      <c r="Q706">
        <v>1</v>
      </c>
      <c r="AC706">
        <v>1</v>
      </c>
    </row>
    <row r="707" spans="1:29">
      <c r="A707" t="s">
        <v>8751</v>
      </c>
      <c r="Q707">
        <v>1</v>
      </c>
      <c r="AC707">
        <v>1</v>
      </c>
    </row>
    <row r="708" spans="1:29">
      <c r="A708" t="s">
        <v>8299</v>
      </c>
      <c r="B708" s="49">
        <v>45015</v>
      </c>
      <c r="N708">
        <v>1</v>
      </c>
      <c r="AC708">
        <v>1</v>
      </c>
    </row>
    <row r="709" spans="1:29">
      <c r="A709" t="s">
        <v>8752</v>
      </c>
      <c r="N709">
        <v>1</v>
      </c>
      <c r="AC709">
        <v>1</v>
      </c>
    </row>
    <row r="710" spans="1:29">
      <c r="A710" t="s">
        <v>3328</v>
      </c>
      <c r="B710" s="49">
        <v>45013</v>
      </c>
      <c r="M710">
        <v>1</v>
      </c>
      <c r="AC710">
        <v>1</v>
      </c>
    </row>
    <row r="711" spans="1:29">
      <c r="A711" t="s">
        <v>8753</v>
      </c>
      <c r="M711">
        <v>1</v>
      </c>
      <c r="AC711">
        <v>1</v>
      </c>
    </row>
    <row r="712" spans="1:29">
      <c r="A712" t="s">
        <v>7480</v>
      </c>
      <c r="B712" s="49">
        <v>45010</v>
      </c>
      <c r="M712">
        <v>1</v>
      </c>
      <c r="AC712">
        <v>1</v>
      </c>
    </row>
    <row r="713" spans="1:29">
      <c r="A713" t="s">
        <v>8754</v>
      </c>
      <c r="M713">
        <v>1</v>
      </c>
      <c r="AC713">
        <v>1</v>
      </c>
    </row>
    <row r="714" spans="1:29">
      <c r="A714" t="s">
        <v>5100</v>
      </c>
      <c r="B714" s="49">
        <v>45016</v>
      </c>
      <c r="M714">
        <v>1</v>
      </c>
      <c r="AC714">
        <v>1</v>
      </c>
    </row>
    <row r="715" spans="1:29">
      <c r="A715" t="s">
        <v>8755</v>
      </c>
      <c r="M715">
        <v>1</v>
      </c>
      <c r="AC715">
        <v>1</v>
      </c>
    </row>
    <row r="716" spans="1:29">
      <c r="A716" t="s">
        <v>7504</v>
      </c>
      <c r="B716" s="49">
        <v>45011</v>
      </c>
      <c r="M716">
        <v>1</v>
      </c>
      <c r="AC716">
        <v>1</v>
      </c>
    </row>
    <row r="717" spans="1:29">
      <c r="A717" t="s">
        <v>8756</v>
      </c>
      <c r="M717">
        <v>1</v>
      </c>
      <c r="AC717">
        <v>1</v>
      </c>
    </row>
    <row r="718" spans="1:29">
      <c r="A718" t="s">
        <v>343</v>
      </c>
      <c r="B718" s="49">
        <v>44817</v>
      </c>
      <c r="J718">
        <v>1</v>
      </c>
      <c r="AC718">
        <v>1</v>
      </c>
    </row>
    <row r="719" spans="1:29">
      <c r="A719" t="s">
        <v>8757</v>
      </c>
      <c r="J719">
        <v>1</v>
      </c>
      <c r="AC719">
        <v>1</v>
      </c>
    </row>
    <row r="720" spans="1:29">
      <c r="A720" t="s">
        <v>7536</v>
      </c>
      <c r="B720" s="49">
        <v>45011</v>
      </c>
      <c r="M720">
        <v>1</v>
      </c>
      <c r="AC720">
        <v>1</v>
      </c>
    </row>
    <row r="721" spans="1:29">
      <c r="A721" t="s">
        <v>8758</v>
      </c>
      <c r="M721">
        <v>1</v>
      </c>
      <c r="AC721">
        <v>1</v>
      </c>
    </row>
    <row r="722" spans="1:29">
      <c r="A722" t="s">
        <v>7203</v>
      </c>
      <c r="B722" s="49">
        <v>45008</v>
      </c>
      <c r="N722">
        <v>1</v>
      </c>
      <c r="AC722">
        <v>1</v>
      </c>
    </row>
    <row r="723" spans="1:29">
      <c r="A723" t="s">
        <v>8759</v>
      </c>
      <c r="N723">
        <v>1</v>
      </c>
      <c r="AC723">
        <v>1</v>
      </c>
    </row>
    <row r="724" spans="1:29">
      <c r="A724" t="s">
        <v>7564</v>
      </c>
      <c r="B724" s="49">
        <v>45011</v>
      </c>
      <c r="M724">
        <v>1</v>
      </c>
      <c r="AC724">
        <v>1</v>
      </c>
    </row>
    <row r="725" spans="1:29">
      <c r="A725" t="s">
        <v>8760</v>
      </c>
      <c r="M725">
        <v>1</v>
      </c>
      <c r="AC725">
        <v>1</v>
      </c>
    </row>
    <row r="726" spans="1:29">
      <c r="A726" t="s">
        <v>5845</v>
      </c>
      <c r="B726" s="49">
        <v>44992</v>
      </c>
      <c r="M726">
        <v>1</v>
      </c>
      <c r="AC726">
        <v>1</v>
      </c>
    </row>
    <row r="727" spans="1:29">
      <c r="A727" t="s">
        <v>8761</v>
      </c>
      <c r="M727">
        <v>1</v>
      </c>
      <c r="AC727">
        <v>1</v>
      </c>
    </row>
    <row r="728" spans="1:29">
      <c r="A728" t="s">
        <v>7596</v>
      </c>
      <c r="B728" s="49">
        <v>45011</v>
      </c>
      <c r="M728">
        <v>1</v>
      </c>
      <c r="AC728">
        <v>1</v>
      </c>
    </row>
    <row r="729" spans="1:29">
      <c r="A729" t="s">
        <v>8762</v>
      </c>
      <c r="M729">
        <v>1</v>
      </c>
      <c r="AC729">
        <v>1</v>
      </c>
    </row>
    <row r="730" spans="1:29">
      <c r="A730" t="s">
        <v>4960</v>
      </c>
      <c r="B730" s="49">
        <v>45016</v>
      </c>
      <c r="N730">
        <v>1</v>
      </c>
      <c r="AC730">
        <v>1</v>
      </c>
    </row>
    <row r="731" spans="1:29">
      <c r="A731" t="s">
        <v>8763</v>
      </c>
      <c r="N731">
        <v>1</v>
      </c>
      <c r="AC731">
        <v>1</v>
      </c>
    </row>
    <row r="732" spans="1:29">
      <c r="A732" t="s">
        <v>7626</v>
      </c>
      <c r="B732" s="49">
        <v>45011</v>
      </c>
      <c r="M732">
        <v>1</v>
      </c>
      <c r="AC732">
        <v>1</v>
      </c>
    </row>
    <row r="733" spans="1:29">
      <c r="A733" t="s">
        <v>8764</v>
      </c>
      <c r="M733">
        <v>1</v>
      </c>
      <c r="AC733">
        <v>1</v>
      </c>
    </row>
    <row r="734" spans="1:29">
      <c r="A734" t="s">
        <v>3357</v>
      </c>
      <c r="B734" s="49">
        <v>44996</v>
      </c>
      <c r="M734">
        <v>1</v>
      </c>
      <c r="AC734">
        <v>1</v>
      </c>
    </row>
    <row r="735" spans="1:29">
      <c r="A735" t="s">
        <v>8765</v>
      </c>
      <c r="M735">
        <v>1</v>
      </c>
      <c r="AC735">
        <v>1</v>
      </c>
    </row>
    <row r="736" spans="1:29">
      <c r="A736" t="s">
        <v>7668</v>
      </c>
      <c r="B736" s="49">
        <v>45013</v>
      </c>
      <c r="P736">
        <v>1</v>
      </c>
      <c r="AC736">
        <v>1</v>
      </c>
    </row>
    <row r="737" spans="1:29">
      <c r="A737" t="s">
        <v>8766</v>
      </c>
      <c r="P737">
        <v>1</v>
      </c>
      <c r="AC737">
        <v>1</v>
      </c>
    </row>
    <row r="738" spans="1:29">
      <c r="A738" t="s">
        <v>5189</v>
      </c>
      <c r="B738" s="49">
        <v>45008</v>
      </c>
      <c r="N738">
        <v>1</v>
      </c>
      <c r="AC738">
        <v>1</v>
      </c>
    </row>
    <row r="739" spans="1:29">
      <c r="A739" t="s">
        <v>8767</v>
      </c>
      <c r="N739">
        <v>1</v>
      </c>
      <c r="AC739">
        <v>1</v>
      </c>
    </row>
    <row r="740" spans="1:29">
      <c r="A740" t="s">
        <v>7704</v>
      </c>
      <c r="B740" s="49">
        <v>45013</v>
      </c>
      <c r="M740">
        <v>1</v>
      </c>
      <c r="AC740">
        <v>1</v>
      </c>
    </row>
    <row r="741" spans="1:29">
      <c r="A741" t="s">
        <v>8768</v>
      </c>
      <c r="M741">
        <v>1</v>
      </c>
      <c r="AC741">
        <v>1</v>
      </c>
    </row>
    <row r="742" spans="1:29">
      <c r="A742" t="s">
        <v>3522</v>
      </c>
      <c r="B742" s="49">
        <v>44892</v>
      </c>
      <c r="V742">
        <v>1</v>
      </c>
      <c r="AC742">
        <v>1</v>
      </c>
    </row>
    <row r="743" spans="1:29">
      <c r="A743" t="s">
        <v>8769</v>
      </c>
      <c r="V743">
        <v>1</v>
      </c>
      <c r="AC743">
        <v>1</v>
      </c>
    </row>
    <row r="744" spans="1:29">
      <c r="A744" t="s">
        <v>1555</v>
      </c>
      <c r="B744" s="49">
        <v>45014</v>
      </c>
      <c r="N744">
        <v>1</v>
      </c>
      <c r="AC744">
        <v>1</v>
      </c>
    </row>
    <row r="745" spans="1:29">
      <c r="A745" t="s">
        <v>8770</v>
      </c>
      <c r="N745">
        <v>1</v>
      </c>
      <c r="AC745">
        <v>1</v>
      </c>
    </row>
    <row r="746" spans="1:29">
      <c r="A746" t="s">
        <v>1831</v>
      </c>
      <c r="B746" s="49">
        <v>44918</v>
      </c>
      <c r="X746">
        <v>1</v>
      </c>
      <c r="AC746">
        <v>1</v>
      </c>
    </row>
    <row r="747" spans="1:29">
      <c r="A747" t="s">
        <v>8771</v>
      </c>
      <c r="X747">
        <v>1</v>
      </c>
      <c r="AC747">
        <v>1</v>
      </c>
    </row>
    <row r="748" spans="1:29">
      <c r="A748" t="s">
        <v>1571</v>
      </c>
      <c r="B748" s="49">
        <v>45016</v>
      </c>
      <c r="N748">
        <v>1</v>
      </c>
      <c r="AC748">
        <v>1</v>
      </c>
    </row>
    <row r="749" spans="1:29">
      <c r="A749" t="s">
        <v>8772</v>
      </c>
      <c r="N749">
        <v>1</v>
      </c>
      <c r="AC749">
        <v>1</v>
      </c>
    </row>
    <row r="750" spans="1:29">
      <c r="A750" t="s">
        <v>3173</v>
      </c>
      <c r="B750" s="49">
        <v>45015</v>
      </c>
      <c r="T750">
        <v>1</v>
      </c>
      <c r="AC750">
        <v>1</v>
      </c>
    </row>
    <row r="751" spans="1:29">
      <c r="A751" t="s">
        <v>8773</v>
      </c>
      <c r="T751">
        <v>1</v>
      </c>
      <c r="AC751">
        <v>1</v>
      </c>
    </row>
    <row r="752" spans="1:29">
      <c r="A752" t="s">
        <v>8139</v>
      </c>
      <c r="B752" s="49">
        <v>45015</v>
      </c>
      <c r="N752">
        <v>1</v>
      </c>
      <c r="AC752">
        <v>1</v>
      </c>
    </row>
    <row r="753" spans="1:29">
      <c r="A753" t="s">
        <v>8774</v>
      </c>
      <c r="N753">
        <v>1</v>
      </c>
      <c r="AC753">
        <v>1</v>
      </c>
    </row>
    <row r="754" spans="1:29">
      <c r="A754" t="s">
        <v>5035</v>
      </c>
      <c r="B754" s="49">
        <v>45015</v>
      </c>
      <c r="N754">
        <v>1</v>
      </c>
      <c r="AC754">
        <v>1</v>
      </c>
    </row>
    <row r="755" spans="1:29">
      <c r="A755" t="s">
        <v>8775</v>
      </c>
      <c r="N755">
        <v>1</v>
      </c>
      <c r="AC755">
        <v>1</v>
      </c>
    </row>
    <row r="756" spans="1:29">
      <c r="A756" t="s">
        <v>8163</v>
      </c>
      <c r="B756" s="49">
        <v>45015</v>
      </c>
      <c r="N756">
        <v>1</v>
      </c>
      <c r="AC756">
        <v>1</v>
      </c>
    </row>
    <row r="757" spans="1:29">
      <c r="A757" t="s">
        <v>8776</v>
      </c>
      <c r="N757">
        <v>1</v>
      </c>
      <c r="AC757">
        <v>1</v>
      </c>
    </row>
    <row r="758" spans="1:29">
      <c r="A758" t="s">
        <v>4933</v>
      </c>
      <c r="B758" s="49">
        <v>44917</v>
      </c>
      <c r="R758">
        <v>1</v>
      </c>
      <c r="AC758">
        <v>1</v>
      </c>
    </row>
    <row r="759" spans="1:29">
      <c r="A759" t="s">
        <v>8777</v>
      </c>
      <c r="R759">
        <v>1</v>
      </c>
      <c r="AC759">
        <v>1</v>
      </c>
    </row>
    <row r="760" spans="1:29">
      <c r="A760" t="s">
        <v>8186</v>
      </c>
      <c r="B760" s="49">
        <v>45015</v>
      </c>
      <c r="N760">
        <v>1</v>
      </c>
      <c r="AC760">
        <v>1</v>
      </c>
    </row>
    <row r="761" spans="1:29">
      <c r="A761" t="s">
        <v>8778</v>
      </c>
      <c r="N761">
        <v>1</v>
      </c>
      <c r="AC761">
        <v>1</v>
      </c>
    </row>
    <row r="762" spans="1:29">
      <c r="A762" t="s">
        <v>1848</v>
      </c>
      <c r="B762" s="49">
        <v>45009</v>
      </c>
      <c r="N762">
        <v>1</v>
      </c>
      <c r="AC762">
        <v>1</v>
      </c>
    </row>
    <row r="763" spans="1:29">
      <c r="A763" t="s">
        <v>8779</v>
      </c>
      <c r="N763">
        <v>1</v>
      </c>
      <c r="AC763">
        <v>1</v>
      </c>
    </row>
    <row r="764" spans="1:29">
      <c r="A764" t="s">
        <v>8212</v>
      </c>
      <c r="B764" s="49">
        <v>45015</v>
      </c>
      <c r="N764">
        <v>1</v>
      </c>
      <c r="AC764">
        <v>1</v>
      </c>
    </row>
    <row r="765" spans="1:29">
      <c r="A765" t="s">
        <v>8780</v>
      </c>
      <c r="N765">
        <v>1</v>
      </c>
      <c r="AC765">
        <v>1</v>
      </c>
    </row>
    <row r="766" spans="1:29">
      <c r="A766" t="s">
        <v>5113</v>
      </c>
      <c r="B766" s="49">
        <v>45015</v>
      </c>
      <c r="M766">
        <v>1</v>
      </c>
      <c r="AC766">
        <v>1</v>
      </c>
    </row>
    <row r="767" spans="1:29">
      <c r="A767" t="s">
        <v>8781</v>
      </c>
      <c r="M767">
        <v>1</v>
      </c>
      <c r="AC767">
        <v>1</v>
      </c>
    </row>
    <row r="768" spans="1:29">
      <c r="A768" t="s">
        <v>8233</v>
      </c>
      <c r="B768" s="49">
        <v>45015</v>
      </c>
      <c r="N768">
        <v>1</v>
      </c>
      <c r="AC768">
        <v>1</v>
      </c>
    </row>
    <row r="769" spans="1:29">
      <c r="A769" t="s">
        <v>8782</v>
      </c>
      <c r="N769">
        <v>1</v>
      </c>
      <c r="AC769">
        <v>1</v>
      </c>
    </row>
    <row r="770" spans="1:29">
      <c r="A770" t="s">
        <v>5521</v>
      </c>
      <c r="B770" s="49">
        <v>44976</v>
      </c>
      <c r="K770">
        <v>1</v>
      </c>
      <c r="AC770">
        <v>1</v>
      </c>
    </row>
    <row r="771" spans="1:29">
      <c r="A771" t="s">
        <v>8783</v>
      </c>
      <c r="K771">
        <v>1</v>
      </c>
      <c r="AC771">
        <v>1</v>
      </c>
    </row>
    <row r="772" spans="1:29">
      <c r="A772" t="s">
        <v>8259</v>
      </c>
      <c r="B772" s="49">
        <v>45015</v>
      </c>
      <c r="N772">
        <v>1</v>
      </c>
      <c r="AC772">
        <v>1</v>
      </c>
    </row>
    <row r="773" spans="1:29">
      <c r="A773" t="s">
        <v>8784</v>
      </c>
      <c r="N773">
        <v>1</v>
      </c>
      <c r="AC773">
        <v>1</v>
      </c>
    </row>
    <row r="774" spans="1:29">
      <c r="A774" t="s">
        <v>5723</v>
      </c>
      <c r="B774" s="49">
        <v>44968</v>
      </c>
      <c r="K774">
        <v>1</v>
      </c>
      <c r="AC774">
        <v>1</v>
      </c>
    </row>
    <row r="775" spans="1:29">
      <c r="A775" t="s">
        <v>8785</v>
      </c>
      <c r="K775">
        <v>1</v>
      </c>
      <c r="AC775">
        <v>1</v>
      </c>
    </row>
    <row r="776" spans="1:29">
      <c r="A776" t="s">
        <v>8287</v>
      </c>
      <c r="B776" s="49">
        <v>45015</v>
      </c>
      <c r="N776">
        <v>1</v>
      </c>
      <c r="AC776">
        <v>1</v>
      </c>
    </row>
    <row r="777" spans="1:29">
      <c r="A777" t="s">
        <v>8786</v>
      </c>
      <c r="N777">
        <v>1</v>
      </c>
      <c r="AC777">
        <v>1</v>
      </c>
    </row>
    <row r="778" spans="1:29">
      <c r="A778" t="s">
        <v>3161</v>
      </c>
      <c r="B778" s="49">
        <v>45015</v>
      </c>
      <c r="N778">
        <v>1</v>
      </c>
      <c r="AC778">
        <v>1</v>
      </c>
    </row>
    <row r="779" spans="1:29">
      <c r="A779" t="s">
        <v>8787</v>
      </c>
      <c r="N779">
        <v>1</v>
      </c>
      <c r="AC779">
        <v>1</v>
      </c>
    </row>
    <row r="780" spans="1:29">
      <c r="A780" t="s">
        <v>8313</v>
      </c>
      <c r="B780" s="49">
        <v>45015</v>
      </c>
      <c r="N780">
        <v>1</v>
      </c>
      <c r="AC780">
        <v>1</v>
      </c>
    </row>
    <row r="781" spans="1:29">
      <c r="A781" t="s">
        <v>8788</v>
      </c>
      <c r="N781">
        <v>1</v>
      </c>
      <c r="AC781">
        <v>1</v>
      </c>
    </row>
    <row r="782" spans="1:29">
      <c r="A782" t="s">
        <v>3165</v>
      </c>
      <c r="B782" s="49">
        <v>45015</v>
      </c>
      <c r="N782">
        <v>1</v>
      </c>
      <c r="AC782">
        <v>1</v>
      </c>
    </row>
    <row r="783" spans="1:29">
      <c r="A783" t="s">
        <v>8789</v>
      </c>
      <c r="N783">
        <v>1</v>
      </c>
      <c r="AC783">
        <v>1</v>
      </c>
    </row>
    <row r="784" spans="1:29">
      <c r="A784" t="s">
        <v>8359</v>
      </c>
      <c r="B784" s="49">
        <v>45016</v>
      </c>
      <c r="N784">
        <v>1</v>
      </c>
      <c r="AC784">
        <v>1</v>
      </c>
    </row>
    <row r="785" spans="1:29">
      <c r="A785" t="s">
        <v>8790</v>
      </c>
      <c r="N785">
        <v>1</v>
      </c>
      <c r="AC785">
        <v>1</v>
      </c>
    </row>
    <row r="786" spans="1:29">
      <c r="A786" t="s">
        <v>74</v>
      </c>
      <c r="B786" s="49">
        <v>45015</v>
      </c>
      <c r="N786">
        <v>1</v>
      </c>
      <c r="AC786">
        <v>1</v>
      </c>
    </row>
    <row r="787" spans="1:29">
      <c r="A787" t="s">
        <v>8791</v>
      </c>
      <c r="N787">
        <v>1</v>
      </c>
      <c r="AC787">
        <v>1</v>
      </c>
    </row>
    <row r="788" spans="1:29">
      <c r="A788" t="s">
        <v>7486</v>
      </c>
      <c r="B788" s="49">
        <v>45010</v>
      </c>
      <c r="M788">
        <v>1</v>
      </c>
      <c r="AC788">
        <v>1</v>
      </c>
    </row>
    <row r="789" spans="1:29">
      <c r="A789" t="s">
        <v>8792</v>
      </c>
      <c r="M789">
        <v>1</v>
      </c>
      <c r="AC789">
        <v>1</v>
      </c>
    </row>
    <row r="790" spans="1:29">
      <c r="A790" t="s">
        <v>3099</v>
      </c>
      <c r="B790" s="49">
        <v>44902</v>
      </c>
      <c r="L790">
        <v>1</v>
      </c>
      <c r="AC790">
        <v>1</v>
      </c>
    </row>
    <row r="791" spans="1:29">
      <c r="A791" t="s">
        <v>8793</v>
      </c>
      <c r="L791">
        <v>1</v>
      </c>
      <c r="AC791">
        <v>1</v>
      </c>
    </row>
    <row r="792" spans="1:29">
      <c r="A792" t="s">
        <v>7498</v>
      </c>
      <c r="B792" s="49">
        <v>45010</v>
      </c>
      <c r="M792">
        <v>1</v>
      </c>
      <c r="AC792">
        <v>1</v>
      </c>
    </row>
    <row r="793" spans="1:29">
      <c r="A793" t="s">
        <v>8794</v>
      </c>
      <c r="M793">
        <v>1</v>
      </c>
      <c r="AC793">
        <v>1</v>
      </c>
    </row>
    <row r="794" spans="1:29">
      <c r="A794" t="s">
        <v>120</v>
      </c>
      <c r="B794" s="49">
        <v>44894</v>
      </c>
      <c r="Z794">
        <v>1</v>
      </c>
      <c r="AC794">
        <v>1</v>
      </c>
    </row>
    <row r="795" spans="1:29">
      <c r="A795" t="s">
        <v>8795</v>
      </c>
      <c r="Z795">
        <v>1</v>
      </c>
      <c r="AC795">
        <v>1</v>
      </c>
    </row>
    <row r="796" spans="1:29">
      <c r="A796" t="s">
        <v>7514</v>
      </c>
      <c r="B796" s="49">
        <v>45011</v>
      </c>
      <c r="M796">
        <v>1</v>
      </c>
      <c r="AC796">
        <v>1</v>
      </c>
    </row>
    <row r="797" spans="1:29">
      <c r="A797" t="s">
        <v>8796</v>
      </c>
      <c r="M797">
        <v>1</v>
      </c>
      <c r="AC797">
        <v>1</v>
      </c>
    </row>
    <row r="798" spans="1:29">
      <c r="A798" t="s">
        <v>3801</v>
      </c>
      <c r="B798" s="49">
        <v>44894</v>
      </c>
      <c r="Z798">
        <v>1</v>
      </c>
      <c r="AC798">
        <v>1</v>
      </c>
    </row>
    <row r="799" spans="1:29">
      <c r="A799" t="s">
        <v>8797</v>
      </c>
      <c r="Z799">
        <v>1</v>
      </c>
      <c r="AC799">
        <v>1</v>
      </c>
    </row>
    <row r="800" spans="1:29">
      <c r="A800" t="s">
        <v>7530</v>
      </c>
      <c r="B800" s="49">
        <v>45011</v>
      </c>
      <c r="M800">
        <v>1</v>
      </c>
      <c r="AC800">
        <v>1</v>
      </c>
    </row>
    <row r="801" spans="1:29">
      <c r="A801" t="s">
        <v>8798</v>
      </c>
      <c r="M801">
        <v>1</v>
      </c>
      <c r="AC801">
        <v>1</v>
      </c>
    </row>
    <row r="802" spans="1:29">
      <c r="A802" t="s">
        <v>4497</v>
      </c>
      <c r="B802" s="49">
        <v>44894</v>
      </c>
      <c r="Z802">
        <v>1</v>
      </c>
      <c r="AC802">
        <v>1</v>
      </c>
    </row>
    <row r="803" spans="1:29">
      <c r="A803" t="s">
        <v>8799</v>
      </c>
      <c r="Z803">
        <v>1</v>
      </c>
      <c r="AC803">
        <v>1</v>
      </c>
    </row>
    <row r="804" spans="1:29">
      <c r="A804" t="s">
        <v>7542</v>
      </c>
      <c r="B804" s="49">
        <v>45011</v>
      </c>
      <c r="M804">
        <v>1</v>
      </c>
      <c r="AC804">
        <v>1</v>
      </c>
    </row>
    <row r="805" spans="1:29">
      <c r="A805" t="s">
        <v>8800</v>
      </c>
      <c r="M805">
        <v>1</v>
      </c>
      <c r="AC805">
        <v>1</v>
      </c>
    </row>
    <row r="806" spans="1:29">
      <c r="A806" t="s">
        <v>5934</v>
      </c>
      <c r="B806" s="49">
        <v>44979</v>
      </c>
      <c r="O806">
        <v>1</v>
      </c>
      <c r="AC806">
        <v>1</v>
      </c>
    </row>
    <row r="807" spans="1:29">
      <c r="A807" t="s">
        <v>8801</v>
      </c>
      <c r="O807">
        <v>1</v>
      </c>
      <c r="AC807">
        <v>1</v>
      </c>
    </row>
    <row r="808" spans="1:29">
      <c r="A808" t="s">
        <v>7558</v>
      </c>
      <c r="B808" s="49">
        <v>45011</v>
      </c>
      <c r="M808">
        <v>1</v>
      </c>
      <c r="AC808">
        <v>1</v>
      </c>
    </row>
    <row r="809" spans="1:29">
      <c r="A809" t="s">
        <v>8802</v>
      </c>
      <c r="M809">
        <v>1</v>
      </c>
      <c r="AC809">
        <v>1</v>
      </c>
    </row>
    <row r="810" spans="1:29">
      <c r="A810" t="s">
        <v>5607</v>
      </c>
      <c r="B810" s="49">
        <v>44965</v>
      </c>
      <c r="R810">
        <v>1</v>
      </c>
      <c r="AC810">
        <v>1</v>
      </c>
    </row>
    <row r="811" spans="1:29">
      <c r="A811" t="s">
        <v>8803</v>
      </c>
      <c r="R811">
        <v>1</v>
      </c>
      <c r="AC811">
        <v>1</v>
      </c>
    </row>
    <row r="812" spans="1:29">
      <c r="A812" t="s">
        <v>7570</v>
      </c>
      <c r="B812" s="49">
        <v>45011</v>
      </c>
      <c r="M812">
        <v>1</v>
      </c>
      <c r="AC812">
        <v>1</v>
      </c>
    </row>
    <row r="813" spans="1:29">
      <c r="A813" t="s">
        <v>8804</v>
      </c>
      <c r="M813">
        <v>1</v>
      </c>
      <c r="AC813">
        <v>1</v>
      </c>
    </row>
    <row r="814" spans="1:29">
      <c r="A814" t="s">
        <v>5637</v>
      </c>
      <c r="B814" s="49">
        <v>44965</v>
      </c>
      <c r="H814">
        <v>1</v>
      </c>
      <c r="AC814">
        <v>1</v>
      </c>
    </row>
    <row r="815" spans="1:29">
      <c r="A815" t="s">
        <v>8805</v>
      </c>
      <c r="H815">
        <v>1</v>
      </c>
      <c r="AC815">
        <v>1</v>
      </c>
    </row>
    <row r="816" spans="1:29">
      <c r="A816" t="s">
        <v>7592</v>
      </c>
      <c r="B816" s="49">
        <v>45011</v>
      </c>
      <c r="M816">
        <v>1</v>
      </c>
      <c r="AC816">
        <v>1</v>
      </c>
    </row>
    <row r="817" spans="1:29">
      <c r="A817" t="s">
        <v>8806</v>
      </c>
      <c r="M817">
        <v>1</v>
      </c>
      <c r="AC817">
        <v>1</v>
      </c>
    </row>
    <row r="818" spans="1:29">
      <c r="A818" t="s">
        <v>5633</v>
      </c>
      <c r="B818" s="49">
        <v>44965</v>
      </c>
      <c r="H818">
        <v>1</v>
      </c>
      <c r="AC818">
        <v>1</v>
      </c>
    </row>
    <row r="819" spans="1:29">
      <c r="A819" t="s">
        <v>8807</v>
      </c>
      <c r="H819">
        <v>1</v>
      </c>
      <c r="AC819">
        <v>1</v>
      </c>
    </row>
    <row r="820" spans="1:29">
      <c r="A820" t="s">
        <v>7602</v>
      </c>
      <c r="B820" s="49">
        <v>45011</v>
      </c>
      <c r="M820">
        <v>1</v>
      </c>
      <c r="AC820">
        <v>1</v>
      </c>
    </row>
    <row r="821" spans="1:29">
      <c r="A821" t="s">
        <v>8808</v>
      </c>
      <c r="M821">
        <v>1</v>
      </c>
      <c r="AC821">
        <v>1</v>
      </c>
    </row>
    <row r="822" spans="1:29">
      <c r="A822" t="s">
        <v>5802</v>
      </c>
      <c r="B822" s="49">
        <v>44968</v>
      </c>
      <c r="X822">
        <v>1</v>
      </c>
      <c r="AC822">
        <v>1</v>
      </c>
    </row>
    <row r="823" spans="1:29">
      <c r="A823" t="s">
        <v>8809</v>
      </c>
      <c r="X823">
        <v>1</v>
      </c>
      <c r="AC823">
        <v>1</v>
      </c>
    </row>
    <row r="824" spans="1:29">
      <c r="A824" t="s">
        <v>7618</v>
      </c>
      <c r="B824" s="49">
        <v>45011</v>
      </c>
      <c r="D824">
        <v>1</v>
      </c>
      <c r="AC824">
        <v>1</v>
      </c>
    </row>
    <row r="825" spans="1:29">
      <c r="A825" t="s">
        <v>8810</v>
      </c>
      <c r="D825">
        <v>1</v>
      </c>
      <c r="AC825">
        <v>1</v>
      </c>
    </row>
    <row r="826" spans="1:29">
      <c r="A826" t="s">
        <v>5887</v>
      </c>
      <c r="B826" s="49">
        <v>44971</v>
      </c>
      <c r="X826">
        <v>1</v>
      </c>
      <c r="AC826">
        <v>1</v>
      </c>
    </row>
    <row r="827" spans="1:29">
      <c r="A827" t="s">
        <v>8811</v>
      </c>
      <c r="X827">
        <v>1</v>
      </c>
      <c r="AC827">
        <v>1</v>
      </c>
    </row>
    <row r="828" spans="1:29">
      <c r="A828" t="s">
        <v>7634</v>
      </c>
      <c r="B828" s="49">
        <v>45011</v>
      </c>
      <c r="M828">
        <v>1</v>
      </c>
      <c r="AC828">
        <v>1</v>
      </c>
    </row>
    <row r="829" spans="1:29">
      <c r="A829" t="s">
        <v>8812</v>
      </c>
      <c r="M829">
        <v>1</v>
      </c>
      <c r="AC829">
        <v>1</v>
      </c>
    </row>
    <row r="830" spans="1:29">
      <c r="A830" t="s">
        <v>3206</v>
      </c>
      <c r="B830" s="49">
        <v>45011</v>
      </c>
      <c r="M830">
        <v>1</v>
      </c>
      <c r="AC830">
        <v>1</v>
      </c>
    </row>
    <row r="831" spans="1:29">
      <c r="A831" t="s">
        <v>8813</v>
      </c>
      <c r="M831">
        <v>1</v>
      </c>
      <c r="AC831">
        <v>1</v>
      </c>
    </row>
    <row r="832" spans="1:29">
      <c r="A832" t="s">
        <v>3361</v>
      </c>
      <c r="B832" s="49">
        <v>44996</v>
      </c>
      <c r="M832">
        <v>1</v>
      </c>
      <c r="AC832">
        <v>1</v>
      </c>
    </row>
    <row r="833" spans="1:29">
      <c r="A833" t="s">
        <v>8814</v>
      </c>
      <c r="M833">
        <v>1</v>
      </c>
      <c r="AC833">
        <v>1</v>
      </c>
    </row>
    <row r="834" spans="1:29">
      <c r="A834" t="s">
        <v>4502</v>
      </c>
      <c r="B834" s="49">
        <v>44894</v>
      </c>
      <c r="Z834">
        <v>1</v>
      </c>
      <c r="AC834">
        <v>1</v>
      </c>
    </row>
    <row r="835" spans="1:29">
      <c r="A835" t="s">
        <v>8815</v>
      </c>
      <c r="Z835">
        <v>1</v>
      </c>
      <c r="AC835">
        <v>1</v>
      </c>
    </row>
    <row r="836" spans="1:29">
      <c r="A836" t="s">
        <v>7678</v>
      </c>
      <c r="B836" s="49">
        <v>45013</v>
      </c>
      <c r="M836">
        <v>1</v>
      </c>
      <c r="AC836">
        <v>1</v>
      </c>
    </row>
    <row r="837" spans="1:29">
      <c r="A837" t="s">
        <v>8816</v>
      </c>
      <c r="M837">
        <v>1</v>
      </c>
      <c r="AC837">
        <v>1</v>
      </c>
    </row>
    <row r="838" spans="1:29">
      <c r="A838" t="s">
        <v>4790</v>
      </c>
      <c r="B838" s="49">
        <v>44902</v>
      </c>
      <c r="I838">
        <v>1</v>
      </c>
      <c r="AC838">
        <v>1</v>
      </c>
    </row>
    <row r="839" spans="1:29">
      <c r="A839" t="s">
        <v>8817</v>
      </c>
      <c r="I839">
        <v>1</v>
      </c>
      <c r="AC839">
        <v>1</v>
      </c>
    </row>
    <row r="840" spans="1:29">
      <c r="A840" t="s">
        <v>7694</v>
      </c>
      <c r="B840" s="49">
        <v>45013</v>
      </c>
      <c r="M840">
        <v>1</v>
      </c>
      <c r="AC840">
        <v>1</v>
      </c>
    </row>
    <row r="841" spans="1:29">
      <c r="A841" t="s">
        <v>8818</v>
      </c>
      <c r="M841">
        <v>1</v>
      </c>
      <c r="AC841">
        <v>1</v>
      </c>
    </row>
    <row r="842" spans="1:29">
      <c r="A842" t="s">
        <v>6016</v>
      </c>
      <c r="B842" s="49">
        <v>45013</v>
      </c>
      <c r="M842">
        <v>1</v>
      </c>
      <c r="AC842">
        <v>1</v>
      </c>
    </row>
    <row r="843" spans="1:29">
      <c r="A843" t="s">
        <v>8819</v>
      </c>
      <c r="M843">
        <v>1</v>
      </c>
      <c r="AC843">
        <v>1</v>
      </c>
    </row>
    <row r="844" spans="1:29">
      <c r="A844" t="s">
        <v>7728</v>
      </c>
      <c r="B844" s="49">
        <v>45014</v>
      </c>
      <c r="M844">
        <v>1</v>
      </c>
      <c r="AC844">
        <v>1</v>
      </c>
    </row>
    <row r="845" spans="1:29">
      <c r="A845" t="s">
        <v>8820</v>
      </c>
      <c r="M845">
        <v>1</v>
      </c>
      <c r="AC845">
        <v>1</v>
      </c>
    </row>
    <row r="846" spans="1:29">
      <c r="A846" t="s">
        <v>6006</v>
      </c>
      <c r="B846" s="49">
        <v>44980</v>
      </c>
      <c r="X846">
        <v>1</v>
      </c>
      <c r="AC846">
        <v>1</v>
      </c>
    </row>
    <row r="847" spans="1:29">
      <c r="A847" t="s">
        <v>8821</v>
      </c>
      <c r="X847">
        <v>1</v>
      </c>
      <c r="AC847">
        <v>1</v>
      </c>
    </row>
    <row r="848" spans="1:29">
      <c r="A848" t="s">
        <v>115</v>
      </c>
      <c r="B848" s="49">
        <v>45014</v>
      </c>
      <c r="N848">
        <v>1</v>
      </c>
      <c r="AC848">
        <v>1</v>
      </c>
    </row>
    <row r="849" spans="1:29">
      <c r="A849" t="s">
        <v>8822</v>
      </c>
      <c r="N849">
        <v>1</v>
      </c>
      <c r="AC849">
        <v>1</v>
      </c>
    </row>
    <row r="850" spans="1:29">
      <c r="A850" t="s">
        <v>1497</v>
      </c>
      <c r="B850" s="49">
        <v>44894</v>
      </c>
      <c r="Z850">
        <v>1</v>
      </c>
      <c r="AC850">
        <v>1</v>
      </c>
    </row>
    <row r="851" spans="1:29">
      <c r="A851" t="s">
        <v>8823</v>
      </c>
      <c r="Z851">
        <v>1</v>
      </c>
      <c r="AC851">
        <v>1</v>
      </c>
    </row>
    <row r="852" spans="1:29">
      <c r="A852" t="s">
        <v>7972</v>
      </c>
      <c r="B852" s="49">
        <v>45014</v>
      </c>
      <c r="N852">
        <v>1</v>
      </c>
      <c r="AC852">
        <v>1</v>
      </c>
    </row>
    <row r="853" spans="1:29">
      <c r="A853" t="s">
        <v>8824</v>
      </c>
      <c r="N853">
        <v>1</v>
      </c>
      <c r="AC853">
        <v>1</v>
      </c>
    </row>
    <row r="854" spans="1:29">
      <c r="A854" t="s">
        <v>4507</v>
      </c>
      <c r="B854" s="49">
        <v>44894</v>
      </c>
      <c r="Z854">
        <v>1</v>
      </c>
      <c r="AC854">
        <v>1</v>
      </c>
    </row>
    <row r="855" spans="1:29">
      <c r="A855" t="s">
        <v>8825</v>
      </c>
      <c r="Z855">
        <v>1</v>
      </c>
      <c r="AC855">
        <v>1</v>
      </c>
    </row>
    <row r="856" spans="1:29">
      <c r="A856" t="s">
        <v>8104</v>
      </c>
      <c r="B856" s="49">
        <v>45016</v>
      </c>
      <c r="M856">
        <v>1</v>
      </c>
      <c r="AC856">
        <v>1</v>
      </c>
    </row>
    <row r="857" spans="1:29">
      <c r="A857" t="s">
        <v>8826</v>
      </c>
      <c r="M857">
        <v>1</v>
      </c>
      <c r="AC857">
        <v>1</v>
      </c>
    </row>
    <row r="858" spans="1:29">
      <c r="A858" t="s">
        <v>6083</v>
      </c>
      <c r="B858" s="49">
        <v>44979</v>
      </c>
      <c r="K858">
        <v>1</v>
      </c>
      <c r="AC858">
        <v>1</v>
      </c>
    </row>
    <row r="859" spans="1:29">
      <c r="A859" t="s">
        <v>8827</v>
      </c>
      <c r="K859">
        <v>1</v>
      </c>
      <c r="AC859">
        <v>1</v>
      </c>
    </row>
    <row r="860" spans="1:29">
      <c r="A860" t="s">
        <v>8121</v>
      </c>
      <c r="B860" s="49">
        <v>45015</v>
      </c>
      <c r="N860">
        <v>1</v>
      </c>
      <c r="AC860">
        <v>1</v>
      </c>
    </row>
    <row r="861" spans="1:29">
      <c r="A861" t="s">
        <v>8828</v>
      </c>
      <c r="N861">
        <v>1</v>
      </c>
      <c r="AC861">
        <v>1</v>
      </c>
    </row>
    <row r="862" spans="1:29">
      <c r="A862" t="s">
        <v>1502</v>
      </c>
      <c r="B862" s="49">
        <v>44894</v>
      </c>
      <c r="C862">
        <v>1</v>
      </c>
      <c r="AC862">
        <v>1</v>
      </c>
    </row>
    <row r="863" spans="1:29">
      <c r="A863" t="s">
        <v>8829</v>
      </c>
      <c r="C863">
        <v>1</v>
      </c>
      <c r="AC863">
        <v>1</v>
      </c>
    </row>
    <row r="864" spans="1:29">
      <c r="A864" t="s">
        <v>8133</v>
      </c>
      <c r="B864" s="49">
        <v>45015</v>
      </c>
      <c r="N864">
        <v>1</v>
      </c>
      <c r="AC864">
        <v>1</v>
      </c>
    </row>
    <row r="865" spans="1:29">
      <c r="A865" t="s">
        <v>8830</v>
      </c>
      <c r="N865">
        <v>1</v>
      </c>
      <c r="AC865">
        <v>1</v>
      </c>
    </row>
    <row r="866" spans="1:29">
      <c r="A866" t="s">
        <v>4207</v>
      </c>
      <c r="B866" s="49">
        <v>44878</v>
      </c>
      <c r="F866">
        <v>1</v>
      </c>
      <c r="AC866">
        <v>1</v>
      </c>
    </row>
    <row r="867" spans="1:29">
      <c r="A867" t="s">
        <v>8831</v>
      </c>
      <c r="F867">
        <v>1</v>
      </c>
      <c r="AC867">
        <v>1</v>
      </c>
    </row>
    <row r="868" spans="1:29">
      <c r="A868" t="s">
        <v>8145</v>
      </c>
      <c r="B868" s="49">
        <v>45015</v>
      </c>
      <c r="N868">
        <v>1</v>
      </c>
      <c r="AC868">
        <v>1</v>
      </c>
    </row>
    <row r="869" spans="1:29">
      <c r="A869" t="s">
        <v>8832</v>
      </c>
      <c r="N869">
        <v>1</v>
      </c>
      <c r="AC869">
        <v>1</v>
      </c>
    </row>
    <row r="870" spans="1:29">
      <c r="A870" t="s">
        <v>452</v>
      </c>
      <c r="B870" s="49">
        <v>44881</v>
      </c>
      <c r="V870">
        <v>1</v>
      </c>
      <c r="AC870">
        <v>1</v>
      </c>
    </row>
    <row r="871" spans="1:29">
      <c r="A871" t="s">
        <v>8833</v>
      </c>
      <c r="V871">
        <v>1</v>
      </c>
      <c r="AC871">
        <v>1</v>
      </c>
    </row>
    <row r="872" spans="1:29">
      <c r="A872" t="s">
        <v>8157</v>
      </c>
      <c r="B872" s="49">
        <v>45015</v>
      </c>
      <c r="N872">
        <v>1</v>
      </c>
      <c r="AC872">
        <v>1</v>
      </c>
    </row>
    <row r="873" spans="1:29">
      <c r="A873" t="s">
        <v>8834</v>
      </c>
      <c r="N873">
        <v>1</v>
      </c>
      <c r="AC873">
        <v>1</v>
      </c>
    </row>
    <row r="874" spans="1:29">
      <c r="A874" t="s">
        <v>6175</v>
      </c>
      <c r="B874" s="49">
        <v>44992</v>
      </c>
      <c r="U874">
        <v>1</v>
      </c>
      <c r="AC874">
        <v>1</v>
      </c>
    </row>
    <row r="875" spans="1:29">
      <c r="A875" t="s">
        <v>8835</v>
      </c>
      <c r="U875">
        <v>1</v>
      </c>
      <c r="AC875">
        <v>1</v>
      </c>
    </row>
    <row r="876" spans="1:29">
      <c r="A876" t="s">
        <v>8169</v>
      </c>
      <c r="B876" s="49">
        <v>45015</v>
      </c>
      <c r="N876">
        <v>1</v>
      </c>
      <c r="AC876">
        <v>1</v>
      </c>
    </row>
    <row r="877" spans="1:29">
      <c r="A877" t="s">
        <v>8836</v>
      </c>
      <c r="N877">
        <v>1</v>
      </c>
      <c r="AC877">
        <v>1</v>
      </c>
    </row>
    <row r="878" spans="1:29">
      <c r="A878" t="s">
        <v>7285</v>
      </c>
      <c r="B878" s="49">
        <v>45008</v>
      </c>
      <c r="N878">
        <v>1</v>
      </c>
      <c r="AC878">
        <v>1</v>
      </c>
    </row>
    <row r="879" spans="1:29">
      <c r="A879" t="s">
        <v>8837</v>
      </c>
      <c r="N879">
        <v>1</v>
      </c>
      <c r="AC879">
        <v>1</v>
      </c>
    </row>
    <row r="880" spans="1:29">
      <c r="A880" t="s">
        <v>8180</v>
      </c>
      <c r="B880" s="49">
        <v>45015</v>
      </c>
      <c r="N880">
        <v>1</v>
      </c>
      <c r="AC880">
        <v>1</v>
      </c>
    </row>
    <row r="881" spans="1:29">
      <c r="A881" t="s">
        <v>8838</v>
      </c>
      <c r="N881">
        <v>1</v>
      </c>
      <c r="AC881">
        <v>1</v>
      </c>
    </row>
    <row r="882" spans="1:29">
      <c r="A882" t="s">
        <v>4594</v>
      </c>
      <c r="B882" s="49">
        <v>44896</v>
      </c>
      <c r="Y882">
        <v>1</v>
      </c>
      <c r="AC882">
        <v>1</v>
      </c>
    </row>
    <row r="883" spans="1:29">
      <c r="A883" t="s">
        <v>8839</v>
      </c>
      <c r="Y883">
        <v>1</v>
      </c>
      <c r="AC883">
        <v>1</v>
      </c>
    </row>
    <row r="884" spans="1:29">
      <c r="A884" t="s">
        <v>8194</v>
      </c>
      <c r="B884" s="49">
        <v>45015</v>
      </c>
      <c r="N884">
        <v>1</v>
      </c>
      <c r="AC884">
        <v>1</v>
      </c>
    </row>
    <row r="885" spans="1:29">
      <c r="A885" t="s">
        <v>8840</v>
      </c>
      <c r="N885">
        <v>1</v>
      </c>
      <c r="AC885">
        <v>1</v>
      </c>
    </row>
    <row r="886" spans="1:29">
      <c r="A886" t="s">
        <v>4752</v>
      </c>
      <c r="B886" s="49">
        <v>44929</v>
      </c>
      <c r="K886">
        <v>1</v>
      </c>
      <c r="AC886">
        <v>1</v>
      </c>
    </row>
    <row r="887" spans="1:29">
      <c r="A887" t="s">
        <v>8841</v>
      </c>
      <c r="K887">
        <v>1</v>
      </c>
      <c r="AC887">
        <v>1</v>
      </c>
    </row>
    <row r="888" spans="1:29">
      <c r="A888" t="s">
        <v>8206</v>
      </c>
      <c r="B888" s="49">
        <v>45015</v>
      </c>
      <c r="N888">
        <v>1</v>
      </c>
      <c r="AC888">
        <v>1</v>
      </c>
    </row>
    <row r="889" spans="1:29">
      <c r="A889" t="s">
        <v>8842</v>
      </c>
      <c r="N889">
        <v>1</v>
      </c>
      <c r="AC889">
        <v>1</v>
      </c>
    </row>
    <row r="890" spans="1:29">
      <c r="A890" t="s">
        <v>4224</v>
      </c>
      <c r="B890" s="49">
        <v>44878</v>
      </c>
      <c r="R890">
        <v>1</v>
      </c>
      <c r="AC890">
        <v>1</v>
      </c>
    </row>
    <row r="891" spans="1:29">
      <c r="A891" t="s">
        <v>8843</v>
      </c>
      <c r="R891">
        <v>1</v>
      </c>
      <c r="AC891">
        <v>1</v>
      </c>
    </row>
    <row r="892" spans="1:29">
      <c r="A892" t="s">
        <v>8218</v>
      </c>
      <c r="B892" s="49">
        <v>45015</v>
      </c>
      <c r="N892">
        <v>1</v>
      </c>
      <c r="AC892">
        <v>1</v>
      </c>
    </row>
    <row r="893" spans="1:29">
      <c r="A893" t="s">
        <v>8844</v>
      </c>
      <c r="N893">
        <v>1</v>
      </c>
      <c r="AC893">
        <v>1</v>
      </c>
    </row>
    <row r="894" spans="1:29">
      <c r="A894" t="s">
        <v>6366</v>
      </c>
      <c r="B894" s="49">
        <v>45011</v>
      </c>
      <c r="M894">
        <v>1</v>
      </c>
      <c r="AC894">
        <v>1</v>
      </c>
    </row>
    <row r="895" spans="1:29">
      <c r="A895" t="s">
        <v>8845</v>
      </c>
      <c r="M895">
        <v>1</v>
      </c>
      <c r="AC895">
        <v>1</v>
      </c>
    </row>
    <row r="896" spans="1:29">
      <c r="A896" t="s">
        <v>1566</v>
      </c>
      <c r="B896" s="49">
        <v>45015</v>
      </c>
      <c r="N896">
        <v>1</v>
      </c>
      <c r="AC896">
        <v>1</v>
      </c>
    </row>
    <row r="897" spans="1:29">
      <c r="A897" t="s">
        <v>8846</v>
      </c>
      <c r="N897">
        <v>1</v>
      </c>
      <c r="AC897">
        <v>1</v>
      </c>
    </row>
    <row r="898" spans="1:29">
      <c r="A898" t="s">
        <v>460</v>
      </c>
      <c r="B898" s="49">
        <v>44833</v>
      </c>
      <c r="J898">
        <v>1</v>
      </c>
      <c r="AC898">
        <v>1</v>
      </c>
    </row>
    <row r="899" spans="1:29">
      <c r="A899" t="s">
        <v>8847</v>
      </c>
      <c r="J899">
        <v>1</v>
      </c>
      <c r="AC899">
        <v>1</v>
      </c>
    </row>
    <row r="900" spans="1:29">
      <c r="A900" t="s">
        <v>8241</v>
      </c>
      <c r="B900" s="49">
        <v>45015</v>
      </c>
      <c r="N900">
        <v>1</v>
      </c>
      <c r="AC900">
        <v>1</v>
      </c>
    </row>
    <row r="901" spans="1:29">
      <c r="A901" t="s">
        <v>8848</v>
      </c>
      <c r="N901">
        <v>1</v>
      </c>
      <c r="AC901">
        <v>1</v>
      </c>
    </row>
    <row r="902" spans="1:29">
      <c r="A902" t="s">
        <v>445</v>
      </c>
      <c r="B902" s="49">
        <v>44832</v>
      </c>
      <c r="J902">
        <v>1</v>
      </c>
      <c r="AC902">
        <v>1</v>
      </c>
    </row>
    <row r="903" spans="1:29">
      <c r="A903" t="s">
        <v>8849</v>
      </c>
      <c r="J903">
        <v>1</v>
      </c>
      <c r="AC903">
        <v>1</v>
      </c>
    </row>
    <row r="904" spans="1:29">
      <c r="A904" t="s">
        <v>8253</v>
      </c>
      <c r="B904" s="49">
        <v>45015</v>
      </c>
      <c r="N904">
        <v>1</v>
      </c>
      <c r="AC904">
        <v>1</v>
      </c>
    </row>
    <row r="905" spans="1:29">
      <c r="A905" t="s">
        <v>8850</v>
      </c>
      <c r="N905">
        <v>1</v>
      </c>
      <c r="AC905">
        <v>1</v>
      </c>
    </row>
    <row r="906" spans="1:29">
      <c r="A906" t="s">
        <v>2979</v>
      </c>
      <c r="B906" s="49">
        <v>44848</v>
      </c>
      <c r="L906">
        <v>1</v>
      </c>
      <c r="AC906">
        <v>1</v>
      </c>
    </row>
    <row r="907" spans="1:29">
      <c r="A907" t="s">
        <v>8851</v>
      </c>
      <c r="L907">
        <v>1</v>
      </c>
      <c r="AC907">
        <v>1</v>
      </c>
    </row>
    <row r="908" spans="1:29">
      <c r="A908" t="s">
        <v>8265</v>
      </c>
      <c r="B908" s="49">
        <v>45015</v>
      </c>
      <c r="N908">
        <v>1</v>
      </c>
      <c r="AC908">
        <v>1</v>
      </c>
    </row>
    <row r="909" spans="1:29">
      <c r="A909" t="s">
        <v>8852</v>
      </c>
      <c r="N909">
        <v>1</v>
      </c>
      <c r="AC909">
        <v>1</v>
      </c>
    </row>
    <row r="910" spans="1:29">
      <c r="A910" t="s">
        <v>7303</v>
      </c>
      <c r="B910" s="49">
        <v>45008</v>
      </c>
      <c r="N910">
        <v>1</v>
      </c>
      <c r="AC910">
        <v>1</v>
      </c>
    </row>
    <row r="911" spans="1:29">
      <c r="A911" t="s">
        <v>8853</v>
      </c>
      <c r="N911">
        <v>1</v>
      </c>
      <c r="AC911">
        <v>1</v>
      </c>
    </row>
    <row r="912" spans="1:29">
      <c r="A912" t="s">
        <v>1649</v>
      </c>
      <c r="B912" s="49">
        <v>45015</v>
      </c>
      <c r="N912">
        <v>1</v>
      </c>
      <c r="AC912">
        <v>1</v>
      </c>
    </row>
    <row r="913" spans="1:29">
      <c r="A913" t="s">
        <v>8854</v>
      </c>
      <c r="N913">
        <v>1</v>
      </c>
      <c r="AC913">
        <v>1</v>
      </c>
    </row>
    <row r="914" spans="1:29">
      <c r="A914" t="s">
        <v>3704</v>
      </c>
      <c r="B914" s="49">
        <v>44848</v>
      </c>
      <c r="J914">
        <v>1</v>
      </c>
      <c r="AC914">
        <v>1</v>
      </c>
    </row>
    <row r="915" spans="1:29">
      <c r="A915" t="s">
        <v>8855</v>
      </c>
      <c r="J915">
        <v>1</v>
      </c>
      <c r="AC915">
        <v>1</v>
      </c>
    </row>
    <row r="916" spans="1:29">
      <c r="A916" t="s">
        <v>8293</v>
      </c>
      <c r="B916" s="49">
        <v>45015</v>
      </c>
      <c r="M916">
        <v>1</v>
      </c>
      <c r="AC916">
        <v>1</v>
      </c>
    </row>
    <row r="917" spans="1:29">
      <c r="A917" t="s">
        <v>8856</v>
      </c>
      <c r="M917">
        <v>1</v>
      </c>
      <c r="AC917">
        <v>1</v>
      </c>
    </row>
    <row r="918" spans="1:29">
      <c r="A918" t="s">
        <v>4057</v>
      </c>
      <c r="B918" s="49">
        <v>44873</v>
      </c>
      <c r="S918">
        <v>1</v>
      </c>
      <c r="AC918">
        <v>1</v>
      </c>
    </row>
    <row r="919" spans="1:29">
      <c r="A919" t="s">
        <v>8857</v>
      </c>
      <c r="S919">
        <v>1</v>
      </c>
      <c r="AC919">
        <v>1</v>
      </c>
    </row>
    <row r="920" spans="1:29">
      <c r="A920" t="s">
        <v>8305</v>
      </c>
      <c r="B920" s="49">
        <v>45015</v>
      </c>
      <c r="N920">
        <v>1</v>
      </c>
      <c r="AC920">
        <v>1</v>
      </c>
    </row>
    <row r="921" spans="1:29">
      <c r="A921" t="s">
        <v>8858</v>
      </c>
      <c r="N921">
        <v>1</v>
      </c>
      <c r="AC921">
        <v>1</v>
      </c>
    </row>
    <row r="922" spans="1:29">
      <c r="A922" t="s">
        <v>3681</v>
      </c>
      <c r="B922" s="49">
        <v>44847</v>
      </c>
      <c r="J922">
        <v>1</v>
      </c>
      <c r="AC922">
        <v>1</v>
      </c>
    </row>
    <row r="923" spans="1:29">
      <c r="A923" t="s">
        <v>8859</v>
      </c>
      <c r="J923">
        <v>1</v>
      </c>
      <c r="AC923">
        <v>1</v>
      </c>
    </row>
    <row r="924" spans="1:29">
      <c r="A924" t="s">
        <v>8323</v>
      </c>
      <c r="B924" s="49">
        <v>45015</v>
      </c>
      <c r="N924">
        <v>1</v>
      </c>
      <c r="AC924">
        <v>1</v>
      </c>
    </row>
    <row r="925" spans="1:29">
      <c r="A925" t="s">
        <v>8860</v>
      </c>
      <c r="N925">
        <v>1</v>
      </c>
      <c r="AC925">
        <v>1</v>
      </c>
    </row>
    <row r="926" spans="1:29">
      <c r="A926" t="s">
        <v>3589</v>
      </c>
      <c r="B926" s="49">
        <v>45001</v>
      </c>
      <c r="Q926">
        <v>1</v>
      </c>
      <c r="AC926">
        <v>1</v>
      </c>
    </row>
    <row r="927" spans="1:29">
      <c r="A927" t="s">
        <v>8861</v>
      </c>
      <c r="Q927">
        <v>1</v>
      </c>
      <c r="AC927">
        <v>1</v>
      </c>
    </row>
    <row r="928" spans="1:29">
      <c r="A928" t="s">
        <v>8353</v>
      </c>
      <c r="B928" s="49">
        <v>45016</v>
      </c>
      <c r="N928">
        <v>1</v>
      </c>
      <c r="AC928">
        <v>1</v>
      </c>
    </row>
    <row r="929" spans="1:29">
      <c r="A929" t="s">
        <v>8862</v>
      </c>
      <c r="N929">
        <v>1</v>
      </c>
      <c r="AC929">
        <v>1</v>
      </c>
    </row>
    <row r="930" spans="1:29">
      <c r="A930" t="s">
        <v>5598</v>
      </c>
      <c r="B930" s="49">
        <v>44965</v>
      </c>
      <c r="O930">
        <v>1</v>
      </c>
      <c r="AC930">
        <v>1</v>
      </c>
    </row>
    <row r="931" spans="1:29">
      <c r="A931" t="s">
        <v>8863</v>
      </c>
      <c r="O931">
        <v>1</v>
      </c>
      <c r="AC931">
        <v>1</v>
      </c>
    </row>
    <row r="932" spans="1:29">
      <c r="A932" t="s">
        <v>7477</v>
      </c>
      <c r="B932" s="49">
        <v>45010</v>
      </c>
      <c r="M932">
        <v>1</v>
      </c>
      <c r="AC932">
        <v>1</v>
      </c>
    </row>
    <row r="933" spans="1:29">
      <c r="A933" t="s">
        <v>8864</v>
      </c>
      <c r="M933">
        <v>1</v>
      </c>
      <c r="AC933">
        <v>1</v>
      </c>
    </row>
    <row r="934" spans="1:29">
      <c r="A934" t="s">
        <v>3073</v>
      </c>
      <c r="B934" s="49">
        <v>44895</v>
      </c>
      <c r="L934">
        <v>1</v>
      </c>
      <c r="AC934">
        <v>1</v>
      </c>
    </row>
    <row r="935" spans="1:29">
      <c r="A935" t="s">
        <v>8865</v>
      </c>
      <c r="L935">
        <v>1</v>
      </c>
      <c r="AC935">
        <v>1</v>
      </c>
    </row>
    <row r="936" spans="1:29">
      <c r="A936" t="s">
        <v>7483</v>
      </c>
      <c r="B936" s="49">
        <v>45010</v>
      </c>
      <c r="M936">
        <v>1</v>
      </c>
      <c r="AC936">
        <v>1</v>
      </c>
    </row>
    <row r="937" spans="1:29">
      <c r="A937" t="s">
        <v>8866</v>
      </c>
      <c r="M937">
        <v>1</v>
      </c>
      <c r="AC937">
        <v>1</v>
      </c>
    </row>
    <row r="938" spans="1:29">
      <c r="A938" t="s">
        <v>4245</v>
      </c>
      <c r="B938" s="49">
        <v>44878</v>
      </c>
      <c r="M938">
        <v>1</v>
      </c>
      <c r="AC938">
        <v>1</v>
      </c>
    </row>
    <row r="939" spans="1:29">
      <c r="A939" t="s">
        <v>8867</v>
      </c>
      <c r="M939">
        <v>1</v>
      </c>
      <c r="AC939">
        <v>1</v>
      </c>
    </row>
    <row r="940" spans="1:29">
      <c r="A940" t="s">
        <v>7489</v>
      </c>
      <c r="B940" s="49">
        <v>45010</v>
      </c>
      <c r="M940">
        <v>1</v>
      </c>
      <c r="AC940">
        <v>1</v>
      </c>
    </row>
    <row r="941" spans="1:29">
      <c r="A941" t="s">
        <v>8868</v>
      </c>
      <c r="M941">
        <v>1</v>
      </c>
      <c r="AC941">
        <v>1</v>
      </c>
    </row>
    <row r="942" spans="1:29">
      <c r="A942" t="s">
        <v>245</v>
      </c>
      <c r="B942" s="49">
        <v>44819</v>
      </c>
      <c r="L942">
        <v>1</v>
      </c>
      <c r="AC942">
        <v>1</v>
      </c>
    </row>
    <row r="943" spans="1:29">
      <c r="A943" t="s">
        <v>8869</v>
      </c>
      <c r="L943">
        <v>1</v>
      </c>
      <c r="AC943">
        <v>1</v>
      </c>
    </row>
    <row r="944" spans="1:29">
      <c r="A944" t="s">
        <v>7495</v>
      </c>
      <c r="B944" s="49">
        <v>45010</v>
      </c>
      <c r="M944">
        <v>1</v>
      </c>
      <c r="AC944">
        <v>1</v>
      </c>
    </row>
    <row r="945" spans="1:29">
      <c r="A945" t="s">
        <v>8870</v>
      </c>
      <c r="M945">
        <v>1</v>
      </c>
      <c r="AC945">
        <v>1</v>
      </c>
    </row>
    <row r="946" spans="1:29">
      <c r="A946" t="s">
        <v>5592</v>
      </c>
      <c r="B946" s="49">
        <v>44965</v>
      </c>
      <c r="M946">
        <v>1</v>
      </c>
      <c r="AC946">
        <v>1</v>
      </c>
    </row>
    <row r="947" spans="1:29">
      <c r="A947" t="s">
        <v>8871</v>
      </c>
      <c r="M947">
        <v>1</v>
      </c>
      <c r="AC947">
        <v>1</v>
      </c>
    </row>
    <row r="948" spans="1:29">
      <c r="A948" t="s">
        <v>7501</v>
      </c>
      <c r="B948" s="49">
        <v>45010</v>
      </c>
      <c r="M948">
        <v>1</v>
      </c>
      <c r="AC948">
        <v>1</v>
      </c>
    </row>
    <row r="949" spans="1:29">
      <c r="A949" t="s">
        <v>8872</v>
      </c>
      <c r="M949">
        <v>1</v>
      </c>
      <c r="AC949">
        <v>1</v>
      </c>
    </row>
    <row r="950" spans="1:29">
      <c r="A950" t="s">
        <v>382</v>
      </c>
      <c r="B950" s="49">
        <v>44914</v>
      </c>
      <c r="L950">
        <v>1</v>
      </c>
      <c r="AC950">
        <v>1</v>
      </c>
    </row>
    <row r="951" spans="1:29">
      <c r="A951" t="s">
        <v>8873</v>
      </c>
      <c r="L951">
        <v>1</v>
      </c>
      <c r="AC951">
        <v>1</v>
      </c>
    </row>
    <row r="952" spans="1:29">
      <c r="A952" t="s">
        <v>7507</v>
      </c>
      <c r="B952" s="49">
        <v>45011</v>
      </c>
      <c r="M952">
        <v>1</v>
      </c>
      <c r="AC952">
        <v>1</v>
      </c>
    </row>
    <row r="953" spans="1:29">
      <c r="A953" t="s">
        <v>8874</v>
      </c>
      <c r="M953">
        <v>1</v>
      </c>
      <c r="AC953">
        <v>1</v>
      </c>
    </row>
    <row r="954" spans="1:29">
      <c r="A954" t="s">
        <v>6669</v>
      </c>
      <c r="B954" s="49">
        <v>44996</v>
      </c>
      <c r="M954">
        <v>1</v>
      </c>
      <c r="AC954">
        <v>1</v>
      </c>
    </row>
    <row r="955" spans="1:29">
      <c r="A955" t="s">
        <v>8875</v>
      </c>
      <c r="M955">
        <v>1</v>
      </c>
      <c r="AC955">
        <v>1</v>
      </c>
    </row>
    <row r="956" spans="1:29">
      <c r="A956" t="s">
        <v>7519</v>
      </c>
      <c r="B956" s="49">
        <v>45011</v>
      </c>
      <c r="M956">
        <v>1</v>
      </c>
      <c r="AC956">
        <v>1</v>
      </c>
    </row>
    <row r="957" spans="1:29">
      <c r="A957" t="s">
        <v>8876</v>
      </c>
      <c r="M957">
        <v>1</v>
      </c>
      <c r="AC957">
        <v>1</v>
      </c>
    </row>
    <row r="958" spans="1:29">
      <c r="A958" t="s">
        <v>6678</v>
      </c>
      <c r="B958" s="49">
        <v>44996</v>
      </c>
      <c r="M958">
        <v>1</v>
      </c>
      <c r="AC958">
        <v>1</v>
      </c>
    </row>
    <row r="959" spans="1:29">
      <c r="A959" t="s">
        <v>8877</v>
      </c>
      <c r="M959">
        <v>1</v>
      </c>
      <c r="AC959">
        <v>1</v>
      </c>
    </row>
    <row r="960" spans="1:29">
      <c r="A960" t="s">
        <v>7525</v>
      </c>
      <c r="B960" s="49">
        <v>45011</v>
      </c>
      <c r="M960">
        <v>1</v>
      </c>
      <c r="AC960">
        <v>1</v>
      </c>
    </row>
    <row r="961" spans="1:29">
      <c r="A961" t="s">
        <v>8878</v>
      </c>
      <c r="M961">
        <v>1</v>
      </c>
      <c r="AC961">
        <v>1</v>
      </c>
    </row>
    <row r="962" spans="1:29">
      <c r="A962" t="s">
        <v>6684</v>
      </c>
      <c r="B962" s="49">
        <v>44996</v>
      </c>
      <c r="M962">
        <v>1</v>
      </c>
      <c r="AC962">
        <v>1</v>
      </c>
    </row>
    <row r="963" spans="1:29">
      <c r="A963" t="s">
        <v>8879</v>
      </c>
      <c r="M963">
        <v>1</v>
      </c>
      <c r="AC963">
        <v>1</v>
      </c>
    </row>
    <row r="964" spans="1:29">
      <c r="A964" t="s">
        <v>7533</v>
      </c>
      <c r="B964" s="49">
        <v>45011</v>
      </c>
      <c r="M964">
        <v>1</v>
      </c>
      <c r="AC964">
        <v>1</v>
      </c>
    </row>
    <row r="965" spans="1:29">
      <c r="A965" t="s">
        <v>8880</v>
      </c>
      <c r="M965">
        <v>1</v>
      </c>
      <c r="AC965">
        <v>1</v>
      </c>
    </row>
    <row r="966" spans="1:29">
      <c r="A966" t="s">
        <v>385</v>
      </c>
      <c r="B966" s="49">
        <v>44924</v>
      </c>
      <c r="V966">
        <v>1</v>
      </c>
      <c r="AC966">
        <v>1</v>
      </c>
    </row>
    <row r="967" spans="1:29">
      <c r="A967" t="s">
        <v>8881</v>
      </c>
      <c r="V967">
        <v>1</v>
      </c>
      <c r="AC967">
        <v>1</v>
      </c>
    </row>
    <row r="968" spans="1:29">
      <c r="A968" t="s">
        <v>7539</v>
      </c>
      <c r="B968" s="49">
        <v>45011</v>
      </c>
      <c r="M968">
        <v>1</v>
      </c>
      <c r="AC968">
        <v>1</v>
      </c>
    </row>
    <row r="969" spans="1:29">
      <c r="A969" t="s">
        <v>8882</v>
      </c>
      <c r="M969">
        <v>1</v>
      </c>
      <c r="AC969">
        <v>1</v>
      </c>
    </row>
    <row r="970" spans="1:29">
      <c r="A970" t="s">
        <v>6696</v>
      </c>
      <c r="B970" s="49">
        <v>44997</v>
      </c>
      <c r="X970">
        <v>1</v>
      </c>
      <c r="AC970">
        <v>1</v>
      </c>
    </row>
    <row r="971" spans="1:29">
      <c r="A971" t="s">
        <v>8883</v>
      </c>
      <c r="X971">
        <v>1</v>
      </c>
      <c r="AC971">
        <v>1</v>
      </c>
    </row>
    <row r="972" spans="1:29">
      <c r="A972" t="s">
        <v>7545</v>
      </c>
      <c r="B972" s="49">
        <v>45011</v>
      </c>
      <c r="M972">
        <v>1</v>
      </c>
      <c r="AC972">
        <v>1</v>
      </c>
    </row>
    <row r="973" spans="1:29">
      <c r="A973" t="s">
        <v>8884</v>
      </c>
      <c r="M973">
        <v>1</v>
      </c>
      <c r="AC973">
        <v>1</v>
      </c>
    </row>
    <row r="974" spans="1:29">
      <c r="A974" t="s">
        <v>6699</v>
      </c>
      <c r="B974" s="49">
        <v>44997</v>
      </c>
      <c r="L974">
        <v>1</v>
      </c>
      <c r="AC974">
        <v>1</v>
      </c>
    </row>
    <row r="975" spans="1:29">
      <c r="A975" t="s">
        <v>8885</v>
      </c>
      <c r="L975">
        <v>1</v>
      </c>
      <c r="AC975">
        <v>1</v>
      </c>
    </row>
    <row r="976" spans="1:29">
      <c r="A976" t="s">
        <v>7555</v>
      </c>
      <c r="B976" s="49">
        <v>45011</v>
      </c>
      <c r="M976">
        <v>1</v>
      </c>
      <c r="AC976">
        <v>1</v>
      </c>
    </row>
    <row r="977" spans="1:29">
      <c r="A977" t="s">
        <v>8886</v>
      </c>
      <c r="M977">
        <v>1</v>
      </c>
      <c r="AC977">
        <v>1</v>
      </c>
    </row>
    <row r="978" spans="1:29">
      <c r="A978" t="s">
        <v>6707</v>
      </c>
      <c r="B978" s="49">
        <v>44997</v>
      </c>
      <c r="M978">
        <v>1</v>
      </c>
      <c r="AC978">
        <v>1</v>
      </c>
    </row>
    <row r="979" spans="1:29">
      <c r="A979" t="s">
        <v>8887</v>
      </c>
      <c r="M979">
        <v>1</v>
      </c>
      <c r="AC979">
        <v>1</v>
      </c>
    </row>
    <row r="980" spans="1:29">
      <c r="A980" t="s">
        <v>7561</v>
      </c>
      <c r="B980" s="49">
        <v>45011</v>
      </c>
      <c r="M980">
        <v>1</v>
      </c>
      <c r="AC980">
        <v>1</v>
      </c>
    </row>
    <row r="981" spans="1:29">
      <c r="A981" t="s">
        <v>8888</v>
      </c>
      <c r="M981">
        <v>1</v>
      </c>
      <c r="AC981">
        <v>1</v>
      </c>
    </row>
    <row r="982" spans="1:29">
      <c r="A982" t="s">
        <v>6710</v>
      </c>
      <c r="B982" s="49">
        <v>44997</v>
      </c>
      <c r="L982">
        <v>1</v>
      </c>
      <c r="AC982">
        <v>1</v>
      </c>
    </row>
    <row r="983" spans="1:29">
      <c r="A983" t="s">
        <v>8889</v>
      </c>
      <c r="L983">
        <v>1</v>
      </c>
      <c r="AC983">
        <v>1</v>
      </c>
    </row>
    <row r="984" spans="1:29">
      <c r="A984" t="s">
        <v>7567</v>
      </c>
      <c r="B984" s="49">
        <v>45011</v>
      </c>
      <c r="M984">
        <v>1</v>
      </c>
      <c r="AC984">
        <v>1</v>
      </c>
    </row>
    <row r="985" spans="1:29">
      <c r="A985" t="s">
        <v>8890</v>
      </c>
      <c r="M985">
        <v>1</v>
      </c>
      <c r="AC985">
        <v>1</v>
      </c>
    </row>
    <row r="986" spans="1:29">
      <c r="A986" t="s">
        <v>5043</v>
      </c>
      <c r="B986" s="49">
        <v>44926</v>
      </c>
      <c r="I986">
        <v>1</v>
      </c>
      <c r="AC986">
        <v>1</v>
      </c>
    </row>
    <row r="987" spans="1:29">
      <c r="A987" t="s">
        <v>8891</v>
      </c>
      <c r="I987">
        <v>1</v>
      </c>
      <c r="AC987">
        <v>1</v>
      </c>
    </row>
    <row r="988" spans="1:29">
      <c r="A988" t="s">
        <v>7577</v>
      </c>
      <c r="B988" s="49">
        <v>45011</v>
      </c>
      <c r="M988">
        <v>1</v>
      </c>
      <c r="AC988">
        <v>1</v>
      </c>
    </row>
    <row r="989" spans="1:29">
      <c r="A989" t="s">
        <v>8892</v>
      </c>
      <c r="M989">
        <v>1</v>
      </c>
      <c r="AC989">
        <v>1</v>
      </c>
    </row>
    <row r="990" spans="1:29">
      <c r="A990" t="s">
        <v>2519</v>
      </c>
      <c r="B990" s="49">
        <v>44816</v>
      </c>
      <c r="U990">
        <v>1</v>
      </c>
      <c r="AC990">
        <v>1</v>
      </c>
    </row>
    <row r="991" spans="1:29">
      <c r="A991" t="s">
        <v>8893</v>
      </c>
      <c r="U991">
        <v>1</v>
      </c>
      <c r="AC991">
        <v>1</v>
      </c>
    </row>
    <row r="992" spans="1:29">
      <c r="A992" t="s">
        <v>7589</v>
      </c>
      <c r="B992" s="49">
        <v>45011</v>
      </c>
      <c r="M992">
        <v>1</v>
      </c>
      <c r="AC992">
        <v>1</v>
      </c>
    </row>
    <row r="993" spans="1:29">
      <c r="A993" t="s">
        <v>8894</v>
      </c>
      <c r="M993">
        <v>1</v>
      </c>
      <c r="AC993">
        <v>1</v>
      </c>
    </row>
    <row r="994" spans="1:29">
      <c r="A994" t="s">
        <v>4255</v>
      </c>
      <c r="B994" s="49">
        <v>44879</v>
      </c>
      <c r="S994">
        <v>1</v>
      </c>
      <c r="AC994">
        <v>1</v>
      </c>
    </row>
    <row r="995" spans="1:29">
      <c r="A995" t="s">
        <v>8895</v>
      </c>
      <c r="S995">
        <v>1</v>
      </c>
      <c r="AC995">
        <v>1</v>
      </c>
    </row>
    <row r="996" spans="1:29">
      <c r="A996" t="s">
        <v>7595</v>
      </c>
      <c r="B996" s="49">
        <v>45011</v>
      </c>
      <c r="M996">
        <v>1</v>
      </c>
      <c r="AC996">
        <v>1</v>
      </c>
    </row>
    <row r="997" spans="1:29">
      <c r="A997" t="s">
        <v>8896</v>
      </c>
      <c r="M997">
        <v>1</v>
      </c>
      <c r="AC997">
        <v>1</v>
      </c>
    </row>
    <row r="998" spans="1:29">
      <c r="A998" t="s">
        <v>328</v>
      </c>
      <c r="B998" s="49">
        <v>44816</v>
      </c>
      <c r="U998">
        <v>1</v>
      </c>
      <c r="AC998">
        <v>1</v>
      </c>
    </row>
    <row r="999" spans="1:29">
      <c r="A999" t="s">
        <v>8897</v>
      </c>
      <c r="U999">
        <v>1</v>
      </c>
      <c r="AC999">
        <v>1</v>
      </c>
    </row>
    <row r="1000" spans="1:29">
      <c r="A1000" t="s">
        <v>7600</v>
      </c>
      <c r="B1000" s="49">
        <v>45011</v>
      </c>
      <c r="M1000">
        <v>1</v>
      </c>
      <c r="AC1000">
        <v>1</v>
      </c>
    </row>
    <row r="1001" spans="1:29">
      <c r="A1001" t="s">
        <v>8898</v>
      </c>
      <c r="M1001">
        <v>1</v>
      </c>
      <c r="AC1001">
        <v>1</v>
      </c>
    </row>
    <row r="1002" spans="1:29">
      <c r="A1002" t="s">
        <v>6652</v>
      </c>
      <c r="B1002" s="49">
        <v>44995</v>
      </c>
      <c r="M1002">
        <v>1</v>
      </c>
      <c r="AC1002">
        <v>1</v>
      </c>
    </row>
    <row r="1003" spans="1:29">
      <c r="A1003" t="s">
        <v>8899</v>
      </c>
      <c r="M1003">
        <v>1</v>
      </c>
      <c r="AC1003">
        <v>1</v>
      </c>
    </row>
    <row r="1004" spans="1:29">
      <c r="A1004" t="s">
        <v>7605</v>
      </c>
      <c r="B1004" s="49">
        <v>45011</v>
      </c>
      <c r="M1004">
        <v>1</v>
      </c>
      <c r="AC1004">
        <v>1</v>
      </c>
    </row>
    <row r="1005" spans="1:29">
      <c r="A1005" t="s">
        <v>8900</v>
      </c>
      <c r="M1005">
        <v>1</v>
      </c>
      <c r="AC1005">
        <v>1</v>
      </c>
    </row>
    <row r="1006" spans="1:29">
      <c r="A1006" t="s">
        <v>6657</v>
      </c>
      <c r="B1006" s="49">
        <v>44995</v>
      </c>
      <c r="M1006">
        <v>1</v>
      </c>
      <c r="AC1006">
        <v>1</v>
      </c>
    </row>
    <row r="1007" spans="1:29">
      <c r="A1007" t="s">
        <v>8901</v>
      </c>
      <c r="M1007">
        <v>1</v>
      </c>
      <c r="AC1007">
        <v>1</v>
      </c>
    </row>
    <row r="1008" spans="1:29">
      <c r="A1008" t="s">
        <v>7615</v>
      </c>
      <c r="B1008" s="49">
        <v>45011</v>
      </c>
      <c r="M1008">
        <v>1</v>
      </c>
      <c r="AC1008">
        <v>1</v>
      </c>
    </row>
    <row r="1009" spans="1:29">
      <c r="A1009" t="s">
        <v>8902</v>
      </c>
      <c r="M1009">
        <v>1</v>
      </c>
      <c r="AC1009">
        <v>1</v>
      </c>
    </row>
    <row r="1010" spans="1:29">
      <c r="A1010" t="s">
        <v>3762</v>
      </c>
      <c r="B1010" s="49">
        <v>44856</v>
      </c>
      <c r="R1010">
        <v>1</v>
      </c>
      <c r="AC1010">
        <v>1</v>
      </c>
    </row>
    <row r="1011" spans="1:29">
      <c r="A1011" t="s">
        <v>8903</v>
      </c>
      <c r="R1011">
        <v>1</v>
      </c>
      <c r="AC1011">
        <v>1</v>
      </c>
    </row>
    <row r="1012" spans="1:29">
      <c r="A1012" t="s">
        <v>7623</v>
      </c>
      <c r="B1012" s="49">
        <v>45011</v>
      </c>
      <c r="M1012">
        <v>1</v>
      </c>
      <c r="AC1012">
        <v>1</v>
      </c>
    </row>
    <row r="1013" spans="1:29">
      <c r="A1013" t="s">
        <v>8904</v>
      </c>
      <c r="M1013">
        <v>1</v>
      </c>
      <c r="AC1013">
        <v>1</v>
      </c>
    </row>
    <row r="1014" spans="1:29">
      <c r="A1014" t="s">
        <v>6941</v>
      </c>
      <c r="B1014" s="49">
        <v>45010</v>
      </c>
      <c r="M1014">
        <v>1</v>
      </c>
      <c r="AC1014">
        <v>1</v>
      </c>
    </row>
    <row r="1015" spans="1:29">
      <c r="A1015" t="s">
        <v>8905</v>
      </c>
      <c r="M1015">
        <v>1</v>
      </c>
      <c r="AC1015">
        <v>1</v>
      </c>
    </row>
    <row r="1016" spans="1:29">
      <c r="A1016" t="s">
        <v>7631</v>
      </c>
      <c r="B1016" s="49">
        <v>45011</v>
      </c>
      <c r="M1016">
        <v>1</v>
      </c>
      <c r="AC1016">
        <v>1</v>
      </c>
    </row>
    <row r="1017" spans="1:29">
      <c r="A1017" t="s">
        <v>8906</v>
      </c>
      <c r="M1017">
        <v>1</v>
      </c>
      <c r="AC1017">
        <v>1</v>
      </c>
    </row>
    <row r="1018" spans="1:29">
      <c r="A1018" t="s">
        <v>6898</v>
      </c>
      <c r="B1018" s="49">
        <v>45011</v>
      </c>
      <c r="M1018">
        <v>1</v>
      </c>
      <c r="AC1018">
        <v>1</v>
      </c>
    </row>
    <row r="1019" spans="1:29">
      <c r="A1019" t="s">
        <v>8907</v>
      </c>
      <c r="M1019">
        <v>1</v>
      </c>
      <c r="AC1019">
        <v>1</v>
      </c>
    </row>
    <row r="1020" spans="1:29">
      <c r="A1020" t="s">
        <v>7637</v>
      </c>
      <c r="B1020" s="49">
        <v>45011</v>
      </c>
      <c r="M1020">
        <v>1</v>
      </c>
      <c r="AC1020">
        <v>1</v>
      </c>
    </row>
    <row r="1021" spans="1:29">
      <c r="A1021" t="s">
        <v>8908</v>
      </c>
      <c r="M1021">
        <v>1</v>
      </c>
      <c r="AC1021">
        <v>1</v>
      </c>
    </row>
    <row r="1022" spans="1:29">
      <c r="A1022" t="s">
        <v>4141</v>
      </c>
      <c r="B1022" s="49">
        <v>44875</v>
      </c>
      <c r="R1022">
        <v>1</v>
      </c>
      <c r="AC1022">
        <v>1</v>
      </c>
    </row>
    <row r="1023" spans="1:29">
      <c r="A1023" t="s">
        <v>8909</v>
      </c>
      <c r="R1023">
        <v>1</v>
      </c>
      <c r="AC1023">
        <v>1</v>
      </c>
    </row>
    <row r="1024" spans="1:29">
      <c r="A1024" t="s">
        <v>7650</v>
      </c>
      <c r="B1024" s="49">
        <v>45011</v>
      </c>
      <c r="AB1024">
        <v>1</v>
      </c>
      <c r="AC1024">
        <v>1</v>
      </c>
    </row>
    <row r="1025" spans="1:29">
      <c r="A1025" t="s">
        <v>8910</v>
      </c>
      <c r="AB1025">
        <v>1</v>
      </c>
      <c r="AC1025">
        <v>1</v>
      </c>
    </row>
    <row r="1026" spans="1:29">
      <c r="A1026" t="s">
        <v>5734</v>
      </c>
      <c r="B1026" s="49">
        <v>44966</v>
      </c>
      <c r="R1026">
        <v>1</v>
      </c>
      <c r="AC1026">
        <v>1</v>
      </c>
    </row>
    <row r="1027" spans="1:29">
      <c r="A1027" t="s">
        <v>8911</v>
      </c>
      <c r="R1027">
        <v>1</v>
      </c>
      <c r="AC1027">
        <v>1</v>
      </c>
    </row>
    <row r="1028" spans="1:29">
      <c r="A1028" t="s">
        <v>7658</v>
      </c>
      <c r="B1028" s="49">
        <v>45011</v>
      </c>
      <c r="AB1028">
        <v>1</v>
      </c>
      <c r="AC1028">
        <v>1</v>
      </c>
    </row>
    <row r="1029" spans="1:29">
      <c r="A1029" t="s">
        <v>8912</v>
      </c>
      <c r="AB1029">
        <v>1</v>
      </c>
      <c r="AC1029">
        <v>1</v>
      </c>
    </row>
    <row r="1030" spans="1:29">
      <c r="A1030" t="s">
        <v>102</v>
      </c>
      <c r="B1030" s="49">
        <v>45009</v>
      </c>
      <c r="N1030">
        <v>1</v>
      </c>
      <c r="AC1030">
        <v>1</v>
      </c>
    </row>
    <row r="1031" spans="1:29">
      <c r="A1031" t="s">
        <v>8913</v>
      </c>
      <c r="N1031">
        <v>1</v>
      </c>
      <c r="AC1031">
        <v>1</v>
      </c>
    </row>
    <row r="1032" spans="1:29">
      <c r="A1032" t="s">
        <v>7675</v>
      </c>
      <c r="B1032" s="49">
        <v>45013</v>
      </c>
      <c r="M1032">
        <v>1</v>
      </c>
      <c r="AC1032">
        <v>1</v>
      </c>
    </row>
    <row r="1033" spans="1:29">
      <c r="A1033" t="s">
        <v>8914</v>
      </c>
      <c r="M1033">
        <v>1</v>
      </c>
      <c r="AC1033">
        <v>1</v>
      </c>
    </row>
    <row r="1034" spans="1:29">
      <c r="A1034" t="s">
        <v>5082</v>
      </c>
      <c r="B1034" s="49">
        <v>44928</v>
      </c>
      <c r="K1034">
        <v>1</v>
      </c>
      <c r="AC1034">
        <v>1</v>
      </c>
    </row>
    <row r="1035" spans="1:29">
      <c r="A1035" t="s">
        <v>8915</v>
      </c>
      <c r="K1035">
        <v>1</v>
      </c>
      <c r="AC1035">
        <v>1</v>
      </c>
    </row>
    <row r="1036" spans="1:29">
      <c r="A1036" t="s">
        <v>7681</v>
      </c>
      <c r="B1036" s="49">
        <v>45013</v>
      </c>
      <c r="M1036">
        <v>1</v>
      </c>
      <c r="AC1036">
        <v>1</v>
      </c>
    </row>
    <row r="1037" spans="1:29">
      <c r="A1037" t="s">
        <v>8916</v>
      </c>
      <c r="M1037">
        <v>1</v>
      </c>
      <c r="AC1037">
        <v>1</v>
      </c>
    </row>
    <row r="1038" spans="1:29">
      <c r="A1038" t="s">
        <v>432</v>
      </c>
      <c r="B1038" s="49">
        <v>44825</v>
      </c>
      <c r="J1038">
        <v>1</v>
      </c>
      <c r="AC1038">
        <v>1</v>
      </c>
    </row>
    <row r="1039" spans="1:29">
      <c r="A1039" t="s">
        <v>8917</v>
      </c>
      <c r="J1039">
        <v>1</v>
      </c>
      <c r="AC1039">
        <v>1</v>
      </c>
    </row>
    <row r="1040" spans="1:29">
      <c r="A1040" t="s">
        <v>7691</v>
      </c>
      <c r="B1040" s="49">
        <v>45013</v>
      </c>
      <c r="M1040">
        <v>1</v>
      </c>
      <c r="AC1040">
        <v>1</v>
      </c>
    </row>
    <row r="1041" spans="1:29">
      <c r="A1041" t="s">
        <v>8918</v>
      </c>
      <c r="M1041">
        <v>1</v>
      </c>
      <c r="AC1041">
        <v>1</v>
      </c>
    </row>
    <row r="1042" spans="1:29">
      <c r="A1042" t="s">
        <v>7364</v>
      </c>
      <c r="B1042" s="49">
        <v>45009</v>
      </c>
      <c r="N1042">
        <v>1</v>
      </c>
      <c r="AC1042">
        <v>1</v>
      </c>
    </row>
    <row r="1043" spans="1:29">
      <c r="A1043" t="s">
        <v>8919</v>
      </c>
      <c r="N1043">
        <v>1</v>
      </c>
      <c r="AC1043">
        <v>1</v>
      </c>
    </row>
    <row r="1044" spans="1:29">
      <c r="A1044" t="s">
        <v>7697</v>
      </c>
      <c r="B1044" s="49">
        <v>45013</v>
      </c>
      <c r="M1044">
        <v>1</v>
      </c>
      <c r="AC1044">
        <v>1</v>
      </c>
    </row>
    <row r="1045" spans="1:29">
      <c r="A1045" t="s">
        <v>8920</v>
      </c>
      <c r="M1045">
        <v>1</v>
      </c>
      <c r="AC1045">
        <v>1</v>
      </c>
    </row>
    <row r="1046" spans="1:29">
      <c r="A1046" t="s">
        <v>4985</v>
      </c>
      <c r="B1046" s="49">
        <v>44924</v>
      </c>
      <c r="O1046">
        <v>1</v>
      </c>
      <c r="AC1046">
        <v>1</v>
      </c>
    </row>
    <row r="1047" spans="1:29">
      <c r="A1047" t="s">
        <v>8921</v>
      </c>
      <c r="O1047">
        <v>1</v>
      </c>
      <c r="AC1047">
        <v>1</v>
      </c>
    </row>
    <row r="1048" spans="1:29">
      <c r="A1048" t="s">
        <v>7709</v>
      </c>
      <c r="B1048" s="49">
        <v>45013</v>
      </c>
      <c r="M1048">
        <v>1</v>
      </c>
      <c r="AC1048">
        <v>1</v>
      </c>
    </row>
    <row r="1049" spans="1:29">
      <c r="A1049" t="s">
        <v>8922</v>
      </c>
      <c r="M1049">
        <v>1</v>
      </c>
      <c r="AC1049">
        <v>1</v>
      </c>
    </row>
    <row r="1050" spans="1:29">
      <c r="A1050" t="s">
        <v>7368</v>
      </c>
      <c r="B1050" s="49">
        <v>45009</v>
      </c>
      <c r="N1050">
        <v>1</v>
      </c>
      <c r="AC1050">
        <v>1</v>
      </c>
    </row>
    <row r="1051" spans="1:29">
      <c r="A1051" t="s">
        <v>8923</v>
      </c>
      <c r="N1051">
        <v>1</v>
      </c>
      <c r="AC1051">
        <v>1</v>
      </c>
    </row>
    <row r="1052" spans="1:29">
      <c r="A1052" t="s">
        <v>1929</v>
      </c>
      <c r="B1052" s="49">
        <v>45014</v>
      </c>
      <c r="N1052">
        <v>1</v>
      </c>
      <c r="AC1052">
        <v>1</v>
      </c>
    </row>
    <row r="1053" spans="1:29">
      <c r="A1053" t="s">
        <v>8924</v>
      </c>
      <c r="N1053">
        <v>1</v>
      </c>
      <c r="AC1053">
        <v>1</v>
      </c>
    </row>
    <row r="1054" spans="1:29">
      <c r="A1054" t="s">
        <v>7370</v>
      </c>
      <c r="B1054" s="49">
        <v>45009</v>
      </c>
      <c r="N1054">
        <v>1</v>
      </c>
      <c r="AC1054">
        <v>1</v>
      </c>
    </row>
    <row r="1055" spans="1:29">
      <c r="A1055" t="s">
        <v>8925</v>
      </c>
      <c r="N1055">
        <v>1</v>
      </c>
      <c r="AC1055">
        <v>1</v>
      </c>
    </row>
    <row r="1056" spans="1:29">
      <c r="A1056" t="s">
        <v>7964</v>
      </c>
      <c r="B1056" s="49">
        <v>45014</v>
      </c>
      <c r="N1056">
        <v>1</v>
      </c>
      <c r="AC1056">
        <v>1</v>
      </c>
    </row>
    <row r="1057" spans="1:29">
      <c r="A1057" t="s">
        <v>8926</v>
      </c>
      <c r="N1057">
        <v>1</v>
      </c>
      <c r="AC1057">
        <v>1</v>
      </c>
    </row>
    <row r="1058" spans="1:29">
      <c r="A1058" t="s">
        <v>7372</v>
      </c>
      <c r="B1058" s="49">
        <v>45009</v>
      </c>
      <c r="N1058">
        <v>1</v>
      </c>
      <c r="AC1058">
        <v>1</v>
      </c>
    </row>
    <row r="1059" spans="1:29">
      <c r="A1059" t="s">
        <v>8927</v>
      </c>
      <c r="N1059">
        <v>1</v>
      </c>
      <c r="AC1059">
        <v>1</v>
      </c>
    </row>
    <row r="1060" spans="1:29">
      <c r="A1060" t="s">
        <v>7967</v>
      </c>
      <c r="B1060" s="49">
        <v>45014</v>
      </c>
      <c r="N1060">
        <v>1</v>
      </c>
      <c r="AC1060">
        <v>1</v>
      </c>
    </row>
    <row r="1061" spans="1:29">
      <c r="A1061" t="s">
        <v>8928</v>
      </c>
      <c r="N1061">
        <v>1</v>
      </c>
      <c r="AC1061">
        <v>1</v>
      </c>
    </row>
    <row r="1062" spans="1:29">
      <c r="A1062" t="s">
        <v>7374</v>
      </c>
      <c r="B1062" s="49">
        <v>45009</v>
      </c>
      <c r="N1062">
        <v>1</v>
      </c>
      <c r="AC1062">
        <v>1</v>
      </c>
    </row>
    <row r="1063" spans="1:29">
      <c r="A1063" t="s">
        <v>8929</v>
      </c>
      <c r="N1063">
        <v>1</v>
      </c>
      <c r="AC1063">
        <v>1</v>
      </c>
    </row>
    <row r="1064" spans="1:29">
      <c r="A1064" t="s">
        <v>7970</v>
      </c>
      <c r="B1064" s="49">
        <v>45014</v>
      </c>
      <c r="N1064">
        <v>1</v>
      </c>
      <c r="AC1064">
        <v>1</v>
      </c>
    </row>
    <row r="1065" spans="1:29">
      <c r="A1065" t="s">
        <v>8930</v>
      </c>
      <c r="N1065">
        <v>1</v>
      </c>
      <c r="AC1065">
        <v>1</v>
      </c>
    </row>
    <row r="1066" spans="1:29">
      <c r="A1066" t="s">
        <v>7376</v>
      </c>
      <c r="B1066" s="49">
        <v>45009</v>
      </c>
      <c r="N1066">
        <v>1</v>
      </c>
      <c r="AC1066">
        <v>1</v>
      </c>
    </row>
    <row r="1067" spans="1:29">
      <c r="A1067" t="s">
        <v>8931</v>
      </c>
      <c r="N1067">
        <v>1</v>
      </c>
      <c r="AC1067">
        <v>1</v>
      </c>
    </row>
    <row r="1068" spans="1:29">
      <c r="A1068" t="s">
        <v>126</v>
      </c>
      <c r="B1068" s="49">
        <v>45014</v>
      </c>
      <c r="N1068">
        <v>1</v>
      </c>
      <c r="AC1068">
        <v>1</v>
      </c>
    </row>
    <row r="1069" spans="1:29">
      <c r="A1069" t="s">
        <v>8932</v>
      </c>
      <c r="N1069">
        <v>1</v>
      </c>
      <c r="AC1069">
        <v>1</v>
      </c>
    </row>
    <row r="1070" spans="1:29">
      <c r="A1070" t="s">
        <v>7378</v>
      </c>
      <c r="B1070" s="49">
        <v>45009</v>
      </c>
      <c r="N1070">
        <v>1</v>
      </c>
      <c r="AC1070">
        <v>1</v>
      </c>
    </row>
    <row r="1071" spans="1:29">
      <c r="A1071" t="s">
        <v>8933</v>
      </c>
      <c r="N1071">
        <v>1</v>
      </c>
      <c r="AC1071">
        <v>1</v>
      </c>
    </row>
    <row r="1072" spans="1:29">
      <c r="A1072" t="s">
        <v>8034</v>
      </c>
      <c r="B1072" s="49">
        <v>45014</v>
      </c>
      <c r="N1072">
        <v>1</v>
      </c>
      <c r="AC1072">
        <v>1</v>
      </c>
    </row>
    <row r="1073" spans="1:29">
      <c r="A1073" t="s">
        <v>8934</v>
      </c>
      <c r="N1073">
        <v>1</v>
      </c>
      <c r="AC1073">
        <v>1</v>
      </c>
    </row>
    <row r="1074" spans="1:29">
      <c r="A1074" t="s">
        <v>7380</v>
      </c>
      <c r="B1074" s="49">
        <v>45009</v>
      </c>
      <c r="N1074">
        <v>1</v>
      </c>
      <c r="AC1074">
        <v>1</v>
      </c>
    </row>
    <row r="1075" spans="1:29">
      <c r="A1075" t="s">
        <v>8935</v>
      </c>
      <c r="N1075">
        <v>1</v>
      </c>
      <c r="AC1075">
        <v>1</v>
      </c>
    </row>
    <row r="1076" spans="1:29">
      <c r="A1076" t="s">
        <v>8111</v>
      </c>
      <c r="B1076" s="49">
        <v>45016</v>
      </c>
      <c r="N1076">
        <v>1</v>
      </c>
      <c r="AC1076">
        <v>1</v>
      </c>
    </row>
    <row r="1077" spans="1:29">
      <c r="A1077" t="s">
        <v>8936</v>
      </c>
      <c r="N1077">
        <v>1</v>
      </c>
      <c r="AC1077">
        <v>1</v>
      </c>
    </row>
    <row r="1078" spans="1:29">
      <c r="A1078" t="s">
        <v>7382</v>
      </c>
      <c r="B1078" s="49">
        <v>45009</v>
      </c>
      <c r="N1078">
        <v>1</v>
      </c>
      <c r="AC1078">
        <v>1</v>
      </c>
    </row>
    <row r="1079" spans="1:29">
      <c r="A1079" t="s">
        <v>8937</v>
      </c>
      <c r="N1079">
        <v>1</v>
      </c>
      <c r="AC1079">
        <v>1</v>
      </c>
    </row>
    <row r="1080" spans="1:29">
      <c r="A1080" t="s">
        <v>8118</v>
      </c>
      <c r="B1080" s="49">
        <v>45015</v>
      </c>
      <c r="N1080">
        <v>1</v>
      </c>
      <c r="AC1080">
        <v>1</v>
      </c>
    </row>
    <row r="1081" spans="1:29">
      <c r="A1081" t="s">
        <v>8938</v>
      </c>
      <c r="N1081">
        <v>1</v>
      </c>
      <c r="AC1081">
        <v>1</v>
      </c>
    </row>
    <row r="1082" spans="1:29">
      <c r="A1082" t="s">
        <v>7384</v>
      </c>
      <c r="B1082" s="49">
        <v>45009</v>
      </c>
      <c r="N1082">
        <v>1</v>
      </c>
      <c r="AC1082">
        <v>1</v>
      </c>
    </row>
    <row r="1083" spans="1:29">
      <c r="A1083" t="s">
        <v>8939</v>
      </c>
      <c r="N1083">
        <v>1</v>
      </c>
      <c r="AC1083">
        <v>1</v>
      </c>
    </row>
    <row r="1084" spans="1:29">
      <c r="A1084" t="s">
        <v>8124</v>
      </c>
      <c r="B1084" s="49">
        <v>45015</v>
      </c>
      <c r="N1084">
        <v>1</v>
      </c>
      <c r="AC1084">
        <v>1</v>
      </c>
    </row>
    <row r="1085" spans="1:29">
      <c r="A1085" t="s">
        <v>8940</v>
      </c>
      <c r="N1085">
        <v>1</v>
      </c>
      <c r="AC1085">
        <v>1</v>
      </c>
    </row>
    <row r="1086" spans="1:29">
      <c r="A1086" t="s">
        <v>7386</v>
      </c>
      <c r="B1086" s="49">
        <v>45009</v>
      </c>
      <c r="N1086">
        <v>1</v>
      </c>
      <c r="AC1086">
        <v>1</v>
      </c>
    </row>
    <row r="1087" spans="1:29">
      <c r="A1087" t="s">
        <v>8941</v>
      </c>
      <c r="N1087">
        <v>1</v>
      </c>
      <c r="AC1087">
        <v>1</v>
      </c>
    </row>
    <row r="1088" spans="1:29">
      <c r="A1088" t="s">
        <v>8130</v>
      </c>
      <c r="B1088" s="49">
        <v>45015</v>
      </c>
      <c r="N1088">
        <v>1</v>
      </c>
      <c r="AC1088">
        <v>1</v>
      </c>
    </row>
    <row r="1089" spans="1:29">
      <c r="A1089" t="s">
        <v>8942</v>
      </c>
      <c r="N1089">
        <v>1</v>
      </c>
      <c r="AC1089">
        <v>1</v>
      </c>
    </row>
    <row r="1090" spans="1:29">
      <c r="A1090" t="s">
        <v>145</v>
      </c>
      <c r="B1090" s="49">
        <v>45009</v>
      </c>
      <c r="N1090">
        <v>1</v>
      </c>
      <c r="AC1090">
        <v>1</v>
      </c>
    </row>
    <row r="1091" spans="1:29">
      <c r="A1091" t="s">
        <v>8943</v>
      </c>
      <c r="N1091">
        <v>1</v>
      </c>
      <c r="AC1091">
        <v>1</v>
      </c>
    </row>
    <row r="1092" spans="1:29">
      <c r="A1092" t="s">
        <v>8136</v>
      </c>
      <c r="B1092" s="49">
        <v>45015</v>
      </c>
      <c r="N1092">
        <v>1</v>
      </c>
      <c r="AC1092">
        <v>1</v>
      </c>
    </row>
    <row r="1093" spans="1:29">
      <c r="A1093" t="s">
        <v>8944</v>
      </c>
      <c r="N1093">
        <v>1</v>
      </c>
      <c r="AC1093">
        <v>1</v>
      </c>
    </row>
    <row r="1094" spans="1:29">
      <c r="A1094" t="s">
        <v>7389</v>
      </c>
      <c r="B1094" s="49">
        <v>45009</v>
      </c>
      <c r="N1094">
        <v>1</v>
      </c>
      <c r="AC1094">
        <v>1</v>
      </c>
    </row>
    <row r="1095" spans="1:29">
      <c r="A1095" t="s">
        <v>8945</v>
      </c>
      <c r="N1095">
        <v>1</v>
      </c>
      <c r="AC1095">
        <v>1</v>
      </c>
    </row>
    <row r="1096" spans="1:29">
      <c r="A1096" t="s">
        <v>8142</v>
      </c>
      <c r="B1096" s="49">
        <v>45015</v>
      </c>
      <c r="N1096">
        <v>1</v>
      </c>
      <c r="AC1096">
        <v>1</v>
      </c>
    </row>
    <row r="1097" spans="1:29">
      <c r="A1097" t="s">
        <v>8946</v>
      </c>
      <c r="N1097">
        <v>1</v>
      </c>
      <c r="AC1097">
        <v>1</v>
      </c>
    </row>
    <row r="1098" spans="1:29">
      <c r="A1098" t="s">
        <v>7391</v>
      </c>
      <c r="B1098" s="49">
        <v>45009</v>
      </c>
      <c r="N1098">
        <v>1</v>
      </c>
      <c r="AC1098">
        <v>1</v>
      </c>
    </row>
    <row r="1099" spans="1:29">
      <c r="A1099" t="s">
        <v>8947</v>
      </c>
      <c r="N1099">
        <v>1</v>
      </c>
      <c r="AC1099">
        <v>1</v>
      </c>
    </row>
    <row r="1100" spans="1:29">
      <c r="A1100" t="s">
        <v>8148</v>
      </c>
      <c r="B1100" s="49">
        <v>45015</v>
      </c>
      <c r="N1100">
        <v>1</v>
      </c>
      <c r="AC1100">
        <v>1</v>
      </c>
    </row>
    <row r="1101" spans="1:29">
      <c r="A1101" t="s">
        <v>8948</v>
      </c>
      <c r="N1101">
        <v>1</v>
      </c>
      <c r="AC1101">
        <v>1</v>
      </c>
    </row>
    <row r="1102" spans="1:29">
      <c r="A1102" t="s">
        <v>7393</v>
      </c>
      <c r="B1102" s="49">
        <v>45009</v>
      </c>
      <c r="N1102">
        <v>1</v>
      </c>
      <c r="AC1102">
        <v>1</v>
      </c>
    </row>
    <row r="1103" spans="1:29">
      <c r="A1103" t="s">
        <v>8949</v>
      </c>
      <c r="N1103">
        <v>1</v>
      </c>
      <c r="AC1103">
        <v>1</v>
      </c>
    </row>
    <row r="1104" spans="1:29">
      <c r="A1104" t="s">
        <v>8154</v>
      </c>
      <c r="B1104" s="49">
        <v>45015</v>
      </c>
      <c r="N1104">
        <v>1</v>
      </c>
      <c r="AC1104">
        <v>1</v>
      </c>
    </row>
    <row r="1105" spans="1:29">
      <c r="A1105" t="s">
        <v>8950</v>
      </c>
      <c r="N1105">
        <v>1</v>
      </c>
      <c r="AC1105">
        <v>1</v>
      </c>
    </row>
    <row r="1106" spans="1:29">
      <c r="A1106" t="s">
        <v>38</v>
      </c>
      <c r="B1106" s="49">
        <v>45009</v>
      </c>
      <c r="N1106">
        <v>1</v>
      </c>
      <c r="AC1106">
        <v>1</v>
      </c>
    </row>
    <row r="1107" spans="1:29">
      <c r="A1107" t="s">
        <v>8951</v>
      </c>
      <c r="N1107">
        <v>1</v>
      </c>
      <c r="AC1107">
        <v>1</v>
      </c>
    </row>
    <row r="1108" spans="1:29">
      <c r="A1108" t="s">
        <v>8160</v>
      </c>
      <c r="B1108" s="49">
        <v>45015</v>
      </c>
      <c r="N1108">
        <v>1</v>
      </c>
      <c r="AC1108">
        <v>1</v>
      </c>
    </row>
    <row r="1109" spans="1:29">
      <c r="A1109" t="s">
        <v>8952</v>
      </c>
      <c r="N1109">
        <v>1</v>
      </c>
      <c r="AC1109">
        <v>1</v>
      </c>
    </row>
    <row r="1110" spans="1:29">
      <c r="A1110" t="s">
        <v>7396</v>
      </c>
      <c r="B1110" s="49">
        <v>45009</v>
      </c>
      <c r="N1110">
        <v>1</v>
      </c>
      <c r="AC1110">
        <v>1</v>
      </c>
    </row>
    <row r="1111" spans="1:29">
      <c r="A1111" t="s">
        <v>8953</v>
      </c>
      <c r="N1111">
        <v>1</v>
      </c>
      <c r="AC1111">
        <v>1</v>
      </c>
    </row>
    <row r="1112" spans="1:29">
      <c r="A1112" t="s">
        <v>8166</v>
      </c>
      <c r="B1112" s="49">
        <v>45015</v>
      </c>
      <c r="N1112">
        <v>1</v>
      </c>
      <c r="AC1112">
        <v>1</v>
      </c>
    </row>
    <row r="1113" spans="1:29">
      <c r="A1113" t="s">
        <v>8954</v>
      </c>
      <c r="N1113">
        <v>1</v>
      </c>
      <c r="AC1113">
        <v>1</v>
      </c>
    </row>
    <row r="1114" spans="1:29">
      <c r="A1114" t="s">
        <v>7398</v>
      </c>
      <c r="B1114" s="49">
        <v>45009</v>
      </c>
      <c r="N1114">
        <v>1</v>
      </c>
      <c r="AC1114">
        <v>1</v>
      </c>
    </row>
    <row r="1115" spans="1:29">
      <c r="A1115" t="s">
        <v>8955</v>
      </c>
      <c r="N1115">
        <v>1</v>
      </c>
      <c r="AC1115">
        <v>1</v>
      </c>
    </row>
    <row r="1116" spans="1:29">
      <c r="A1116" t="s">
        <v>8172</v>
      </c>
      <c r="B1116" s="49">
        <v>45015</v>
      </c>
      <c r="N1116">
        <v>1</v>
      </c>
      <c r="AC1116">
        <v>1</v>
      </c>
    </row>
    <row r="1117" spans="1:29">
      <c r="A1117" t="s">
        <v>8956</v>
      </c>
      <c r="N1117">
        <v>1</v>
      </c>
      <c r="AC1117">
        <v>1</v>
      </c>
    </row>
    <row r="1118" spans="1:29">
      <c r="A1118" t="s">
        <v>7400</v>
      </c>
      <c r="B1118" s="49">
        <v>45009</v>
      </c>
      <c r="N1118">
        <v>1</v>
      </c>
      <c r="AC1118">
        <v>1</v>
      </c>
    </row>
    <row r="1119" spans="1:29">
      <c r="A1119" t="s">
        <v>8957</v>
      </c>
      <c r="N1119">
        <v>1</v>
      </c>
      <c r="AC1119">
        <v>1</v>
      </c>
    </row>
    <row r="1120" spans="1:29">
      <c r="A1120" t="s">
        <v>8177</v>
      </c>
      <c r="B1120" s="49">
        <v>45015</v>
      </c>
      <c r="N1120">
        <v>1</v>
      </c>
      <c r="AC1120">
        <v>1</v>
      </c>
    </row>
    <row r="1121" spans="1:29">
      <c r="A1121" t="s">
        <v>8958</v>
      </c>
      <c r="N1121">
        <v>1</v>
      </c>
      <c r="AC1121">
        <v>1</v>
      </c>
    </row>
    <row r="1122" spans="1:29">
      <c r="A1122" t="s">
        <v>7402</v>
      </c>
      <c r="B1122" s="49">
        <v>45009</v>
      </c>
      <c r="N1122">
        <v>1</v>
      </c>
      <c r="AC1122">
        <v>1</v>
      </c>
    </row>
    <row r="1123" spans="1:29">
      <c r="A1123" t="s">
        <v>8959</v>
      </c>
      <c r="N1123">
        <v>1</v>
      </c>
      <c r="AC1123">
        <v>1</v>
      </c>
    </row>
    <row r="1124" spans="1:29">
      <c r="A1124" t="s">
        <v>8183</v>
      </c>
      <c r="B1124" s="49">
        <v>45015</v>
      </c>
      <c r="N1124">
        <v>1</v>
      </c>
      <c r="AC1124">
        <v>1</v>
      </c>
    </row>
    <row r="1125" spans="1:29">
      <c r="A1125" t="s">
        <v>8960</v>
      </c>
      <c r="N1125">
        <v>1</v>
      </c>
      <c r="AC1125">
        <v>1</v>
      </c>
    </row>
    <row r="1126" spans="1:29">
      <c r="A1126" t="s">
        <v>7404</v>
      </c>
      <c r="B1126" s="49">
        <v>45009</v>
      </c>
      <c r="N1126">
        <v>1</v>
      </c>
      <c r="AC1126">
        <v>1</v>
      </c>
    </row>
    <row r="1127" spans="1:29">
      <c r="A1127" t="s">
        <v>8961</v>
      </c>
      <c r="N1127">
        <v>1</v>
      </c>
      <c r="AC1127">
        <v>1</v>
      </c>
    </row>
    <row r="1128" spans="1:29">
      <c r="A1128" t="s">
        <v>8189</v>
      </c>
      <c r="B1128" s="49">
        <v>45015</v>
      </c>
      <c r="N1128">
        <v>1</v>
      </c>
      <c r="AC1128">
        <v>1</v>
      </c>
    </row>
    <row r="1129" spans="1:29">
      <c r="A1129" t="s">
        <v>8962</v>
      </c>
      <c r="N1129">
        <v>1</v>
      </c>
      <c r="AC1129">
        <v>1</v>
      </c>
    </row>
    <row r="1130" spans="1:29">
      <c r="A1130" t="s">
        <v>7406</v>
      </c>
      <c r="B1130" s="49">
        <v>45009</v>
      </c>
      <c r="N1130">
        <v>1</v>
      </c>
      <c r="AC1130">
        <v>1</v>
      </c>
    </row>
    <row r="1131" spans="1:29">
      <c r="A1131" t="s">
        <v>8963</v>
      </c>
      <c r="N1131">
        <v>1</v>
      </c>
      <c r="AC1131">
        <v>1</v>
      </c>
    </row>
    <row r="1132" spans="1:29">
      <c r="A1132" t="s">
        <v>8197</v>
      </c>
      <c r="B1132" s="49">
        <v>45015</v>
      </c>
      <c r="N1132">
        <v>1</v>
      </c>
      <c r="AC1132">
        <v>1</v>
      </c>
    </row>
    <row r="1133" spans="1:29">
      <c r="A1133" t="s">
        <v>8964</v>
      </c>
      <c r="N1133">
        <v>1</v>
      </c>
      <c r="AC1133">
        <v>1</v>
      </c>
    </row>
    <row r="1134" spans="1:29">
      <c r="A1134" t="s">
        <v>1839</v>
      </c>
      <c r="B1134" s="49">
        <v>45009</v>
      </c>
      <c r="N1134">
        <v>1</v>
      </c>
      <c r="AC1134">
        <v>1</v>
      </c>
    </row>
    <row r="1135" spans="1:29">
      <c r="A1135" t="s">
        <v>8965</v>
      </c>
      <c r="N1135">
        <v>1</v>
      </c>
      <c r="AC1135">
        <v>1</v>
      </c>
    </row>
    <row r="1136" spans="1:29">
      <c r="A1136" t="s">
        <v>8203</v>
      </c>
      <c r="B1136" s="49">
        <v>45015</v>
      </c>
      <c r="N1136">
        <v>1</v>
      </c>
      <c r="AC1136">
        <v>1</v>
      </c>
    </row>
    <row r="1137" spans="1:29">
      <c r="A1137" t="s">
        <v>8966</v>
      </c>
      <c r="N1137">
        <v>1</v>
      </c>
      <c r="AC1137">
        <v>1</v>
      </c>
    </row>
    <row r="1138" spans="1:29">
      <c r="A1138" t="s">
        <v>7416</v>
      </c>
      <c r="B1138" s="49">
        <v>45009</v>
      </c>
      <c r="AB1138">
        <v>1</v>
      </c>
      <c r="AC1138">
        <v>1</v>
      </c>
    </row>
    <row r="1139" spans="1:29">
      <c r="A1139" t="s">
        <v>8967</v>
      </c>
      <c r="AB1139">
        <v>1</v>
      </c>
      <c r="AC1139">
        <v>1</v>
      </c>
    </row>
    <row r="1140" spans="1:29">
      <c r="A1140" t="s">
        <v>8209</v>
      </c>
      <c r="B1140" s="49">
        <v>45015</v>
      </c>
      <c r="N1140">
        <v>1</v>
      </c>
      <c r="AC1140">
        <v>1</v>
      </c>
    </row>
    <row r="1141" spans="1:29">
      <c r="A1141" t="s">
        <v>8968</v>
      </c>
      <c r="N1141">
        <v>1</v>
      </c>
      <c r="AC1141">
        <v>1</v>
      </c>
    </row>
    <row r="1142" spans="1:29">
      <c r="A1142" t="s">
        <v>7423</v>
      </c>
      <c r="B1142" s="49">
        <v>45010</v>
      </c>
      <c r="AB1142">
        <v>1</v>
      </c>
      <c r="AC1142">
        <v>1</v>
      </c>
    </row>
    <row r="1143" spans="1:29">
      <c r="A1143" t="s">
        <v>8969</v>
      </c>
      <c r="AB1143">
        <v>1</v>
      </c>
      <c r="AC1143">
        <v>1</v>
      </c>
    </row>
    <row r="1144" spans="1:29">
      <c r="A1144" t="s">
        <v>8215</v>
      </c>
      <c r="B1144" s="49">
        <v>45015</v>
      </c>
      <c r="M1144">
        <v>1</v>
      </c>
      <c r="AC1144">
        <v>1</v>
      </c>
    </row>
    <row r="1145" spans="1:29">
      <c r="A1145" t="s">
        <v>8970</v>
      </c>
      <c r="M1145">
        <v>1</v>
      </c>
      <c r="AC1145">
        <v>1</v>
      </c>
    </row>
    <row r="1146" spans="1:29">
      <c r="A1146" t="s">
        <v>7426</v>
      </c>
      <c r="B1146" s="49">
        <v>45010</v>
      </c>
      <c r="M1146">
        <v>1</v>
      </c>
      <c r="AC1146">
        <v>1</v>
      </c>
    </row>
    <row r="1147" spans="1:29">
      <c r="A1147" t="s">
        <v>8971</v>
      </c>
      <c r="M1147">
        <v>1</v>
      </c>
      <c r="AC1147">
        <v>1</v>
      </c>
    </row>
    <row r="1148" spans="1:29">
      <c r="A1148" t="s">
        <v>188</v>
      </c>
      <c r="B1148" s="49">
        <v>45015</v>
      </c>
      <c r="N1148">
        <v>1</v>
      </c>
      <c r="AC1148">
        <v>1</v>
      </c>
    </row>
    <row r="1149" spans="1:29">
      <c r="A1149" t="s">
        <v>8972</v>
      </c>
      <c r="N1149">
        <v>1</v>
      </c>
      <c r="AC1149">
        <v>1</v>
      </c>
    </row>
    <row r="1150" spans="1:29">
      <c r="A1150" t="s">
        <v>7427</v>
      </c>
      <c r="B1150" s="49">
        <v>45010</v>
      </c>
      <c r="M1150">
        <v>1</v>
      </c>
      <c r="AC1150">
        <v>1</v>
      </c>
    </row>
    <row r="1151" spans="1:29">
      <c r="A1151" t="s">
        <v>8973</v>
      </c>
      <c r="M1151">
        <v>1</v>
      </c>
      <c r="AC1151">
        <v>1</v>
      </c>
    </row>
    <row r="1152" spans="1:29">
      <c r="A1152" t="s">
        <v>60</v>
      </c>
      <c r="B1152" s="49">
        <v>45015</v>
      </c>
      <c r="N1152">
        <v>1</v>
      </c>
      <c r="AC1152">
        <v>1</v>
      </c>
    </row>
    <row r="1153" spans="1:29">
      <c r="A1153" t="s">
        <v>8974</v>
      </c>
      <c r="N1153">
        <v>1</v>
      </c>
      <c r="AC1153">
        <v>1</v>
      </c>
    </row>
    <row r="1154" spans="1:29">
      <c r="A1154" t="s">
        <v>7428</v>
      </c>
      <c r="B1154" s="49">
        <v>45010</v>
      </c>
      <c r="M1154">
        <v>1</v>
      </c>
      <c r="AC1154">
        <v>1</v>
      </c>
    </row>
    <row r="1155" spans="1:29">
      <c r="A1155" t="s">
        <v>8975</v>
      </c>
      <c r="M1155">
        <v>1</v>
      </c>
      <c r="AC1155">
        <v>1</v>
      </c>
    </row>
    <row r="1156" spans="1:29">
      <c r="A1156" t="s">
        <v>8230</v>
      </c>
      <c r="B1156" s="49">
        <v>45015</v>
      </c>
      <c r="N1156">
        <v>1</v>
      </c>
      <c r="AC1156">
        <v>1</v>
      </c>
    </row>
    <row r="1157" spans="1:29">
      <c r="A1157" t="s">
        <v>8976</v>
      </c>
      <c r="N1157">
        <v>1</v>
      </c>
      <c r="AC1157">
        <v>1</v>
      </c>
    </row>
    <row r="1158" spans="1:29">
      <c r="A1158" t="s">
        <v>7429</v>
      </c>
      <c r="B1158" s="49">
        <v>45010</v>
      </c>
      <c r="M1158">
        <v>1</v>
      </c>
      <c r="AC1158">
        <v>1</v>
      </c>
    </row>
    <row r="1159" spans="1:29">
      <c r="A1159" t="s">
        <v>8977</v>
      </c>
      <c r="M1159">
        <v>1</v>
      </c>
      <c r="AC1159">
        <v>1</v>
      </c>
    </row>
    <row r="1160" spans="1:29">
      <c r="A1160" t="s">
        <v>8236</v>
      </c>
      <c r="B1160" s="49">
        <v>45015</v>
      </c>
      <c r="N1160">
        <v>1</v>
      </c>
      <c r="AC1160">
        <v>1</v>
      </c>
    </row>
    <row r="1161" spans="1:29">
      <c r="A1161" t="s">
        <v>8978</v>
      </c>
      <c r="N1161">
        <v>1</v>
      </c>
      <c r="AC1161">
        <v>1</v>
      </c>
    </row>
    <row r="1162" spans="1:29">
      <c r="A1162" t="s">
        <v>7430</v>
      </c>
      <c r="B1162" s="49">
        <v>45010</v>
      </c>
      <c r="M1162">
        <v>1</v>
      </c>
      <c r="AC1162">
        <v>1</v>
      </c>
    </row>
    <row r="1163" spans="1:29">
      <c r="A1163" t="s">
        <v>8979</v>
      </c>
      <c r="M1163">
        <v>1</v>
      </c>
      <c r="AC1163">
        <v>1</v>
      </c>
    </row>
    <row r="1164" spans="1:29">
      <c r="A1164" t="s">
        <v>8244</v>
      </c>
      <c r="B1164" s="49">
        <v>45015</v>
      </c>
      <c r="N1164">
        <v>1</v>
      </c>
      <c r="AC1164">
        <v>1</v>
      </c>
    </row>
    <row r="1165" spans="1:29">
      <c r="A1165" t="s">
        <v>8980</v>
      </c>
      <c r="N1165">
        <v>1</v>
      </c>
      <c r="AC1165">
        <v>1</v>
      </c>
    </row>
    <row r="1166" spans="1:29">
      <c r="A1166" t="s">
        <v>7431</v>
      </c>
      <c r="B1166" s="49">
        <v>45010</v>
      </c>
      <c r="M1166">
        <v>1</v>
      </c>
      <c r="AC1166">
        <v>1</v>
      </c>
    </row>
    <row r="1167" spans="1:29">
      <c r="A1167" t="s">
        <v>8981</v>
      </c>
      <c r="M1167">
        <v>1</v>
      </c>
      <c r="AC1167">
        <v>1</v>
      </c>
    </row>
    <row r="1168" spans="1:29">
      <c r="A1168" t="s">
        <v>8250</v>
      </c>
      <c r="B1168" s="49">
        <v>45015</v>
      </c>
      <c r="N1168">
        <v>1</v>
      </c>
      <c r="AC1168">
        <v>1</v>
      </c>
    </row>
    <row r="1169" spans="1:29">
      <c r="A1169" t="s">
        <v>8982</v>
      </c>
      <c r="N1169">
        <v>1</v>
      </c>
      <c r="AC1169">
        <v>1</v>
      </c>
    </row>
    <row r="1170" spans="1:29">
      <c r="A1170" t="s">
        <v>7432</v>
      </c>
      <c r="B1170" s="49">
        <v>45010</v>
      </c>
      <c r="M1170">
        <v>1</v>
      </c>
      <c r="AC1170">
        <v>1</v>
      </c>
    </row>
    <row r="1171" spans="1:29">
      <c r="A1171" t="s">
        <v>8983</v>
      </c>
      <c r="M1171">
        <v>1</v>
      </c>
      <c r="AC1171">
        <v>1</v>
      </c>
    </row>
    <row r="1172" spans="1:29">
      <c r="A1172" t="s">
        <v>8256</v>
      </c>
      <c r="B1172" s="49">
        <v>45015</v>
      </c>
      <c r="N1172">
        <v>1</v>
      </c>
      <c r="AC1172">
        <v>1</v>
      </c>
    </row>
    <row r="1173" spans="1:29">
      <c r="A1173" t="s">
        <v>8984</v>
      </c>
      <c r="N1173">
        <v>1</v>
      </c>
      <c r="AC1173">
        <v>1</v>
      </c>
    </row>
    <row r="1174" spans="1:29">
      <c r="A1174" t="s">
        <v>7433</v>
      </c>
      <c r="B1174" s="49">
        <v>45010</v>
      </c>
      <c r="M1174">
        <v>1</v>
      </c>
      <c r="AC1174">
        <v>1</v>
      </c>
    </row>
    <row r="1175" spans="1:29">
      <c r="A1175" t="s">
        <v>8985</v>
      </c>
      <c r="M1175">
        <v>1</v>
      </c>
      <c r="AC1175">
        <v>1</v>
      </c>
    </row>
    <row r="1176" spans="1:29">
      <c r="A1176" t="s">
        <v>8262</v>
      </c>
      <c r="B1176" s="49">
        <v>45015</v>
      </c>
      <c r="M1176">
        <v>1</v>
      </c>
      <c r="AC1176">
        <v>1</v>
      </c>
    </row>
    <row r="1177" spans="1:29">
      <c r="A1177" t="s">
        <v>8986</v>
      </c>
      <c r="M1177">
        <v>1</v>
      </c>
      <c r="AC1177">
        <v>1</v>
      </c>
    </row>
    <row r="1178" spans="1:29">
      <c r="A1178" t="s">
        <v>7434</v>
      </c>
      <c r="B1178" s="49">
        <v>45010</v>
      </c>
      <c r="M1178">
        <v>1</v>
      </c>
      <c r="AC1178">
        <v>1</v>
      </c>
    </row>
    <row r="1179" spans="1:29">
      <c r="A1179" t="s">
        <v>8987</v>
      </c>
      <c r="M1179">
        <v>1</v>
      </c>
      <c r="AC1179">
        <v>1</v>
      </c>
    </row>
    <row r="1180" spans="1:29">
      <c r="A1180" t="s">
        <v>8270</v>
      </c>
      <c r="B1180" s="49">
        <v>45015</v>
      </c>
      <c r="N1180">
        <v>1</v>
      </c>
      <c r="AC1180">
        <v>1</v>
      </c>
    </row>
    <row r="1181" spans="1:29">
      <c r="A1181" t="s">
        <v>8988</v>
      </c>
      <c r="N1181">
        <v>1</v>
      </c>
      <c r="AC1181">
        <v>1</v>
      </c>
    </row>
    <row r="1182" spans="1:29">
      <c r="A1182" t="s">
        <v>7435</v>
      </c>
      <c r="B1182" s="49">
        <v>45010</v>
      </c>
      <c r="M1182">
        <v>1</v>
      </c>
      <c r="AC1182">
        <v>1</v>
      </c>
    </row>
    <row r="1183" spans="1:29">
      <c r="A1183" t="s">
        <v>8989</v>
      </c>
      <c r="M1183">
        <v>1</v>
      </c>
      <c r="AC1183">
        <v>1</v>
      </c>
    </row>
    <row r="1184" spans="1:29">
      <c r="A1184" t="s">
        <v>8276</v>
      </c>
      <c r="B1184" s="49">
        <v>45015</v>
      </c>
      <c r="N1184">
        <v>1</v>
      </c>
      <c r="AC1184">
        <v>1</v>
      </c>
    </row>
    <row r="1185" spans="1:29">
      <c r="A1185" t="s">
        <v>8990</v>
      </c>
      <c r="N1185">
        <v>1</v>
      </c>
      <c r="AC1185">
        <v>1</v>
      </c>
    </row>
    <row r="1186" spans="1:29">
      <c r="A1186" t="s">
        <v>7436</v>
      </c>
      <c r="B1186" s="49">
        <v>45010</v>
      </c>
      <c r="M1186">
        <v>1</v>
      </c>
      <c r="AC1186">
        <v>1</v>
      </c>
    </row>
    <row r="1187" spans="1:29">
      <c r="A1187" t="s">
        <v>8991</v>
      </c>
      <c r="M1187">
        <v>1</v>
      </c>
      <c r="AC1187">
        <v>1</v>
      </c>
    </row>
    <row r="1188" spans="1:29">
      <c r="A1188" t="s">
        <v>2018</v>
      </c>
      <c r="B1188" s="49">
        <v>45015</v>
      </c>
      <c r="N1188">
        <v>1</v>
      </c>
      <c r="AC1188">
        <v>1</v>
      </c>
    </row>
    <row r="1189" spans="1:29">
      <c r="A1189" t="s">
        <v>8992</v>
      </c>
      <c r="N1189">
        <v>1</v>
      </c>
      <c r="AC1189">
        <v>1</v>
      </c>
    </row>
    <row r="1190" spans="1:29">
      <c r="A1190" t="s">
        <v>7437</v>
      </c>
      <c r="B1190" s="49">
        <v>45010</v>
      </c>
      <c r="M1190">
        <v>1</v>
      </c>
      <c r="AC1190">
        <v>1</v>
      </c>
    </row>
    <row r="1191" spans="1:29">
      <c r="A1191" t="s">
        <v>8993</v>
      </c>
      <c r="M1191">
        <v>1</v>
      </c>
      <c r="AC1191">
        <v>1</v>
      </c>
    </row>
    <row r="1192" spans="1:29">
      <c r="A1192" t="s">
        <v>8290</v>
      </c>
      <c r="B1192" s="49">
        <v>45015</v>
      </c>
      <c r="N1192">
        <v>1</v>
      </c>
      <c r="AC1192">
        <v>1</v>
      </c>
    </row>
    <row r="1193" spans="1:29">
      <c r="A1193" t="s">
        <v>8994</v>
      </c>
      <c r="N1193">
        <v>1</v>
      </c>
      <c r="AC1193">
        <v>1</v>
      </c>
    </row>
    <row r="1194" spans="1:29">
      <c r="A1194" t="s">
        <v>7442</v>
      </c>
      <c r="B1194" s="49">
        <v>45010</v>
      </c>
      <c r="M1194">
        <v>1</v>
      </c>
      <c r="AC1194">
        <v>1</v>
      </c>
    </row>
    <row r="1195" spans="1:29">
      <c r="A1195" t="s">
        <v>8995</v>
      </c>
      <c r="M1195">
        <v>1</v>
      </c>
      <c r="AC1195">
        <v>1</v>
      </c>
    </row>
    <row r="1196" spans="1:29">
      <c r="A1196" t="s">
        <v>8296</v>
      </c>
      <c r="B1196" s="49">
        <v>45015</v>
      </c>
      <c r="N1196">
        <v>1</v>
      </c>
      <c r="AC1196">
        <v>1</v>
      </c>
    </row>
    <row r="1197" spans="1:29">
      <c r="A1197" t="s">
        <v>8996</v>
      </c>
      <c r="N1197">
        <v>1</v>
      </c>
      <c r="AC1197">
        <v>1</v>
      </c>
    </row>
    <row r="1198" spans="1:29">
      <c r="A1198" t="s">
        <v>7445</v>
      </c>
      <c r="B1198" s="49">
        <v>45010</v>
      </c>
      <c r="M1198">
        <v>1</v>
      </c>
      <c r="AC1198">
        <v>1</v>
      </c>
    </row>
    <row r="1199" spans="1:29">
      <c r="A1199" t="s">
        <v>8997</v>
      </c>
      <c r="M1199">
        <v>1</v>
      </c>
      <c r="AC1199">
        <v>1</v>
      </c>
    </row>
    <row r="1200" spans="1:29">
      <c r="A1200" t="s">
        <v>8302</v>
      </c>
      <c r="B1200" s="49">
        <v>45015</v>
      </c>
      <c r="N1200">
        <v>1</v>
      </c>
      <c r="AC1200">
        <v>1</v>
      </c>
    </row>
    <row r="1201" spans="1:29">
      <c r="A1201" t="s">
        <v>8998</v>
      </c>
      <c r="N1201">
        <v>1</v>
      </c>
      <c r="AC1201">
        <v>1</v>
      </c>
    </row>
    <row r="1202" spans="1:29">
      <c r="A1202" t="s">
        <v>7448</v>
      </c>
      <c r="B1202" s="49">
        <v>45010</v>
      </c>
      <c r="M1202">
        <v>1</v>
      </c>
      <c r="AC1202">
        <v>1</v>
      </c>
    </row>
    <row r="1203" spans="1:29">
      <c r="A1203" t="s">
        <v>8999</v>
      </c>
      <c r="M1203">
        <v>1</v>
      </c>
      <c r="AC1203">
        <v>1</v>
      </c>
    </row>
    <row r="1204" spans="1:29">
      <c r="A1204" t="s">
        <v>8310</v>
      </c>
      <c r="B1204" s="49">
        <v>45015</v>
      </c>
      <c r="N1204">
        <v>1</v>
      </c>
      <c r="AC1204">
        <v>1</v>
      </c>
    </row>
    <row r="1205" spans="1:29">
      <c r="A1205" t="s">
        <v>9000</v>
      </c>
      <c r="N1205">
        <v>1</v>
      </c>
      <c r="AC1205">
        <v>1</v>
      </c>
    </row>
    <row r="1206" spans="1:29">
      <c r="A1206" t="s">
        <v>7457</v>
      </c>
      <c r="B1206" s="49">
        <v>45010</v>
      </c>
      <c r="M1206">
        <v>1</v>
      </c>
      <c r="AC1206">
        <v>1</v>
      </c>
    </row>
    <row r="1207" spans="1:29">
      <c r="A1207" t="s">
        <v>9001</v>
      </c>
      <c r="M1207">
        <v>1</v>
      </c>
      <c r="AC1207">
        <v>1</v>
      </c>
    </row>
    <row r="1208" spans="1:29">
      <c r="A1208" t="s">
        <v>8316</v>
      </c>
      <c r="B1208" s="49">
        <v>45015</v>
      </c>
      <c r="N1208">
        <v>1</v>
      </c>
      <c r="AC1208">
        <v>1</v>
      </c>
    </row>
    <row r="1209" spans="1:29">
      <c r="A1209" t="s">
        <v>9002</v>
      </c>
      <c r="N1209">
        <v>1</v>
      </c>
      <c r="AC1209">
        <v>1</v>
      </c>
    </row>
    <row r="1210" spans="1:29">
      <c r="A1210" t="s">
        <v>7460</v>
      </c>
      <c r="B1210" s="49">
        <v>45010</v>
      </c>
      <c r="M1210">
        <v>1</v>
      </c>
      <c r="AC1210">
        <v>1</v>
      </c>
    </row>
    <row r="1211" spans="1:29">
      <c r="A1211" t="s">
        <v>9003</v>
      </c>
      <c r="M1211">
        <v>1</v>
      </c>
      <c r="AC1211">
        <v>1</v>
      </c>
    </row>
    <row r="1212" spans="1:29">
      <c r="A1212" t="s">
        <v>8330</v>
      </c>
      <c r="B1212" s="49">
        <v>45015</v>
      </c>
      <c r="N1212">
        <v>1</v>
      </c>
      <c r="AC1212">
        <v>1</v>
      </c>
    </row>
    <row r="1213" spans="1:29">
      <c r="A1213" t="s">
        <v>9004</v>
      </c>
      <c r="N1213">
        <v>1</v>
      </c>
      <c r="AC1213">
        <v>1</v>
      </c>
    </row>
    <row r="1214" spans="1:29">
      <c r="A1214" t="s">
        <v>7463</v>
      </c>
      <c r="B1214" s="49">
        <v>45010</v>
      </c>
      <c r="M1214">
        <v>1</v>
      </c>
      <c r="AC1214">
        <v>1</v>
      </c>
    </row>
    <row r="1215" spans="1:29">
      <c r="A1215" t="s">
        <v>9005</v>
      </c>
      <c r="M1215">
        <v>1</v>
      </c>
      <c r="AC1215">
        <v>1</v>
      </c>
    </row>
    <row r="1216" spans="1:29">
      <c r="A1216" t="s">
        <v>8350</v>
      </c>
      <c r="B1216" s="49">
        <v>45016</v>
      </c>
      <c r="M1216">
        <v>1</v>
      </c>
      <c r="AC1216">
        <v>1</v>
      </c>
    </row>
    <row r="1217" spans="1:29">
      <c r="A1217" t="s">
        <v>9006</v>
      </c>
      <c r="M1217">
        <v>1</v>
      </c>
      <c r="AC1217">
        <v>1</v>
      </c>
    </row>
    <row r="1218" spans="1:29">
      <c r="A1218" t="s">
        <v>7466</v>
      </c>
      <c r="B1218" s="49">
        <v>45010</v>
      </c>
      <c r="M1218">
        <v>1</v>
      </c>
      <c r="AC1218">
        <v>1</v>
      </c>
    </row>
    <row r="1219" spans="1:29">
      <c r="A1219" t="s">
        <v>9007</v>
      </c>
      <c r="M1219">
        <v>1</v>
      </c>
      <c r="AC1219">
        <v>1</v>
      </c>
    </row>
    <row r="1220" spans="1:29">
      <c r="A1220" t="s">
        <v>8356</v>
      </c>
      <c r="B1220" s="49">
        <v>45016</v>
      </c>
      <c r="N1220">
        <v>1</v>
      </c>
      <c r="AC1220">
        <v>1</v>
      </c>
    </row>
    <row r="1221" spans="1:29">
      <c r="A1221" t="s">
        <v>9008</v>
      </c>
      <c r="N1221">
        <v>1</v>
      </c>
      <c r="AC1221">
        <v>1</v>
      </c>
    </row>
    <row r="1222" spans="1:29">
      <c r="A1222" t="s">
        <v>7471</v>
      </c>
      <c r="B1222" s="49">
        <v>45010</v>
      </c>
      <c r="M1222">
        <v>1</v>
      </c>
      <c r="AC1222">
        <v>1</v>
      </c>
    </row>
    <row r="1223" spans="1:29">
      <c r="A1223" t="s">
        <v>9009</v>
      </c>
      <c r="M1223">
        <v>1</v>
      </c>
      <c r="AC1223">
        <v>1</v>
      </c>
    </row>
    <row r="1224" spans="1:29">
      <c r="A1224" t="s">
        <v>8376</v>
      </c>
      <c r="B1224" s="49">
        <v>45016</v>
      </c>
      <c r="N1224">
        <v>1</v>
      </c>
      <c r="AC1224">
        <v>1</v>
      </c>
    </row>
    <row r="1225" spans="1:29">
      <c r="A1225" t="s">
        <v>9010</v>
      </c>
      <c r="N1225">
        <v>1</v>
      </c>
      <c r="AC1225">
        <v>1</v>
      </c>
    </row>
    <row r="1226" spans="1:29">
      <c r="A1226" t="s">
        <v>5285</v>
      </c>
      <c r="B1226" s="49">
        <v>44996</v>
      </c>
      <c r="M1226">
        <v>1</v>
      </c>
      <c r="AC1226">
        <v>1</v>
      </c>
    </row>
    <row r="1227" spans="1:29">
      <c r="A1227" t="s">
        <v>9011</v>
      </c>
      <c r="M1227">
        <v>1</v>
      </c>
      <c r="AC1227">
        <v>1</v>
      </c>
    </row>
    <row r="1228" spans="1:29">
      <c r="A1228" t="s">
        <v>7474</v>
      </c>
      <c r="B1228" s="49">
        <v>45010</v>
      </c>
      <c r="M1228">
        <v>1</v>
      </c>
      <c r="AC1228">
        <v>1</v>
      </c>
    </row>
    <row r="1229" spans="1:29">
      <c r="A1229" t="s">
        <v>9012</v>
      </c>
      <c r="M1229">
        <v>1</v>
      </c>
      <c r="AC1229">
        <v>1</v>
      </c>
    </row>
    <row r="1230" spans="1:29">
      <c r="A1230" t="s">
        <v>8529</v>
      </c>
      <c r="B1230" s="49">
        <v>44996</v>
      </c>
    </row>
    <row r="1231" spans="1:29">
      <c r="B1231" s="49">
        <v>44967</v>
      </c>
    </row>
    <row r="1232" spans="1:29">
      <c r="B1232" s="49">
        <v>44916</v>
      </c>
    </row>
    <row r="1233" spans="2:2">
      <c r="B1233" s="49">
        <v>44818</v>
      </c>
    </row>
    <row r="1234" spans="2:2">
      <c r="B1234" s="49">
        <v>44985</v>
      </c>
    </row>
    <row r="1235" spans="2:2">
      <c r="B1235" s="49">
        <v>44819</v>
      </c>
    </row>
    <row r="1236" spans="2:2">
      <c r="B1236" s="49">
        <v>45016</v>
      </c>
    </row>
    <row r="1237" spans="2:2">
      <c r="B1237" s="49">
        <v>44832</v>
      </c>
    </row>
    <row r="1238" spans="2:2">
      <c r="B1238" s="49">
        <v>44931</v>
      </c>
    </row>
    <row r="1239" spans="2:2">
      <c r="B1239" s="49">
        <v>44835</v>
      </c>
    </row>
    <row r="1240" spans="2:2">
      <c r="B1240" s="49">
        <v>44975</v>
      </c>
    </row>
    <row r="1241" spans="2:2">
      <c r="B1241" s="49">
        <v>44837</v>
      </c>
    </row>
    <row r="1242" spans="2:2">
      <c r="B1242" s="49">
        <v>44989</v>
      </c>
    </row>
    <row r="1243" spans="2:2">
      <c r="B1243" s="49">
        <v>44839</v>
      </c>
    </row>
    <row r="1244" spans="2:2">
      <c r="B1244" s="49">
        <v>45010</v>
      </c>
    </row>
    <row r="1245" spans="2:2">
      <c r="B1245" s="49">
        <v>44840</v>
      </c>
    </row>
    <row r="1246" spans="2:2">
      <c r="B1246" s="49">
        <v>44910</v>
      </c>
    </row>
    <row r="1247" spans="2:2">
      <c r="B1247" s="49">
        <v>44846</v>
      </c>
    </row>
    <row r="1248" spans="2:2">
      <c r="B1248" s="49">
        <v>44927</v>
      </c>
    </row>
    <row r="1249" spans="2:2">
      <c r="B1249" s="49">
        <v>44847</v>
      </c>
    </row>
    <row r="1250" spans="2:2">
      <c r="B1250" s="49">
        <v>44965</v>
      </c>
    </row>
    <row r="1251" spans="2:2">
      <c r="B1251" s="49">
        <v>44848</v>
      </c>
    </row>
    <row r="1252" spans="2:2">
      <c r="B1252" s="49">
        <v>44970</v>
      </c>
    </row>
    <row r="1253" spans="2:2">
      <c r="B1253" s="49">
        <v>44849</v>
      </c>
    </row>
    <row r="1254" spans="2:2">
      <c r="B1254" s="49">
        <v>44979</v>
      </c>
    </row>
    <row r="1255" spans="2:2">
      <c r="B1255" s="49">
        <v>44850</v>
      </c>
    </row>
    <row r="1256" spans="2:2">
      <c r="B1256" s="49">
        <v>44987</v>
      </c>
    </row>
    <row r="1257" spans="2:2">
      <c r="B1257" s="49">
        <v>44852</v>
      </c>
    </row>
    <row r="1258" spans="2:2">
      <c r="B1258" s="49">
        <v>44993</v>
      </c>
    </row>
    <row r="1259" spans="2:2">
      <c r="B1259" s="49">
        <v>44854</v>
      </c>
    </row>
    <row r="1260" spans="2:2">
      <c r="B1260" s="49">
        <v>45001</v>
      </c>
    </row>
    <row r="1261" spans="2:2">
      <c r="B1261" s="49">
        <v>44855</v>
      </c>
    </row>
    <row r="1262" spans="2:2">
      <c r="B1262" s="49">
        <v>45006</v>
      </c>
    </row>
    <row r="1263" spans="2:2">
      <c r="B1263" s="49">
        <v>44857</v>
      </c>
    </row>
    <row r="1264" spans="2:2">
      <c r="B1264" s="49">
        <v>44817</v>
      </c>
    </row>
    <row r="1265" spans="2:2">
      <c r="B1265" s="49">
        <v>44859</v>
      </c>
    </row>
    <row r="1266" spans="2:2">
      <c r="B1266" s="49">
        <v>44915</v>
      </c>
    </row>
    <row r="1267" spans="2:2">
      <c r="B1267" s="49">
        <v>44860</v>
      </c>
    </row>
    <row r="1268" spans="2:2">
      <c r="B1268" s="49">
        <v>44924</v>
      </c>
    </row>
    <row r="1269" spans="2:2">
      <c r="B1269" s="49">
        <v>44863</v>
      </c>
    </row>
    <row r="1270" spans="2:2">
      <c r="B1270" s="49">
        <v>44928</v>
      </c>
    </row>
    <row r="1271" spans="2:2">
      <c r="B1271" s="49">
        <v>44865</v>
      </c>
    </row>
    <row r="1272" spans="2:2">
      <c r="B1272" s="49">
        <v>44932</v>
      </c>
    </row>
    <row r="1273" spans="2:2">
      <c r="B1273" s="49">
        <v>44867</v>
      </c>
    </row>
    <row r="1274" spans="2:2">
      <c r="B1274" s="49">
        <v>44966</v>
      </c>
    </row>
    <row r="1275" spans="2:2">
      <c r="B1275" s="49">
        <v>44870</v>
      </c>
    </row>
    <row r="1276" spans="2:2">
      <c r="B1276" s="49">
        <v>44968</v>
      </c>
    </row>
    <row r="1277" spans="2:2">
      <c r="B1277" s="49">
        <v>44871</v>
      </c>
    </row>
    <row r="1278" spans="2:2">
      <c r="B1278" s="49">
        <v>44973</v>
      </c>
    </row>
    <row r="1279" spans="2:2">
      <c r="B1279" s="49">
        <v>44872</v>
      </c>
    </row>
    <row r="1280" spans="2:2">
      <c r="B1280" s="49">
        <v>44976</v>
      </c>
    </row>
    <row r="1281" spans="2:2">
      <c r="B1281" s="49">
        <v>44873</v>
      </c>
    </row>
    <row r="1282" spans="2:2">
      <c r="B1282" s="49">
        <v>44980</v>
      </c>
    </row>
    <row r="1283" spans="2:2">
      <c r="B1283" s="49">
        <v>44876</v>
      </c>
    </row>
    <row r="1284" spans="2:2">
      <c r="B1284" s="49">
        <v>44986</v>
      </c>
    </row>
    <row r="1285" spans="2:2">
      <c r="B1285" s="49">
        <v>44878</v>
      </c>
    </row>
    <row r="1286" spans="2:2">
      <c r="B1286" s="49">
        <v>44988</v>
      </c>
    </row>
    <row r="1287" spans="2:2">
      <c r="B1287" s="49">
        <v>44880</v>
      </c>
    </row>
    <row r="1288" spans="2:2">
      <c r="B1288" s="49">
        <v>44990</v>
      </c>
    </row>
    <row r="1289" spans="2:2">
      <c r="B1289" s="49">
        <v>44890</v>
      </c>
    </row>
    <row r="1290" spans="2:2">
      <c r="B1290" s="49">
        <v>44995</v>
      </c>
    </row>
    <row r="1291" spans="2:2">
      <c r="B1291" s="49">
        <v>44895</v>
      </c>
    </row>
    <row r="1292" spans="2:2">
      <c r="B1292" s="49">
        <v>44999</v>
      </c>
    </row>
    <row r="1293" spans="2:2">
      <c r="B1293" s="49">
        <v>44896</v>
      </c>
    </row>
    <row r="1294" spans="2:2">
      <c r="B1294" s="49">
        <v>45002</v>
      </c>
    </row>
    <row r="1295" spans="2:2">
      <c r="B1295" s="49">
        <v>44897</v>
      </c>
    </row>
    <row r="1296" spans="2:2">
      <c r="B1296" s="49">
        <v>45009</v>
      </c>
    </row>
    <row r="1297" spans="1:29">
      <c r="B1297" s="49">
        <v>44902</v>
      </c>
    </row>
    <row r="1298" spans="1:29">
      <c r="B1298" s="49">
        <v>45007</v>
      </c>
    </row>
    <row r="1299" spans="1:29">
      <c r="B1299" s="49">
        <v>44903</v>
      </c>
    </row>
    <row r="1300" spans="1:29">
      <c r="B1300" s="49">
        <v>45017</v>
      </c>
    </row>
    <row r="1301" spans="1:29">
      <c r="B1301" s="49">
        <v>44904</v>
      </c>
    </row>
    <row r="1302" spans="1:29">
      <c r="B1302" s="49">
        <v>44905</v>
      </c>
    </row>
    <row r="1303" spans="1:29">
      <c r="A1303" t="s">
        <v>9013</v>
      </c>
    </row>
    <row r="1304" spans="1:29">
      <c r="A1304" t="s">
        <v>3483</v>
      </c>
      <c r="C1304">
        <v>1</v>
      </c>
      <c r="D1304">
        <v>5</v>
      </c>
      <c r="E1304">
        <v>2</v>
      </c>
      <c r="F1304">
        <v>1</v>
      </c>
      <c r="G1304">
        <v>1</v>
      </c>
      <c r="H1304">
        <v>2</v>
      </c>
      <c r="I1304">
        <v>5</v>
      </c>
      <c r="J1304">
        <v>14</v>
      </c>
      <c r="K1304">
        <v>36</v>
      </c>
      <c r="L1304">
        <v>37</v>
      </c>
      <c r="M1304">
        <v>207</v>
      </c>
      <c r="N1304">
        <v>321</v>
      </c>
      <c r="O1304">
        <v>9</v>
      </c>
      <c r="P1304">
        <v>1</v>
      </c>
      <c r="Q1304">
        <v>7</v>
      </c>
      <c r="R1304">
        <v>25</v>
      </c>
      <c r="S1304">
        <v>9</v>
      </c>
      <c r="T1304">
        <v>4</v>
      </c>
      <c r="U1304">
        <v>20</v>
      </c>
      <c r="V1304">
        <v>12</v>
      </c>
      <c r="W1304">
        <v>5</v>
      </c>
      <c r="X1304">
        <v>21</v>
      </c>
      <c r="Y1304">
        <v>1</v>
      </c>
      <c r="Z1304">
        <v>21</v>
      </c>
      <c r="AB1304">
        <v>6</v>
      </c>
      <c r="AC1304">
        <v>773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B5E8C-0072-4A49-8BB0-D5125379B2E2}">
  <dimension ref="A1:F32"/>
  <sheetViews>
    <sheetView workbookViewId="0">
      <selection activeCell="D8" sqref="D8"/>
    </sheetView>
  </sheetViews>
  <sheetFormatPr defaultRowHeight="15"/>
  <cols>
    <col min="1" max="1" width="11.85546875" bestFit="1" customWidth="1"/>
    <col min="2" max="2" width="40.28515625" bestFit="1" customWidth="1"/>
    <col min="4" max="4" width="47.42578125" customWidth="1"/>
    <col min="5" max="5" width="21.85546875" bestFit="1" customWidth="1"/>
  </cols>
  <sheetData>
    <row r="1" spans="1:6">
      <c r="A1" t="s">
        <v>9014</v>
      </c>
      <c r="B1" t="s">
        <v>9015</v>
      </c>
      <c r="D1" t="s">
        <v>9016</v>
      </c>
      <c r="E1" t="s">
        <v>9017</v>
      </c>
      <c r="F1" t="s">
        <v>9018</v>
      </c>
    </row>
    <row r="2" spans="1:6">
      <c r="A2" t="s">
        <v>3440</v>
      </c>
      <c r="B2" s="64" t="s">
        <v>2897</v>
      </c>
      <c r="D2" t="s">
        <v>9019</v>
      </c>
    </row>
    <row r="4" spans="1:6">
      <c r="A4" t="s">
        <v>3444</v>
      </c>
      <c r="B4" s="64" t="s">
        <v>2897</v>
      </c>
      <c r="D4" t="s">
        <v>9019</v>
      </c>
    </row>
    <row r="5" spans="1:6">
      <c r="B5" s="64" t="s">
        <v>2907</v>
      </c>
      <c r="D5" t="s">
        <v>9020</v>
      </c>
      <c r="E5" t="s">
        <v>9021</v>
      </c>
    </row>
    <row r="6" spans="1:6">
      <c r="B6" t="s">
        <v>2899</v>
      </c>
      <c r="D6" t="s">
        <v>9022</v>
      </c>
    </row>
    <row r="7" spans="1:6">
      <c r="B7" t="s">
        <v>2900</v>
      </c>
      <c r="D7" t="s">
        <v>9023</v>
      </c>
    </row>
    <row r="9" spans="1:6">
      <c r="A9" t="s">
        <v>2933</v>
      </c>
      <c r="B9" s="64" t="s">
        <v>2896</v>
      </c>
      <c r="D9" t="s">
        <v>9024</v>
      </c>
    </row>
    <row r="10" spans="1:6">
      <c r="B10" s="64" t="s">
        <v>2901</v>
      </c>
      <c r="D10" t="s">
        <v>9025</v>
      </c>
    </row>
    <row r="12" spans="1:6">
      <c r="A12" t="s">
        <v>3446</v>
      </c>
      <c r="B12" s="82" t="s">
        <v>2898</v>
      </c>
      <c r="D12" t="s">
        <v>9019</v>
      </c>
    </row>
    <row r="13" spans="1:6">
      <c r="B13" s="82" t="s">
        <v>2897</v>
      </c>
      <c r="D13" t="s">
        <v>9019</v>
      </c>
    </row>
    <row r="14" spans="1:6">
      <c r="B14" t="s">
        <v>2902</v>
      </c>
    </row>
    <row r="16" spans="1:6">
      <c r="A16" t="s">
        <v>3450</v>
      </c>
      <c r="B16" s="64" t="s">
        <v>2908</v>
      </c>
      <c r="D16" t="s">
        <v>9026</v>
      </c>
    </row>
    <row r="18" spans="1:4">
      <c r="A18" t="s">
        <v>3454</v>
      </c>
      <c r="B18" t="s">
        <v>2892</v>
      </c>
    </row>
    <row r="19" spans="1:4">
      <c r="B19" t="s">
        <v>2893</v>
      </c>
    </row>
    <row r="21" spans="1:4">
      <c r="A21" t="s">
        <v>3460</v>
      </c>
      <c r="B21" t="s">
        <v>2894</v>
      </c>
    </row>
    <row r="23" spans="1:4">
      <c r="A23" t="s">
        <v>5870</v>
      </c>
      <c r="B23" t="s">
        <v>2903</v>
      </c>
      <c r="D23" t="s">
        <v>9027</v>
      </c>
    </row>
    <row r="25" spans="1:4">
      <c r="A25" t="s">
        <v>3466</v>
      </c>
      <c r="B25" t="s">
        <v>2906</v>
      </c>
      <c r="D25" t="s">
        <v>9027</v>
      </c>
    </row>
    <row r="27" spans="1:4">
      <c r="A27" t="s">
        <v>3468</v>
      </c>
      <c r="B27" t="s">
        <v>2905</v>
      </c>
      <c r="D27" t="s">
        <v>9027</v>
      </c>
    </row>
    <row r="29" spans="1:4">
      <c r="A29" t="s">
        <v>3472</v>
      </c>
      <c r="B29" s="64" t="s">
        <v>2897</v>
      </c>
      <c r="D29" t="s">
        <v>9019</v>
      </c>
    </row>
    <row r="30" spans="1:4">
      <c r="B30" t="s">
        <v>2895</v>
      </c>
    </row>
    <row r="32" spans="1:4">
      <c r="A32" t="s">
        <v>3464</v>
      </c>
      <c r="B32" t="s">
        <v>2904</v>
      </c>
      <c r="D32" t="s">
        <v>9027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A566598CEC9F442BC8EF645F3C5B484" ma:contentTypeVersion="15" ma:contentTypeDescription="Create a new document." ma:contentTypeScope="" ma:versionID="4789d36963e19a445cdc70bd86a261f5">
  <xsd:schema xmlns:xsd="http://www.w3.org/2001/XMLSchema" xmlns:xs="http://www.w3.org/2001/XMLSchema" xmlns:p="http://schemas.microsoft.com/office/2006/metadata/properties" xmlns:ns2="1f713afc-241b-4f1b-8747-d5efc3f10dc2" xmlns:ns3="727ed348-0cd0-4454-a963-cd38e883d435" targetNamespace="http://schemas.microsoft.com/office/2006/metadata/properties" ma:root="true" ma:fieldsID="fba7192ca13d6e7c4112a867a8348bf6" ns2:_="" ns3:_="">
    <xsd:import namespace="1f713afc-241b-4f1b-8747-d5efc3f10dc2"/>
    <xsd:import namespace="727ed348-0cd0-4454-a963-cd38e883d435"/>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713afc-241b-4f1b-8747-d5efc3f10d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500eaec-b472-467c-9c13-9c4e551c82d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27ed348-0cd0-4454-a963-cd38e883d435"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a3a422-c2e0-4d3b-8236-5883983a8b7b}" ma:internalName="TaxCatchAll" ma:showField="CatchAllData" ma:web="727ed348-0cd0-4454-a963-cd38e883d43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f713afc-241b-4f1b-8747-d5efc3f10dc2">
      <Terms xmlns="http://schemas.microsoft.com/office/infopath/2007/PartnerControls"/>
    </lcf76f155ced4ddcb4097134ff3c332f>
    <TaxCatchAll xmlns="727ed348-0cd0-4454-a963-cd38e883d435" xsi:nil="true"/>
  </documentManagement>
</p:properties>
</file>

<file path=customXml/itemProps1.xml><?xml version="1.0" encoding="utf-8"?>
<ds:datastoreItem xmlns:ds="http://schemas.openxmlformats.org/officeDocument/2006/customXml" ds:itemID="{5C30D925-A997-47CF-9BA0-EBADA9DADA74}"/>
</file>

<file path=customXml/itemProps2.xml><?xml version="1.0" encoding="utf-8"?>
<ds:datastoreItem xmlns:ds="http://schemas.openxmlformats.org/officeDocument/2006/customXml" ds:itemID="{50B10092-08D8-42EF-A3F6-B09C540E149F}"/>
</file>

<file path=customXml/itemProps3.xml><?xml version="1.0" encoding="utf-8"?>
<ds:datastoreItem xmlns:ds="http://schemas.openxmlformats.org/officeDocument/2006/customXml" ds:itemID="{A594D34B-5965-453F-8DB4-AF3F898526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2022-10-03T08:11:00Z</dcterms:created>
  <dcterms:modified xsi:type="dcterms:W3CDTF">2023-04-07T12:27:21Z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0x010100EA566598CEC9F442BC8EF645F3C5B484</vt:lpwstr>
  </property>
  <property fmtid="{D5CDD505-2E9C-101B-9397-08002B2CF9AE}" pid="3" name="MediaServiceImageTags">
    <vt:lpwstr/>
  </property>
</Properties>
</file>